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Rozpočet přímých NIV\ROZPIS ROZPOČTU\"/>
    </mc:Choice>
  </mc:AlternateContent>
  <xr:revisionPtr revIDLastSave="0" documentId="8_{1A392D8A-2557-4669-82F3-825B239886E6}" xr6:coauthVersionLast="47" xr6:coauthVersionMax="47" xr10:uidLastSave="{00000000-0000-0000-0000-000000000000}"/>
  <bookViews>
    <workbookView xWindow="3195" yWindow="3195" windowWidth="18900" windowHeight="11055" tabRatio="602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ČL!$G$1:$G$320</definedName>
    <definedName name="_xlnm._FilterDatabase" localSheetId="1" hidden="1">FR!$G$1:$G$175</definedName>
    <definedName name="_xlnm._FilterDatabase" localSheetId="8" hidden="1">JI!$G$1:$G$163</definedName>
    <definedName name="_xlnm._FilterDatabase" localSheetId="2" hidden="1">JN!$G$1:$G$201</definedName>
    <definedName name="_xlnm._FilterDatabase" localSheetId="0" hidden="1">LB!$G$1:$G$590</definedName>
    <definedName name="_xlnm._FilterDatabase" localSheetId="6" hidden="1">NB!$G$1:$G$144</definedName>
    <definedName name="_xlnm._FilterDatabase" localSheetId="7" hidden="1">SM!$G$1:$G$186</definedName>
    <definedName name="_xlnm._FilterDatabase" localSheetId="3" hidden="1">TA!$G$1:$G$116</definedName>
    <definedName name="_xlnm._FilterDatabase" localSheetId="9" hidden="1">TU!$G$1:$G$220</definedName>
    <definedName name="_xlnm._FilterDatabase" localSheetId="4" hidden="1">ŽB!$G$1:$G$91</definedName>
    <definedName name="_xlnm.Print_Titles" localSheetId="1">FR!$8:$11</definedName>
    <definedName name="_xlnm.Print_Titles" localSheetId="0">LB!$1:$11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5" i="42" l="1"/>
  <c r="AJ195" i="42"/>
  <c r="AI195" i="42"/>
  <c r="AH195" i="42"/>
  <c r="AG195" i="42"/>
  <c r="AD195" i="42"/>
  <c r="AC195" i="42"/>
  <c r="X195" i="42"/>
  <c r="W195" i="42"/>
  <c r="U195" i="42"/>
  <c r="T195" i="42"/>
  <c r="AM194" i="42"/>
  <c r="AL194" i="42"/>
  <c r="AN194" i="42" s="1"/>
  <c r="AE194" i="42"/>
  <c r="AA194" i="42"/>
  <c r="Z194" i="42"/>
  <c r="Y194" i="42"/>
  <c r="S194" i="42"/>
  <c r="V194" i="42" s="1"/>
  <c r="AB194" i="42" s="1"/>
  <c r="AN193" i="42"/>
  <c r="AM193" i="42"/>
  <c r="AL193" i="42"/>
  <c r="AE193" i="42"/>
  <c r="Z193" i="42"/>
  <c r="Y193" i="42"/>
  <c r="V193" i="42"/>
  <c r="AB193" i="42" s="1"/>
  <c r="S193" i="42"/>
  <c r="AN192" i="42"/>
  <c r="AM192" i="42"/>
  <c r="AL192" i="42"/>
  <c r="AE192" i="42"/>
  <c r="AB192" i="42"/>
  <c r="Y192" i="42"/>
  <c r="V192" i="42"/>
  <c r="S192" i="42"/>
  <c r="AM191" i="42"/>
  <c r="AM195" i="42" s="1"/>
  <c r="AL191" i="42"/>
  <c r="AE191" i="42"/>
  <c r="Y191" i="42"/>
  <c r="S191" i="42"/>
  <c r="V191" i="42" s="1"/>
  <c r="AM190" i="42"/>
  <c r="AL190" i="42"/>
  <c r="AE190" i="42"/>
  <c r="Y190" i="42"/>
  <c r="S190" i="42"/>
  <c r="AN189" i="42"/>
  <c r="AM189" i="42"/>
  <c r="AL189" i="42"/>
  <c r="AE189" i="42"/>
  <c r="Y189" i="42"/>
  <c r="Y195" i="42" s="1"/>
  <c r="V189" i="42"/>
  <c r="S189" i="42"/>
  <c r="AK188" i="42"/>
  <c r="AJ188" i="42"/>
  <c r="AI188" i="42"/>
  <c r="AH188" i="42"/>
  <c r="AG188" i="42"/>
  <c r="AD188" i="42"/>
  <c r="AC188" i="42"/>
  <c r="X188" i="42"/>
  <c r="W188" i="42"/>
  <c r="U188" i="42"/>
  <c r="T188" i="42"/>
  <c r="AM187" i="42"/>
  <c r="AL187" i="42"/>
  <c r="AN187" i="42" s="1"/>
  <c r="AE187" i="42"/>
  <c r="AA187" i="42"/>
  <c r="Z187" i="42"/>
  <c r="AF187" i="42" s="1"/>
  <c r="Y187" i="42"/>
  <c r="S187" i="42"/>
  <c r="V187" i="42" s="1"/>
  <c r="AB187" i="42" s="1"/>
  <c r="AN186" i="42"/>
  <c r="AM186" i="42"/>
  <c r="AL186" i="42"/>
  <c r="AE186" i="42"/>
  <c r="Z186" i="42"/>
  <c r="Y186" i="42"/>
  <c r="V186" i="42"/>
  <c r="AB186" i="42" s="1"/>
  <c r="S186" i="42"/>
  <c r="AN185" i="42"/>
  <c r="AM185" i="42"/>
  <c r="AL185" i="42"/>
  <c r="AE185" i="42"/>
  <c r="AE188" i="42" s="1"/>
  <c r="AB185" i="42"/>
  <c r="Y185" i="42"/>
  <c r="V185" i="42"/>
  <c r="S185" i="42"/>
  <c r="AM184" i="42"/>
  <c r="AM188" i="42" s="1"/>
  <c r="AL184" i="42"/>
  <c r="AE184" i="42"/>
  <c r="Y184" i="42"/>
  <c r="S184" i="42"/>
  <c r="V184" i="42" s="1"/>
  <c r="AM183" i="42"/>
  <c r="AL183" i="42"/>
  <c r="AE183" i="42"/>
  <c r="Y183" i="42"/>
  <c r="Y188" i="42" s="1"/>
  <c r="S183" i="42"/>
  <c r="AK182" i="42"/>
  <c r="AJ182" i="42"/>
  <c r="AI182" i="42"/>
  <c r="AH182" i="42"/>
  <c r="AG182" i="42"/>
  <c r="AD182" i="42"/>
  <c r="AC182" i="42"/>
  <c r="Y182" i="42"/>
  <c r="X182" i="42"/>
  <c r="W182" i="42"/>
  <c r="U182" i="42"/>
  <c r="T182" i="42"/>
  <c r="AM181" i="42"/>
  <c r="AL181" i="42"/>
  <c r="AE181" i="42"/>
  <c r="AA181" i="42"/>
  <c r="Y181" i="42"/>
  <c r="S181" i="42"/>
  <c r="V181" i="42" s="1"/>
  <c r="AM180" i="42"/>
  <c r="AL180" i="42"/>
  <c r="AN180" i="42" s="1"/>
  <c r="AE180" i="42"/>
  <c r="AA180" i="42"/>
  <c r="Z180" i="42"/>
  <c r="Y180" i="42"/>
  <c r="S180" i="42"/>
  <c r="V180" i="42" s="1"/>
  <c r="AB180" i="42" s="1"/>
  <c r="AN179" i="42"/>
  <c r="AM179" i="42"/>
  <c r="AL179" i="42"/>
  <c r="AE179" i="42"/>
  <c r="Z179" i="42"/>
  <c r="Y179" i="42"/>
  <c r="V179" i="42"/>
  <c r="AB179" i="42" s="1"/>
  <c r="S179" i="42"/>
  <c r="AN178" i="42"/>
  <c r="AM178" i="42"/>
  <c r="AL178" i="42"/>
  <c r="AE178" i="42"/>
  <c r="AE182" i="42" s="1"/>
  <c r="AB178" i="42"/>
  <c r="Y178" i="42"/>
  <c r="V178" i="42"/>
  <c r="S178" i="42"/>
  <c r="AM177" i="42"/>
  <c r="AL177" i="42"/>
  <c r="AE177" i="42"/>
  <c r="Y177" i="42"/>
  <c r="S177" i="42"/>
  <c r="AL176" i="42"/>
  <c r="AK176" i="42"/>
  <c r="AJ176" i="42"/>
  <c r="AI176" i="42"/>
  <c r="AH176" i="42"/>
  <c r="AG176" i="42"/>
  <c r="AD176" i="42"/>
  <c r="AC176" i="42"/>
  <c r="X176" i="42"/>
  <c r="W176" i="42"/>
  <c r="U176" i="42"/>
  <c r="T176" i="42"/>
  <c r="AM175" i="42"/>
  <c r="AN175" i="42" s="1"/>
  <c r="AL175" i="42"/>
  <c r="AE175" i="42"/>
  <c r="AB175" i="42"/>
  <c r="Y175" i="42"/>
  <c r="V175" i="42"/>
  <c r="S175" i="42"/>
  <c r="AM174" i="42"/>
  <c r="AL174" i="42"/>
  <c r="AN174" i="42" s="1"/>
  <c r="AE174" i="42"/>
  <c r="Y174" i="42"/>
  <c r="S174" i="42"/>
  <c r="V174" i="42" s="1"/>
  <c r="AM173" i="42"/>
  <c r="AL173" i="42"/>
  <c r="AN173" i="42" s="1"/>
  <c r="AE173" i="42"/>
  <c r="AA173" i="42"/>
  <c r="Z173" i="42"/>
  <c r="Y173" i="42"/>
  <c r="S173" i="42"/>
  <c r="V173" i="42" s="1"/>
  <c r="AB173" i="42" s="1"/>
  <c r="AN172" i="42"/>
  <c r="AM172" i="42"/>
  <c r="AL172" i="42"/>
  <c r="AE172" i="42"/>
  <c r="Z172" i="42"/>
  <c r="Y172" i="42"/>
  <c r="V172" i="42"/>
  <c r="AB172" i="42" s="1"/>
  <c r="S172" i="42"/>
  <c r="AN171" i="42"/>
  <c r="AM171" i="42"/>
  <c r="AL171" i="42"/>
  <c r="AE171" i="42"/>
  <c r="AB171" i="42"/>
  <c r="Y171" i="42"/>
  <c r="Y176" i="42" s="1"/>
  <c r="V171" i="42"/>
  <c r="S171" i="42"/>
  <c r="AM170" i="42"/>
  <c r="AM176" i="42" s="1"/>
  <c r="AL170" i="42"/>
  <c r="AE170" i="42"/>
  <c r="Y170" i="42"/>
  <c r="S170" i="42"/>
  <c r="AK169" i="42"/>
  <c r="AJ169" i="42"/>
  <c r="AI169" i="42"/>
  <c r="AH169" i="42"/>
  <c r="AG169" i="42"/>
  <c r="AD169" i="42"/>
  <c r="AC169" i="42"/>
  <c r="X169" i="42"/>
  <c r="W169" i="42"/>
  <c r="U169" i="42"/>
  <c r="T169" i="42"/>
  <c r="AN168" i="42"/>
  <c r="AM168" i="42"/>
  <c r="AL168" i="42"/>
  <c r="AE168" i="42"/>
  <c r="AB168" i="42"/>
  <c r="Y168" i="42"/>
  <c r="V168" i="42"/>
  <c r="S168" i="42"/>
  <c r="AM167" i="42"/>
  <c r="AL167" i="42"/>
  <c r="AE167" i="42"/>
  <c r="AA167" i="42"/>
  <c r="Y167" i="42"/>
  <c r="S167" i="42"/>
  <c r="V167" i="42" s="1"/>
  <c r="AM166" i="42"/>
  <c r="AL166" i="42"/>
  <c r="AE166" i="42"/>
  <c r="AA166" i="42"/>
  <c r="Z166" i="42"/>
  <c r="Y166" i="42"/>
  <c r="S166" i="42"/>
  <c r="V166" i="42" s="1"/>
  <c r="AB166" i="42" s="1"/>
  <c r="AN165" i="42"/>
  <c r="AM165" i="42"/>
  <c r="AL165" i="42"/>
  <c r="AE165" i="42"/>
  <c r="Z165" i="42"/>
  <c r="Y165" i="42"/>
  <c r="V165" i="42"/>
  <c r="AB165" i="42" s="1"/>
  <c r="S165" i="42"/>
  <c r="AN164" i="42"/>
  <c r="AM164" i="42"/>
  <c r="AL164" i="42"/>
  <c r="AE164" i="42"/>
  <c r="AE169" i="42" s="1"/>
  <c r="Y164" i="42"/>
  <c r="V164" i="42"/>
  <c r="S164" i="42"/>
  <c r="S169" i="42" s="1"/>
  <c r="AK163" i="42"/>
  <c r="AJ163" i="42"/>
  <c r="AI163" i="42"/>
  <c r="AH163" i="42"/>
  <c r="AG163" i="42"/>
  <c r="AD163" i="42"/>
  <c r="AC163" i="42"/>
  <c r="X163" i="42"/>
  <c r="W163" i="42"/>
  <c r="U163" i="42"/>
  <c r="T163" i="42"/>
  <c r="S163" i="42"/>
  <c r="AN162" i="42"/>
  <c r="AM162" i="42"/>
  <c r="AL162" i="42"/>
  <c r="AE162" i="42"/>
  <c r="AE163" i="42" s="1"/>
  <c r="Y162" i="42"/>
  <c r="V162" i="42"/>
  <c r="S162" i="42"/>
  <c r="AM161" i="42"/>
  <c r="AM163" i="42" s="1"/>
  <c r="AL161" i="42"/>
  <c r="AE161" i="42"/>
  <c r="AA161" i="42"/>
  <c r="Y161" i="42"/>
  <c r="Y163" i="42" s="1"/>
  <c r="S161" i="42"/>
  <c r="V161" i="42" s="1"/>
  <c r="AM160" i="42"/>
  <c r="AL160" i="42"/>
  <c r="AK160" i="42"/>
  <c r="AJ160" i="42"/>
  <c r="AI160" i="42"/>
  <c r="AH160" i="42"/>
  <c r="AG160" i="42"/>
  <c r="AD160" i="42"/>
  <c r="AC160" i="42"/>
  <c r="Y160" i="42"/>
  <c r="X160" i="42"/>
  <c r="W160" i="42"/>
  <c r="U160" i="42"/>
  <c r="T160" i="42"/>
  <c r="AM159" i="42"/>
  <c r="AN159" i="42" s="1"/>
  <c r="AL159" i="42"/>
  <c r="AE159" i="42"/>
  <c r="AB159" i="42"/>
  <c r="Z159" i="42"/>
  <c r="Y159" i="42"/>
  <c r="V159" i="42"/>
  <c r="AA159" i="42" s="1"/>
  <c r="S159" i="42"/>
  <c r="AN158" i="42"/>
  <c r="AM158" i="42"/>
  <c r="AL158" i="42"/>
  <c r="AE158" i="42"/>
  <c r="Y158" i="42"/>
  <c r="S158" i="42"/>
  <c r="V158" i="42" s="1"/>
  <c r="AM157" i="42"/>
  <c r="AL157" i="42"/>
  <c r="AN157" i="42" s="1"/>
  <c r="AE157" i="42"/>
  <c r="Y157" i="42"/>
  <c r="S157" i="42"/>
  <c r="V157" i="42" s="1"/>
  <c r="AN156" i="42"/>
  <c r="AM156" i="42"/>
  <c r="AL156" i="42"/>
  <c r="AE156" i="42"/>
  <c r="Y156" i="42"/>
  <c r="S156" i="42"/>
  <c r="AN155" i="42"/>
  <c r="AM155" i="42"/>
  <c r="AL155" i="42"/>
  <c r="AE155" i="42"/>
  <c r="AE160" i="42" s="1"/>
  <c r="Y155" i="42"/>
  <c r="V155" i="42"/>
  <c r="S155" i="42"/>
  <c r="AM154" i="42"/>
  <c r="AL154" i="42"/>
  <c r="AK154" i="42"/>
  <c r="AJ154" i="42"/>
  <c r="AI154" i="42"/>
  <c r="AH154" i="42"/>
  <c r="AG154" i="42"/>
  <c r="AD154" i="42"/>
  <c r="AC154" i="42"/>
  <c r="X154" i="42"/>
  <c r="W154" i="42"/>
  <c r="U154" i="42"/>
  <c r="T154" i="42"/>
  <c r="AN153" i="42"/>
  <c r="AM153" i="42"/>
  <c r="AL153" i="42"/>
  <c r="AE153" i="42"/>
  <c r="Y153" i="42"/>
  <c r="S153" i="42"/>
  <c r="AN152" i="42"/>
  <c r="AN154" i="42" s="1"/>
  <c r="AM152" i="42"/>
  <c r="AL152" i="42"/>
  <c r="AE152" i="42"/>
  <c r="AE154" i="42" s="1"/>
  <c r="Y152" i="42"/>
  <c r="Y154" i="42" s="1"/>
  <c r="V152" i="42"/>
  <c r="S152" i="42"/>
  <c r="AM151" i="42"/>
  <c r="AK151" i="42"/>
  <c r="AJ151" i="42"/>
  <c r="AI151" i="42"/>
  <c r="AH151" i="42"/>
  <c r="AG151" i="42"/>
  <c r="AD151" i="42"/>
  <c r="AC151" i="42"/>
  <c r="X151" i="42"/>
  <c r="W151" i="42"/>
  <c r="U151" i="42"/>
  <c r="T151" i="42"/>
  <c r="AN150" i="42"/>
  <c r="AM150" i="42"/>
  <c r="AL150" i="42"/>
  <c r="AE150" i="42"/>
  <c r="AA150" i="42"/>
  <c r="Y150" i="42"/>
  <c r="S150" i="42"/>
  <c r="V150" i="42" s="1"/>
  <c r="AN149" i="42"/>
  <c r="AM149" i="42"/>
  <c r="AL149" i="42"/>
  <c r="AE149" i="42"/>
  <c r="Y149" i="42"/>
  <c r="V149" i="42"/>
  <c r="S149" i="42"/>
  <c r="AM148" i="42"/>
  <c r="AL148" i="42"/>
  <c r="AE148" i="42"/>
  <c r="Y148" i="42"/>
  <c r="S148" i="42"/>
  <c r="V148" i="42" s="1"/>
  <c r="AM147" i="42"/>
  <c r="AL147" i="42"/>
  <c r="AE147" i="42"/>
  <c r="AB147" i="42"/>
  <c r="Y147" i="42"/>
  <c r="V147" i="42"/>
  <c r="S147" i="42"/>
  <c r="S151" i="42" s="1"/>
  <c r="AK146" i="42"/>
  <c r="AJ146" i="42"/>
  <c r="AI146" i="42"/>
  <c r="AH146" i="42"/>
  <c r="AG146" i="42"/>
  <c r="AD146" i="42"/>
  <c r="AC146" i="42"/>
  <c r="X146" i="42"/>
  <c r="W146" i="42"/>
  <c r="U146" i="42"/>
  <c r="T146" i="42"/>
  <c r="AN145" i="42"/>
  <c r="AM145" i="42"/>
  <c r="AL145" i="42"/>
  <c r="AE145" i="42"/>
  <c r="AB145" i="42"/>
  <c r="Y145" i="42"/>
  <c r="V145" i="42"/>
  <c r="S145" i="42"/>
  <c r="AM144" i="42"/>
  <c r="AM146" i="42" s="1"/>
  <c r="AL144" i="42"/>
  <c r="AE144" i="42"/>
  <c r="Y144" i="42"/>
  <c r="Y146" i="42" s="1"/>
  <c r="S144" i="42"/>
  <c r="AK143" i="42"/>
  <c r="AJ143" i="42"/>
  <c r="AI143" i="42"/>
  <c r="AH143" i="42"/>
  <c r="AG143" i="42"/>
  <c r="AD143" i="42"/>
  <c r="AC143" i="42"/>
  <c r="X143" i="42"/>
  <c r="W143" i="42"/>
  <c r="V143" i="42"/>
  <c r="U143" i="42"/>
  <c r="T143" i="42"/>
  <c r="AM142" i="42"/>
  <c r="AN142" i="42" s="1"/>
  <c r="AL142" i="42"/>
  <c r="AE142" i="42"/>
  <c r="AB142" i="42"/>
  <c r="Y142" i="42"/>
  <c r="V142" i="42"/>
  <c r="S142" i="42"/>
  <c r="AM141" i="42"/>
  <c r="AL141" i="42"/>
  <c r="AN141" i="42" s="1"/>
  <c r="AE141" i="42"/>
  <c r="AA141" i="42"/>
  <c r="Y141" i="42"/>
  <c r="V141" i="42"/>
  <c r="Z141" i="42" s="1"/>
  <c r="S141" i="42"/>
  <c r="AM140" i="42"/>
  <c r="AL140" i="42"/>
  <c r="AN140" i="42" s="1"/>
  <c r="AE140" i="42"/>
  <c r="AA140" i="42"/>
  <c r="Z140" i="42"/>
  <c r="Y140" i="42"/>
  <c r="S140" i="42"/>
  <c r="V140" i="42" s="1"/>
  <c r="AB140" i="42" s="1"/>
  <c r="AN139" i="42"/>
  <c r="AM139" i="42"/>
  <c r="AL139" i="42"/>
  <c r="AE139" i="42"/>
  <c r="Z139" i="42"/>
  <c r="Y139" i="42"/>
  <c r="S139" i="42"/>
  <c r="V139" i="42" s="1"/>
  <c r="AN138" i="42"/>
  <c r="AM138" i="42"/>
  <c r="AL138" i="42"/>
  <c r="AE138" i="42"/>
  <c r="AB138" i="42"/>
  <c r="Y138" i="42"/>
  <c r="V138" i="42"/>
  <c r="S138" i="42"/>
  <c r="AM137" i="42"/>
  <c r="AM143" i="42" s="1"/>
  <c r="AL137" i="42"/>
  <c r="AE137" i="42"/>
  <c r="AA137" i="42"/>
  <c r="Y137" i="42"/>
  <c r="V137" i="42"/>
  <c r="Z137" i="42" s="1"/>
  <c r="S137" i="42"/>
  <c r="S143" i="42" s="1"/>
  <c r="AL136" i="42"/>
  <c r="AK136" i="42"/>
  <c r="AJ136" i="42"/>
  <c r="AI136" i="42"/>
  <c r="AH136" i="42"/>
  <c r="AG136" i="42"/>
  <c r="AD136" i="42"/>
  <c r="AC136" i="42"/>
  <c r="Y136" i="42"/>
  <c r="X136" i="42"/>
  <c r="W136" i="42"/>
  <c r="U136" i="42"/>
  <c r="T136" i="42"/>
  <c r="AM135" i="42"/>
  <c r="AN135" i="42" s="1"/>
  <c r="AL135" i="42"/>
  <c r="AE135" i="42"/>
  <c r="Y135" i="42"/>
  <c r="V135" i="42"/>
  <c r="S135" i="42"/>
  <c r="AM134" i="42"/>
  <c r="AL134" i="42"/>
  <c r="AN134" i="42" s="1"/>
  <c r="AN136" i="42" s="1"/>
  <c r="AE134" i="42"/>
  <c r="AE136" i="42" s="1"/>
  <c r="Y134" i="42"/>
  <c r="V134" i="42"/>
  <c r="S134" i="42"/>
  <c r="S136" i="42" s="1"/>
  <c r="AK133" i="42"/>
  <c r="AJ133" i="42"/>
  <c r="AI133" i="42"/>
  <c r="AH133" i="42"/>
  <c r="AG133" i="42"/>
  <c r="AD133" i="42"/>
  <c r="AC133" i="42"/>
  <c r="Y133" i="42"/>
  <c r="X133" i="42"/>
  <c r="W133" i="42"/>
  <c r="U133" i="42"/>
  <c r="T133" i="42"/>
  <c r="AN132" i="42"/>
  <c r="AM132" i="42"/>
  <c r="AL132" i="42"/>
  <c r="AE132" i="42"/>
  <c r="Y132" i="42"/>
  <c r="V132" i="42"/>
  <c r="S132" i="42"/>
  <c r="AM131" i="42"/>
  <c r="AM133" i="42" s="1"/>
  <c r="AL131" i="42"/>
  <c r="AE131" i="42"/>
  <c r="AE133" i="42" s="1"/>
  <c r="Y131" i="42"/>
  <c r="S131" i="42"/>
  <c r="AK130" i="42"/>
  <c r="AJ130" i="42"/>
  <c r="AI130" i="42"/>
  <c r="AH130" i="42"/>
  <c r="AG130" i="42"/>
  <c r="AD130" i="42"/>
  <c r="AC130" i="42"/>
  <c r="X130" i="42"/>
  <c r="W130" i="42"/>
  <c r="U130" i="42"/>
  <c r="T130" i="42"/>
  <c r="AN129" i="42"/>
  <c r="AM129" i="42"/>
  <c r="AL129" i="42"/>
  <c r="AE129" i="42"/>
  <c r="AB129" i="42"/>
  <c r="Y129" i="42"/>
  <c r="V129" i="42"/>
  <c r="S129" i="42"/>
  <c r="AN128" i="42"/>
  <c r="AM128" i="42"/>
  <c r="AL128" i="42"/>
  <c r="AE128" i="42"/>
  <c r="AB128" i="42"/>
  <c r="Y128" i="42"/>
  <c r="V128" i="42"/>
  <c r="S128" i="42"/>
  <c r="AM127" i="42"/>
  <c r="AL127" i="42"/>
  <c r="AE127" i="42"/>
  <c r="Z127" i="42"/>
  <c r="Y127" i="42"/>
  <c r="V127" i="42"/>
  <c r="AB127" i="42" s="1"/>
  <c r="S127" i="42"/>
  <c r="AN126" i="42"/>
  <c r="AM126" i="42"/>
  <c r="AL126" i="42"/>
  <c r="AL130" i="42" s="1"/>
  <c r="AE126" i="42"/>
  <c r="AA126" i="42"/>
  <c r="Y126" i="42"/>
  <c r="S126" i="42"/>
  <c r="V126" i="42" s="1"/>
  <c r="AN125" i="42"/>
  <c r="AM125" i="42"/>
  <c r="AM130" i="42" s="1"/>
  <c r="AL125" i="42"/>
  <c r="AE125" i="42"/>
  <c r="AE130" i="42" s="1"/>
  <c r="Y125" i="42"/>
  <c r="Y130" i="42" s="1"/>
  <c r="V125" i="42"/>
  <c r="S125" i="42"/>
  <c r="AL124" i="42"/>
  <c r="AK124" i="42"/>
  <c r="AJ124" i="42"/>
  <c r="AI124" i="42"/>
  <c r="AH124" i="42"/>
  <c r="AG124" i="42"/>
  <c r="AD124" i="42"/>
  <c r="AC124" i="42"/>
  <c r="X124" i="42"/>
  <c r="W124" i="42"/>
  <c r="U124" i="42"/>
  <c r="T124" i="42"/>
  <c r="S124" i="42"/>
  <c r="AN123" i="42"/>
  <c r="AM123" i="42"/>
  <c r="AL123" i="42"/>
  <c r="AE123" i="42"/>
  <c r="Z123" i="42"/>
  <c r="Y123" i="42"/>
  <c r="V123" i="42"/>
  <c r="AB123" i="42" s="1"/>
  <c r="S123" i="42"/>
  <c r="AN122" i="42"/>
  <c r="AM122" i="42"/>
  <c r="AL122" i="42"/>
  <c r="AE122" i="42"/>
  <c r="AE124" i="42" s="1"/>
  <c r="Y122" i="42"/>
  <c r="Y124" i="42" s="1"/>
  <c r="V122" i="42"/>
  <c r="S122" i="42"/>
  <c r="AM121" i="42"/>
  <c r="AM124" i="42" s="1"/>
  <c r="AL121" i="42"/>
  <c r="AE121" i="42"/>
  <c r="Y121" i="42"/>
  <c r="S121" i="42"/>
  <c r="V121" i="42" s="1"/>
  <c r="AK120" i="42"/>
  <c r="AJ120" i="42"/>
  <c r="AI120" i="42"/>
  <c r="AH120" i="42"/>
  <c r="AG120" i="42"/>
  <c r="AD120" i="42"/>
  <c r="AC120" i="42"/>
  <c r="X120" i="42"/>
  <c r="W120" i="42"/>
  <c r="U120" i="42"/>
  <c r="T120" i="42"/>
  <c r="AN119" i="42"/>
  <c r="AM119" i="42"/>
  <c r="AL119" i="42"/>
  <c r="AE119" i="42"/>
  <c r="AB119" i="42"/>
  <c r="Y119" i="42"/>
  <c r="V119" i="42"/>
  <c r="S119" i="42"/>
  <c r="AM118" i="42"/>
  <c r="AL118" i="42"/>
  <c r="AE118" i="42"/>
  <c r="Y118" i="42"/>
  <c r="S118" i="42"/>
  <c r="V118" i="42" s="1"/>
  <c r="Z118" i="42" s="1"/>
  <c r="AM117" i="42"/>
  <c r="AL117" i="42"/>
  <c r="AN117" i="42" s="1"/>
  <c r="AE117" i="42"/>
  <c r="AA117" i="42"/>
  <c r="Y117" i="42"/>
  <c r="S117" i="42"/>
  <c r="V117" i="42" s="1"/>
  <c r="AN116" i="42"/>
  <c r="AM116" i="42"/>
  <c r="AL116" i="42"/>
  <c r="AE116" i="42"/>
  <c r="Z116" i="42"/>
  <c r="Y116" i="42"/>
  <c r="V116" i="42"/>
  <c r="AB116" i="42" s="1"/>
  <c r="S116" i="42"/>
  <c r="AN115" i="42"/>
  <c r="AM115" i="42"/>
  <c r="AL115" i="42"/>
  <c r="AE115" i="42"/>
  <c r="AE120" i="42" s="1"/>
  <c r="Y115" i="42"/>
  <c r="Y120" i="42" s="1"/>
  <c r="V115" i="42"/>
  <c r="S115" i="42"/>
  <c r="AL114" i="42"/>
  <c r="AK114" i="42"/>
  <c r="AJ114" i="42"/>
  <c r="AI114" i="42"/>
  <c r="AH114" i="42"/>
  <c r="AG114" i="42"/>
  <c r="AD114" i="42"/>
  <c r="AC114" i="42"/>
  <c r="X114" i="42"/>
  <c r="W114" i="42"/>
  <c r="V114" i="42"/>
  <c r="U114" i="42"/>
  <c r="T114" i="42"/>
  <c r="S114" i="42"/>
  <c r="AN113" i="42"/>
  <c r="AM113" i="42"/>
  <c r="AL113" i="42"/>
  <c r="AE113" i="42"/>
  <c r="Z113" i="42"/>
  <c r="Y113" i="42"/>
  <c r="V113" i="42"/>
  <c r="AB113" i="42" s="1"/>
  <c r="S113" i="42"/>
  <c r="AN112" i="42"/>
  <c r="AN114" i="42" s="1"/>
  <c r="AM112" i="42"/>
  <c r="AM114" i="42" s="1"/>
  <c r="AL112" i="42"/>
  <c r="AE112" i="42"/>
  <c r="AE114" i="42" s="1"/>
  <c r="AB112" i="42"/>
  <c r="AB114" i="42" s="1"/>
  <c r="Y112" i="42"/>
  <c r="Y114" i="42" s="1"/>
  <c r="V112" i="42"/>
  <c r="S112" i="42"/>
  <c r="AK111" i="42"/>
  <c r="AJ111" i="42"/>
  <c r="AI111" i="42"/>
  <c r="AH111" i="42"/>
  <c r="AG111" i="42"/>
  <c r="AD111" i="42"/>
  <c r="AC111" i="42"/>
  <c r="X111" i="42"/>
  <c r="W111" i="42"/>
  <c r="U111" i="42"/>
  <c r="T111" i="42"/>
  <c r="S111" i="42"/>
  <c r="AN110" i="42"/>
  <c r="AM110" i="42"/>
  <c r="AL110" i="42"/>
  <c r="AE110" i="42"/>
  <c r="Y110" i="42"/>
  <c r="Z110" i="42" s="1"/>
  <c r="V110" i="42"/>
  <c r="AB110" i="42" s="1"/>
  <c r="S110" i="42"/>
  <c r="AM109" i="42"/>
  <c r="AN109" i="42" s="1"/>
  <c r="AL109" i="42"/>
  <c r="AE109" i="42"/>
  <c r="AB109" i="42"/>
  <c r="Y109" i="42"/>
  <c r="V109" i="42"/>
  <c r="S109" i="42"/>
  <c r="AM108" i="42"/>
  <c r="AL108" i="42"/>
  <c r="AN108" i="42" s="1"/>
  <c r="AE108" i="42"/>
  <c r="AA108" i="42"/>
  <c r="Y108" i="42"/>
  <c r="V108" i="42"/>
  <c r="Z108" i="42" s="1"/>
  <c r="S108" i="42"/>
  <c r="AM107" i="42"/>
  <c r="AL107" i="42"/>
  <c r="AE107" i="42"/>
  <c r="AA107" i="42"/>
  <c r="Z107" i="42"/>
  <c r="AF107" i="42" s="1"/>
  <c r="Y107" i="42"/>
  <c r="S107" i="42"/>
  <c r="V107" i="42" s="1"/>
  <c r="AB107" i="42" s="1"/>
  <c r="AN106" i="42"/>
  <c r="AM106" i="42"/>
  <c r="AL106" i="42"/>
  <c r="AE106" i="42"/>
  <c r="Z106" i="42"/>
  <c r="Y106" i="42"/>
  <c r="V106" i="42"/>
  <c r="AB106" i="42" s="1"/>
  <c r="S106" i="42"/>
  <c r="AN105" i="42"/>
  <c r="AM105" i="42"/>
  <c r="AL105" i="42"/>
  <c r="AE105" i="42"/>
  <c r="AE111" i="42" s="1"/>
  <c r="AB105" i="42"/>
  <c r="Y105" i="42"/>
  <c r="V105" i="42"/>
  <c r="S105" i="42"/>
  <c r="AK104" i="42"/>
  <c r="AJ104" i="42"/>
  <c r="AI104" i="42"/>
  <c r="AH104" i="42"/>
  <c r="AG104" i="42"/>
  <c r="AE104" i="42"/>
  <c r="AD104" i="42"/>
  <c r="AC104" i="42"/>
  <c r="X104" i="42"/>
  <c r="W104" i="42"/>
  <c r="U104" i="42"/>
  <c r="T104" i="42"/>
  <c r="S104" i="42"/>
  <c r="AN103" i="42"/>
  <c r="AM103" i="42"/>
  <c r="AL103" i="42"/>
  <c r="AE103" i="42"/>
  <c r="Z103" i="42"/>
  <c r="Y103" i="42"/>
  <c r="V103" i="42"/>
  <c r="AB103" i="42" s="1"/>
  <c r="S103" i="42"/>
  <c r="AN102" i="42"/>
  <c r="AM102" i="42"/>
  <c r="AL102" i="42"/>
  <c r="AE102" i="42"/>
  <c r="AB102" i="42"/>
  <c r="Y102" i="42"/>
  <c r="V102" i="42"/>
  <c r="S102" i="42"/>
  <c r="AM101" i="42"/>
  <c r="AM104" i="42" s="1"/>
  <c r="AL101" i="42"/>
  <c r="AE101" i="42"/>
  <c r="AA101" i="42"/>
  <c r="Y101" i="42"/>
  <c r="V101" i="42"/>
  <c r="Z101" i="42" s="1"/>
  <c r="S101" i="42"/>
  <c r="AM100" i="42"/>
  <c r="AL100" i="42"/>
  <c r="AE100" i="42"/>
  <c r="AA100" i="42"/>
  <c r="Z100" i="42"/>
  <c r="AF100" i="42" s="1"/>
  <c r="Y100" i="42"/>
  <c r="S100" i="42"/>
  <c r="V100" i="42" s="1"/>
  <c r="AB100" i="42" s="1"/>
  <c r="AN99" i="42"/>
  <c r="AM99" i="42"/>
  <c r="AL99" i="42"/>
  <c r="AE99" i="42"/>
  <c r="Z99" i="42"/>
  <c r="Y99" i="42"/>
  <c r="V99" i="42"/>
  <c r="AB99" i="42" s="1"/>
  <c r="S99" i="42"/>
  <c r="AM98" i="42"/>
  <c r="AK98" i="42"/>
  <c r="AJ98" i="42"/>
  <c r="AI98" i="42"/>
  <c r="AH98" i="42"/>
  <c r="AG98" i="42"/>
  <c r="AE98" i="42"/>
  <c r="AD98" i="42"/>
  <c r="AC98" i="42"/>
  <c r="X98" i="42"/>
  <c r="W98" i="42"/>
  <c r="U98" i="42"/>
  <c r="T98" i="42"/>
  <c r="AM97" i="42"/>
  <c r="AL97" i="42"/>
  <c r="AE97" i="42"/>
  <c r="Z97" i="42"/>
  <c r="Y97" i="42"/>
  <c r="S97" i="42"/>
  <c r="V97" i="42" s="1"/>
  <c r="AB97" i="42" s="1"/>
  <c r="AN96" i="42"/>
  <c r="AM96" i="42"/>
  <c r="AL96" i="42"/>
  <c r="AE96" i="42"/>
  <c r="Y96" i="42"/>
  <c r="Y98" i="42" s="1"/>
  <c r="V96" i="42"/>
  <c r="V98" i="42" s="1"/>
  <c r="S96" i="42"/>
  <c r="AM95" i="42"/>
  <c r="AK95" i="42"/>
  <c r="AJ95" i="42"/>
  <c r="AI95" i="42"/>
  <c r="AH95" i="42"/>
  <c r="AG95" i="42"/>
  <c r="AD95" i="42"/>
  <c r="AC95" i="42"/>
  <c r="X95" i="42"/>
  <c r="W95" i="42"/>
  <c r="U95" i="42"/>
  <c r="T95" i="42"/>
  <c r="AM94" i="42"/>
  <c r="AL94" i="42"/>
  <c r="AN94" i="42" s="1"/>
  <c r="AE94" i="42"/>
  <c r="AA94" i="42"/>
  <c r="Z94" i="42"/>
  <c r="Y94" i="42"/>
  <c r="S94" i="42"/>
  <c r="V94" i="42" s="1"/>
  <c r="AB94" i="42" s="1"/>
  <c r="AN93" i="42"/>
  <c r="AM93" i="42"/>
  <c r="AL93" i="42"/>
  <c r="AE93" i="42"/>
  <c r="AB93" i="42"/>
  <c r="Y93" i="42"/>
  <c r="V93" i="42"/>
  <c r="S93" i="42"/>
  <c r="AM92" i="42"/>
  <c r="AL92" i="42"/>
  <c r="AN92" i="42" s="1"/>
  <c r="AE92" i="42"/>
  <c r="Y92" i="42"/>
  <c r="V92" i="42"/>
  <c r="S92" i="42"/>
  <c r="AM91" i="42"/>
  <c r="AL91" i="42"/>
  <c r="AN91" i="42" s="1"/>
  <c r="AF91" i="42"/>
  <c r="AE91" i="42"/>
  <c r="AA91" i="42"/>
  <c r="Z91" i="42"/>
  <c r="Y91" i="42"/>
  <c r="S91" i="42"/>
  <c r="V91" i="42" s="1"/>
  <c r="AB91" i="42" s="1"/>
  <c r="AN90" i="42"/>
  <c r="AN95" i="42" s="1"/>
  <c r="AM90" i="42"/>
  <c r="AL90" i="42"/>
  <c r="AE90" i="42"/>
  <c r="AE95" i="42" s="1"/>
  <c r="Y90" i="42"/>
  <c r="Y95" i="42" s="1"/>
  <c r="S90" i="42"/>
  <c r="AK89" i="42"/>
  <c r="AJ89" i="42"/>
  <c r="AI89" i="42"/>
  <c r="AH89" i="42"/>
  <c r="AG89" i="42"/>
  <c r="AD89" i="42"/>
  <c r="AC89" i="42"/>
  <c r="Y89" i="42"/>
  <c r="X89" i="42"/>
  <c r="W89" i="42"/>
  <c r="U89" i="42"/>
  <c r="T89" i="42"/>
  <c r="AM88" i="42"/>
  <c r="AL88" i="42"/>
  <c r="AN88" i="42" s="1"/>
  <c r="AE88" i="42"/>
  <c r="Y88" i="42"/>
  <c r="S88" i="42"/>
  <c r="V88" i="42" s="1"/>
  <c r="AM87" i="42"/>
  <c r="AL87" i="42"/>
  <c r="AN87" i="42" s="1"/>
  <c r="AE87" i="42"/>
  <c r="Y87" i="42"/>
  <c r="S87" i="42"/>
  <c r="AN86" i="42"/>
  <c r="AM86" i="42"/>
  <c r="AM89" i="42" s="1"/>
  <c r="AL86" i="42"/>
  <c r="AE86" i="42"/>
  <c r="AE89" i="42" s="1"/>
  <c r="Z86" i="42"/>
  <c r="Y86" i="42"/>
  <c r="V86" i="42"/>
  <c r="AB86" i="42" s="1"/>
  <c r="S86" i="42"/>
  <c r="AK85" i="42"/>
  <c r="AJ85" i="42"/>
  <c r="AI85" i="42"/>
  <c r="AH85" i="42"/>
  <c r="AG85" i="42"/>
  <c r="AE85" i="42"/>
  <c r="AD85" i="42"/>
  <c r="AC85" i="42"/>
  <c r="X85" i="42"/>
  <c r="W85" i="42"/>
  <c r="U85" i="42"/>
  <c r="T85" i="42"/>
  <c r="AM84" i="42"/>
  <c r="AL84" i="42"/>
  <c r="AN84" i="42" s="1"/>
  <c r="AF84" i="42"/>
  <c r="AE84" i="42"/>
  <c r="AA84" i="42"/>
  <c r="Z84" i="42"/>
  <c r="Y84" i="42"/>
  <c r="S84" i="42"/>
  <c r="V84" i="42" s="1"/>
  <c r="AB84" i="42" s="1"/>
  <c r="AN83" i="42"/>
  <c r="AM83" i="42"/>
  <c r="AL83" i="42"/>
  <c r="AE83" i="42"/>
  <c r="Y83" i="42"/>
  <c r="Z83" i="42" s="1"/>
  <c r="V83" i="42"/>
  <c r="AB83" i="42" s="1"/>
  <c r="S83" i="42"/>
  <c r="AM82" i="42"/>
  <c r="AN82" i="42" s="1"/>
  <c r="AL82" i="42"/>
  <c r="AE82" i="42"/>
  <c r="AB82" i="42"/>
  <c r="Y82" i="42"/>
  <c r="V82" i="42"/>
  <c r="S82" i="42"/>
  <c r="AM81" i="42"/>
  <c r="AM85" i="42" s="1"/>
  <c r="AL81" i="42"/>
  <c r="AN81" i="42" s="1"/>
  <c r="AE81" i="42"/>
  <c r="Y81" i="42"/>
  <c r="S81" i="42"/>
  <c r="V81" i="42" s="1"/>
  <c r="AM80" i="42"/>
  <c r="AL80" i="42"/>
  <c r="AE80" i="42"/>
  <c r="AA80" i="42"/>
  <c r="Z80" i="42"/>
  <c r="AF80" i="42" s="1"/>
  <c r="Y80" i="42"/>
  <c r="S80" i="42"/>
  <c r="V80" i="42" s="1"/>
  <c r="AB80" i="42" s="1"/>
  <c r="AN79" i="42"/>
  <c r="AM79" i="42"/>
  <c r="AL79" i="42"/>
  <c r="AE79" i="42"/>
  <c r="Z79" i="42"/>
  <c r="Y79" i="42"/>
  <c r="V79" i="42"/>
  <c r="S79" i="42"/>
  <c r="AM78" i="42"/>
  <c r="AK78" i="42"/>
  <c r="AJ78" i="42"/>
  <c r="AI78" i="42"/>
  <c r="AH78" i="42"/>
  <c r="AG78" i="42"/>
  <c r="AE78" i="42"/>
  <c r="AD78" i="42"/>
  <c r="AC78" i="42"/>
  <c r="AA78" i="42"/>
  <c r="X78" i="42"/>
  <c r="W78" i="42"/>
  <c r="U78" i="42"/>
  <c r="T78" i="42"/>
  <c r="AM77" i="42"/>
  <c r="AL77" i="42"/>
  <c r="AE77" i="42"/>
  <c r="AA77" i="42"/>
  <c r="Z77" i="42"/>
  <c r="Z78" i="42" s="1"/>
  <c r="Y77" i="42"/>
  <c r="Y78" i="42" s="1"/>
  <c r="S77" i="42"/>
  <c r="V77" i="42" s="1"/>
  <c r="AK76" i="42"/>
  <c r="AJ76" i="42"/>
  <c r="AI76" i="42"/>
  <c r="AH76" i="42"/>
  <c r="AG76" i="42"/>
  <c r="AD76" i="42"/>
  <c r="AC76" i="42"/>
  <c r="Y76" i="42"/>
  <c r="X76" i="42"/>
  <c r="W76" i="42"/>
  <c r="U76" i="42"/>
  <c r="T76" i="42"/>
  <c r="AM75" i="42"/>
  <c r="AL75" i="42"/>
  <c r="AN75" i="42" s="1"/>
  <c r="AE75" i="42"/>
  <c r="Y75" i="42"/>
  <c r="S75" i="42"/>
  <c r="V75" i="42" s="1"/>
  <c r="AM74" i="42"/>
  <c r="AL74" i="42"/>
  <c r="AN74" i="42" s="1"/>
  <c r="AE74" i="42"/>
  <c r="Y74" i="42"/>
  <c r="S74" i="42"/>
  <c r="V74" i="42" s="1"/>
  <c r="AB74" i="42" s="1"/>
  <c r="AN73" i="42"/>
  <c r="AM73" i="42"/>
  <c r="AL73" i="42"/>
  <c r="AE73" i="42"/>
  <c r="Y73" i="42"/>
  <c r="Z73" i="42" s="1"/>
  <c r="V73" i="42"/>
  <c r="AB73" i="42" s="1"/>
  <c r="S73" i="42"/>
  <c r="AM72" i="42"/>
  <c r="AN72" i="42" s="1"/>
  <c r="AL72" i="42"/>
  <c r="AE72" i="42"/>
  <c r="Y72" i="42"/>
  <c r="V72" i="42"/>
  <c r="AB72" i="42" s="1"/>
  <c r="S72" i="42"/>
  <c r="AM71" i="42"/>
  <c r="AL71" i="42"/>
  <c r="AN71" i="42" s="1"/>
  <c r="AE71" i="42"/>
  <c r="Y71" i="42"/>
  <c r="V71" i="42"/>
  <c r="Z71" i="42" s="1"/>
  <c r="S71" i="42"/>
  <c r="AM70" i="42"/>
  <c r="AL70" i="42"/>
  <c r="AE70" i="42"/>
  <c r="AE76" i="42" s="1"/>
  <c r="Y70" i="42"/>
  <c r="S70" i="42"/>
  <c r="AK69" i="42"/>
  <c r="AJ69" i="42"/>
  <c r="AI69" i="42"/>
  <c r="AH69" i="42"/>
  <c r="AG69" i="42"/>
  <c r="AD69" i="42"/>
  <c r="AC69" i="42"/>
  <c r="Y69" i="42"/>
  <c r="X69" i="42"/>
  <c r="W69" i="42"/>
  <c r="U69" i="42"/>
  <c r="T69" i="42"/>
  <c r="AM68" i="42"/>
  <c r="AL68" i="42"/>
  <c r="AN68" i="42" s="1"/>
  <c r="AE68" i="42"/>
  <c r="Y68" i="42"/>
  <c r="S68" i="42"/>
  <c r="V68" i="42" s="1"/>
  <c r="AM67" i="42"/>
  <c r="AL67" i="42"/>
  <c r="AN67" i="42" s="1"/>
  <c r="AE67" i="42"/>
  <c r="Y67" i="42"/>
  <c r="S67" i="42"/>
  <c r="V67" i="42" s="1"/>
  <c r="AB67" i="42" s="1"/>
  <c r="AN66" i="42"/>
  <c r="AM66" i="42"/>
  <c r="AL66" i="42"/>
  <c r="AE66" i="42"/>
  <c r="Y66" i="42"/>
  <c r="Z66" i="42" s="1"/>
  <c r="V66" i="42"/>
  <c r="AB66" i="42" s="1"/>
  <c r="S66" i="42"/>
  <c r="AM65" i="42"/>
  <c r="AM69" i="42" s="1"/>
  <c r="AL65" i="42"/>
  <c r="AL69" i="42" s="1"/>
  <c r="AE65" i="42"/>
  <c r="AE69" i="42" s="1"/>
  <c r="Y65" i="42"/>
  <c r="V65" i="42"/>
  <c r="AB65" i="42" s="1"/>
  <c r="S65" i="42"/>
  <c r="AL64" i="42"/>
  <c r="AK64" i="42"/>
  <c r="AJ64" i="42"/>
  <c r="AI64" i="42"/>
  <c r="AH64" i="42"/>
  <c r="AG64" i="42"/>
  <c r="AD64" i="42"/>
  <c r="AC64" i="42"/>
  <c r="X64" i="42"/>
  <c r="W64" i="42"/>
  <c r="U64" i="42"/>
  <c r="T64" i="42"/>
  <c r="AN63" i="42"/>
  <c r="AM63" i="42"/>
  <c r="AL63" i="42"/>
  <c r="AE63" i="42"/>
  <c r="Y63" i="42"/>
  <c r="Z63" i="42" s="1"/>
  <c r="V63" i="42"/>
  <c r="AB63" i="42" s="1"/>
  <c r="S63" i="42"/>
  <c r="AM62" i="42"/>
  <c r="AN62" i="42" s="1"/>
  <c r="AL62" i="42"/>
  <c r="AE62" i="42"/>
  <c r="Y62" i="42"/>
  <c r="V62" i="42"/>
  <c r="S62" i="42"/>
  <c r="AM61" i="42"/>
  <c r="AL61" i="42"/>
  <c r="AN61" i="42" s="1"/>
  <c r="AE61" i="42"/>
  <c r="Y61" i="42"/>
  <c r="S61" i="42"/>
  <c r="V61" i="42" s="1"/>
  <c r="AM60" i="42"/>
  <c r="AL60" i="42"/>
  <c r="AN60" i="42" s="1"/>
  <c r="AE60" i="42"/>
  <c r="Y60" i="42"/>
  <c r="S60" i="42"/>
  <c r="V60" i="42" s="1"/>
  <c r="AB60" i="42" s="1"/>
  <c r="AN59" i="42"/>
  <c r="AM59" i="42"/>
  <c r="AL59" i="42"/>
  <c r="AE59" i="42"/>
  <c r="AE64" i="42" s="1"/>
  <c r="Y59" i="42"/>
  <c r="Y64" i="42" s="1"/>
  <c r="V59" i="42"/>
  <c r="AB59" i="42" s="1"/>
  <c r="S59" i="42"/>
  <c r="AM58" i="42"/>
  <c r="AK58" i="42"/>
  <c r="AJ58" i="42"/>
  <c r="AI58" i="42"/>
  <c r="AH58" i="42"/>
  <c r="AG58" i="42"/>
  <c r="AD58" i="42"/>
  <c r="AC58" i="42"/>
  <c r="X58" i="42"/>
  <c r="W58" i="42"/>
  <c r="U58" i="42"/>
  <c r="T58" i="42"/>
  <c r="AM57" i="42"/>
  <c r="AL57" i="42"/>
  <c r="AN57" i="42" s="1"/>
  <c r="AE57" i="42"/>
  <c r="AA57" i="42"/>
  <c r="Y57" i="42"/>
  <c r="S57" i="42"/>
  <c r="V57" i="42" s="1"/>
  <c r="AB57" i="42" s="1"/>
  <c r="AN56" i="42"/>
  <c r="AM56" i="42"/>
  <c r="AL56" i="42"/>
  <c r="AE56" i="42"/>
  <c r="Y56" i="42"/>
  <c r="Z56" i="42" s="1"/>
  <c r="V56" i="42"/>
  <c r="AB56" i="42" s="1"/>
  <c r="S56" i="42"/>
  <c r="AM55" i="42"/>
  <c r="AN55" i="42" s="1"/>
  <c r="AL55" i="42"/>
  <c r="AE55" i="42"/>
  <c r="AE58" i="42" s="1"/>
  <c r="Y55" i="42"/>
  <c r="V55" i="42"/>
  <c r="S55" i="42"/>
  <c r="AM54" i="42"/>
  <c r="AL54" i="42"/>
  <c r="AN54" i="42" s="1"/>
  <c r="AE54" i="42"/>
  <c r="Y54" i="42"/>
  <c r="S54" i="42"/>
  <c r="V54" i="42" s="1"/>
  <c r="AM53" i="42"/>
  <c r="AL53" i="42"/>
  <c r="AE53" i="42"/>
  <c r="Y53" i="42"/>
  <c r="Y58" i="42" s="1"/>
  <c r="S53" i="42"/>
  <c r="V53" i="42" s="1"/>
  <c r="AK52" i="42"/>
  <c r="AJ52" i="42"/>
  <c r="AI52" i="42"/>
  <c r="AH52" i="42"/>
  <c r="AG52" i="42"/>
  <c r="AD52" i="42"/>
  <c r="AC52" i="42"/>
  <c r="Y52" i="42"/>
  <c r="X52" i="42"/>
  <c r="W52" i="42"/>
  <c r="U52" i="42"/>
  <c r="T52" i="42"/>
  <c r="AM51" i="42"/>
  <c r="AL51" i="42"/>
  <c r="AE51" i="42"/>
  <c r="Y51" i="42"/>
  <c r="S51" i="42"/>
  <c r="V51" i="42" s="1"/>
  <c r="AM50" i="42"/>
  <c r="AL50" i="42"/>
  <c r="AN50" i="42" s="1"/>
  <c r="AE50" i="42"/>
  <c r="AA50" i="42"/>
  <c r="Y50" i="42"/>
  <c r="S50" i="42"/>
  <c r="V50" i="42" s="1"/>
  <c r="AB50" i="42" s="1"/>
  <c r="AN49" i="42"/>
  <c r="AM49" i="42"/>
  <c r="AL49" i="42"/>
  <c r="AE49" i="42"/>
  <c r="Y49" i="42"/>
  <c r="S49" i="42"/>
  <c r="V49" i="42" s="1"/>
  <c r="AN48" i="42"/>
  <c r="AM48" i="42"/>
  <c r="AL48" i="42"/>
  <c r="AE48" i="42"/>
  <c r="AB48" i="42"/>
  <c r="Y48" i="42"/>
  <c r="V48" i="42"/>
  <c r="S48" i="42"/>
  <c r="AM47" i="42"/>
  <c r="AM52" i="42" s="1"/>
  <c r="AL47" i="42"/>
  <c r="AE47" i="42"/>
  <c r="Y47" i="42"/>
  <c r="S47" i="42"/>
  <c r="S52" i="42" s="1"/>
  <c r="AL46" i="42"/>
  <c r="AK46" i="42"/>
  <c r="AJ46" i="42"/>
  <c r="AI46" i="42"/>
  <c r="AH46" i="42"/>
  <c r="AG46" i="42"/>
  <c r="AD46" i="42"/>
  <c r="AC46" i="42"/>
  <c r="X46" i="42"/>
  <c r="W46" i="42"/>
  <c r="V46" i="42"/>
  <c r="U46" i="42"/>
  <c r="T46" i="42"/>
  <c r="AM45" i="42"/>
  <c r="AM46" i="42" s="1"/>
  <c r="AL45" i="42"/>
  <c r="AE45" i="42"/>
  <c r="AE46" i="42" s="1"/>
  <c r="AB45" i="42"/>
  <c r="AB46" i="42" s="1"/>
  <c r="Y45" i="42"/>
  <c r="Y46" i="42" s="1"/>
  <c r="V45" i="42"/>
  <c r="S45" i="42"/>
  <c r="S46" i="42" s="1"/>
  <c r="AL44" i="42"/>
  <c r="AK44" i="42"/>
  <c r="AJ44" i="42"/>
  <c r="AI44" i="42"/>
  <c r="AH44" i="42"/>
  <c r="AG44" i="42"/>
  <c r="AE44" i="42"/>
  <c r="AD44" i="42"/>
  <c r="AC44" i="42"/>
  <c r="X44" i="42"/>
  <c r="W44" i="42"/>
  <c r="U44" i="42"/>
  <c r="T44" i="42"/>
  <c r="S44" i="42"/>
  <c r="AN43" i="42"/>
  <c r="AM43" i="42"/>
  <c r="AL43" i="42"/>
  <c r="AE43" i="42"/>
  <c r="Y43" i="42"/>
  <c r="Z43" i="42" s="1"/>
  <c r="V43" i="42"/>
  <c r="AB43" i="42" s="1"/>
  <c r="S43" i="42"/>
  <c r="AM42" i="42"/>
  <c r="AM44" i="42" s="1"/>
  <c r="AL42" i="42"/>
  <c r="AE42" i="42"/>
  <c r="Y42" i="42"/>
  <c r="Y44" i="42" s="1"/>
  <c r="V42" i="42"/>
  <c r="AB42" i="42" s="1"/>
  <c r="AB44" i="42" s="1"/>
  <c r="S42" i="42"/>
  <c r="AL41" i="42"/>
  <c r="AK41" i="42"/>
  <c r="AJ41" i="42"/>
  <c r="AI41" i="42"/>
  <c r="AH41" i="42"/>
  <c r="AG41" i="42"/>
  <c r="AD41" i="42"/>
  <c r="AC41" i="42"/>
  <c r="X41" i="42"/>
  <c r="W41" i="42"/>
  <c r="V41" i="42"/>
  <c r="U41" i="42"/>
  <c r="T41" i="42"/>
  <c r="S41" i="42"/>
  <c r="AN40" i="42"/>
  <c r="AM40" i="42"/>
  <c r="AL40" i="42"/>
  <c r="AE40" i="42"/>
  <c r="Y40" i="42"/>
  <c r="Z40" i="42" s="1"/>
  <c r="V40" i="42"/>
  <c r="AB40" i="42" s="1"/>
  <c r="S40" i="42"/>
  <c r="AM39" i="42"/>
  <c r="AN39" i="42" s="1"/>
  <c r="AN41" i="42" s="1"/>
  <c r="AL39" i="42"/>
  <c r="AE39" i="42"/>
  <c r="AE41" i="42" s="1"/>
  <c r="Y39" i="42"/>
  <c r="Y41" i="42" s="1"/>
  <c r="V39" i="42"/>
  <c r="S39" i="42"/>
  <c r="AL38" i="42"/>
  <c r="AK38" i="42"/>
  <c r="AJ38" i="42"/>
  <c r="AI38" i="42"/>
  <c r="AH38" i="42"/>
  <c r="AG38" i="42"/>
  <c r="AE38" i="42"/>
  <c r="AD38" i="42"/>
  <c r="AC38" i="42"/>
  <c r="X38" i="42"/>
  <c r="W38" i="42"/>
  <c r="U38" i="42"/>
  <c r="T38" i="42"/>
  <c r="AN37" i="42"/>
  <c r="AM37" i="42"/>
  <c r="AL37" i="42"/>
  <c r="AE37" i="42"/>
  <c r="Z37" i="42"/>
  <c r="Y37" i="42"/>
  <c r="V37" i="42"/>
  <c r="AB37" i="42" s="1"/>
  <c r="S37" i="42"/>
  <c r="AN36" i="42"/>
  <c r="AM36" i="42"/>
  <c r="AL36" i="42"/>
  <c r="AE36" i="42"/>
  <c r="AB36" i="42"/>
  <c r="Y36" i="42"/>
  <c r="V36" i="42"/>
  <c r="S36" i="42"/>
  <c r="AM35" i="42"/>
  <c r="AM38" i="42" s="1"/>
  <c r="AL35" i="42"/>
  <c r="AE35" i="42"/>
  <c r="Y35" i="42"/>
  <c r="Y38" i="42" s="1"/>
  <c r="S35" i="42"/>
  <c r="S38" i="42" s="1"/>
  <c r="AK34" i="42"/>
  <c r="AJ34" i="42"/>
  <c r="AI34" i="42"/>
  <c r="AH34" i="42"/>
  <c r="AG34" i="42"/>
  <c r="AD34" i="42"/>
  <c r="AC34" i="42"/>
  <c r="X34" i="42"/>
  <c r="W34" i="42"/>
  <c r="U34" i="42"/>
  <c r="T34" i="42"/>
  <c r="AM33" i="42"/>
  <c r="AN33" i="42" s="1"/>
  <c r="AL33" i="42"/>
  <c r="AE33" i="42"/>
  <c r="AB33" i="42"/>
  <c r="Y33" i="42"/>
  <c r="Y34" i="42" s="1"/>
  <c r="V33" i="42"/>
  <c r="S33" i="42"/>
  <c r="AM32" i="42"/>
  <c r="AL32" i="42"/>
  <c r="AN32" i="42" s="1"/>
  <c r="AE32" i="42"/>
  <c r="Y32" i="42"/>
  <c r="S32" i="42"/>
  <c r="V32" i="42" s="1"/>
  <c r="AM31" i="42"/>
  <c r="AL31" i="42"/>
  <c r="AN31" i="42" s="1"/>
  <c r="AE31" i="42"/>
  <c r="AE34" i="42" s="1"/>
  <c r="Y31" i="42"/>
  <c r="S31" i="42"/>
  <c r="AK30" i="42"/>
  <c r="AJ30" i="42"/>
  <c r="AI30" i="42"/>
  <c r="AH30" i="42"/>
  <c r="AG30" i="42"/>
  <c r="AD30" i="42"/>
  <c r="AC30" i="42"/>
  <c r="X30" i="42"/>
  <c r="W30" i="42"/>
  <c r="U30" i="42"/>
  <c r="T30" i="42"/>
  <c r="AM29" i="42"/>
  <c r="AL29" i="42"/>
  <c r="AN29" i="42" s="1"/>
  <c r="AE29" i="42"/>
  <c r="Y29" i="42"/>
  <c r="V29" i="42"/>
  <c r="Z29" i="42" s="1"/>
  <c r="S29" i="42"/>
  <c r="AM28" i="42"/>
  <c r="AL28" i="42"/>
  <c r="AN28" i="42" s="1"/>
  <c r="AN30" i="42" s="1"/>
  <c r="AF28" i="42"/>
  <c r="AE28" i="42"/>
  <c r="AA28" i="42"/>
  <c r="Z28" i="42"/>
  <c r="Y28" i="42"/>
  <c r="S28" i="42"/>
  <c r="V28" i="42" s="1"/>
  <c r="AB28" i="42" s="1"/>
  <c r="AN27" i="42"/>
  <c r="AM27" i="42"/>
  <c r="AM30" i="42" s="1"/>
  <c r="AL27" i="42"/>
  <c r="AL30" i="42" s="1"/>
  <c r="AE27" i="42"/>
  <c r="AE30" i="42" s="1"/>
  <c r="Y27" i="42"/>
  <c r="Y30" i="42" s="1"/>
  <c r="S27" i="42"/>
  <c r="S30" i="42" s="1"/>
  <c r="AM26" i="42"/>
  <c r="AK26" i="42"/>
  <c r="AJ26" i="42"/>
  <c r="AI26" i="42"/>
  <c r="AH26" i="42"/>
  <c r="AG26" i="42"/>
  <c r="AD26" i="42"/>
  <c r="AC26" i="42"/>
  <c r="X26" i="42"/>
  <c r="W26" i="42"/>
  <c r="U26" i="42"/>
  <c r="T26" i="42"/>
  <c r="AM25" i="42"/>
  <c r="AL25" i="42"/>
  <c r="AN25" i="42" s="1"/>
  <c r="AE25" i="42"/>
  <c r="AA25" i="42"/>
  <c r="Y25" i="42"/>
  <c r="S25" i="42"/>
  <c r="V25" i="42" s="1"/>
  <c r="AB25" i="42" s="1"/>
  <c r="AN24" i="42"/>
  <c r="AM24" i="42"/>
  <c r="AL24" i="42"/>
  <c r="AE24" i="42"/>
  <c r="Y24" i="42"/>
  <c r="Z24" i="42" s="1"/>
  <c r="V24" i="42"/>
  <c r="AB24" i="42" s="1"/>
  <c r="S24" i="42"/>
  <c r="AM23" i="42"/>
  <c r="AN23" i="42" s="1"/>
  <c r="AN26" i="42" s="1"/>
  <c r="AL23" i="42"/>
  <c r="AL26" i="42" s="1"/>
  <c r="AE23" i="42"/>
  <c r="AE26" i="42" s="1"/>
  <c r="Y23" i="42"/>
  <c r="Y26" i="42" s="1"/>
  <c r="V23" i="42"/>
  <c r="S23" i="42"/>
  <c r="AK22" i="42"/>
  <c r="AJ22" i="42"/>
  <c r="AI22" i="42"/>
  <c r="AH22" i="42"/>
  <c r="AG22" i="42"/>
  <c r="AE22" i="42"/>
  <c r="AD22" i="42"/>
  <c r="AC22" i="42"/>
  <c r="X22" i="42"/>
  <c r="W22" i="42"/>
  <c r="U22" i="42"/>
  <c r="T22" i="42"/>
  <c r="AN21" i="42"/>
  <c r="AM21" i="42"/>
  <c r="AL21" i="42"/>
  <c r="AE21" i="42"/>
  <c r="Z21" i="42"/>
  <c r="Y21" i="42"/>
  <c r="S21" i="42"/>
  <c r="V21" i="42" s="1"/>
  <c r="AM20" i="42"/>
  <c r="AN20" i="42" s="1"/>
  <c r="AL20" i="42"/>
  <c r="AE20" i="42"/>
  <c r="AB20" i="42"/>
  <c r="Y20" i="42"/>
  <c r="V20" i="42"/>
  <c r="S20" i="42"/>
  <c r="AM19" i="42"/>
  <c r="AM22" i="42" s="1"/>
  <c r="AL19" i="42"/>
  <c r="AN19" i="42" s="1"/>
  <c r="AE19" i="42"/>
  <c r="Y19" i="42"/>
  <c r="Y22" i="42" s="1"/>
  <c r="S19" i="42"/>
  <c r="V19" i="42" s="1"/>
  <c r="AK18" i="42"/>
  <c r="AJ18" i="42"/>
  <c r="AI18" i="42"/>
  <c r="AH18" i="42"/>
  <c r="AG18" i="42"/>
  <c r="AD18" i="42"/>
  <c r="AC18" i="42"/>
  <c r="X18" i="42"/>
  <c r="W18" i="42"/>
  <c r="U18" i="42"/>
  <c r="T18" i="42"/>
  <c r="AM17" i="42"/>
  <c r="AN17" i="42" s="1"/>
  <c r="AL17" i="42"/>
  <c r="AE17" i="42"/>
  <c r="Y17" i="42"/>
  <c r="V17" i="42"/>
  <c r="S17" i="42"/>
  <c r="AM16" i="42"/>
  <c r="AL16" i="42"/>
  <c r="AN16" i="42" s="1"/>
  <c r="AE16" i="42"/>
  <c r="Y16" i="42"/>
  <c r="V16" i="42"/>
  <c r="Z16" i="42" s="1"/>
  <c r="S16" i="42"/>
  <c r="AM15" i="42"/>
  <c r="AL15" i="42"/>
  <c r="AN15" i="42" s="1"/>
  <c r="AF15" i="42"/>
  <c r="AE15" i="42"/>
  <c r="AA15" i="42"/>
  <c r="Z15" i="42"/>
  <c r="Y15" i="42"/>
  <c r="S15" i="42"/>
  <c r="V15" i="42" s="1"/>
  <c r="AB15" i="42" s="1"/>
  <c r="AM14" i="42"/>
  <c r="AL14" i="42"/>
  <c r="AN14" i="42" s="1"/>
  <c r="AE14" i="42"/>
  <c r="Y14" i="42"/>
  <c r="S14" i="42"/>
  <c r="V14" i="42" s="1"/>
  <c r="AM13" i="42"/>
  <c r="AL13" i="42"/>
  <c r="AN13" i="42" s="1"/>
  <c r="AE13" i="42"/>
  <c r="Y13" i="42"/>
  <c r="S13" i="42"/>
  <c r="V13" i="42" s="1"/>
  <c r="AN12" i="42"/>
  <c r="AM12" i="42"/>
  <c r="AL12" i="42"/>
  <c r="AE12" i="42"/>
  <c r="AE18" i="42" s="1"/>
  <c r="Y12" i="42"/>
  <c r="Y18" i="42" s="1"/>
  <c r="S12" i="42"/>
  <c r="AK141" i="41"/>
  <c r="AJ141" i="41"/>
  <c r="AI141" i="41"/>
  <c r="AH141" i="41"/>
  <c r="AG141" i="41"/>
  <c r="AD141" i="41"/>
  <c r="AC141" i="41"/>
  <c r="X141" i="41"/>
  <c r="W141" i="41"/>
  <c r="U141" i="41"/>
  <c r="T141" i="41"/>
  <c r="AN140" i="41"/>
  <c r="AM140" i="41"/>
  <c r="AL140" i="41"/>
  <c r="AE140" i="41"/>
  <c r="AB140" i="41"/>
  <c r="Y140" i="41"/>
  <c r="V140" i="41"/>
  <c r="S140" i="41"/>
  <c r="AM139" i="41"/>
  <c r="AL139" i="41"/>
  <c r="AE139" i="41"/>
  <c r="AB139" i="41"/>
  <c r="AA139" i="41"/>
  <c r="Y139" i="41"/>
  <c r="S139" i="41"/>
  <c r="V139" i="41" s="1"/>
  <c r="Z139" i="41" s="1"/>
  <c r="AM138" i="41"/>
  <c r="AL138" i="41"/>
  <c r="AN138" i="41" s="1"/>
  <c r="AE138" i="41"/>
  <c r="Y138" i="41"/>
  <c r="S138" i="41"/>
  <c r="V138" i="41" s="1"/>
  <c r="AN137" i="41"/>
  <c r="AM137" i="41"/>
  <c r="AL137" i="41"/>
  <c r="AE137" i="41"/>
  <c r="AA137" i="41"/>
  <c r="Y137" i="41"/>
  <c r="V137" i="41"/>
  <c r="AB137" i="41" s="1"/>
  <c r="AM136" i="41"/>
  <c r="AL136" i="41"/>
  <c r="AE136" i="41"/>
  <c r="AB136" i="41"/>
  <c r="Y136" i="41"/>
  <c r="S136" i="41"/>
  <c r="V136" i="41" s="1"/>
  <c r="AM135" i="41"/>
  <c r="AL135" i="41"/>
  <c r="AN135" i="41" s="1"/>
  <c r="AE135" i="41"/>
  <c r="AE141" i="41" s="1"/>
  <c r="Y135" i="41"/>
  <c r="S135" i="41"/>
  <c r="AK134" i="41"/>
  <c r="AJ134" i="41"/>
  <c r="AI134" i="41"/>
  <c r="AH134" i="41"/>
  <c r="AG134" i="41"/>
  <c r="AD134" i="41"/>
  <c r="AC134" i="41"/>
  <c r="Y134" i="41"/>
  <c r="X134" i="41"/>
  <c r="W134" i="41"/>
  <c r="U134" i="41"/>
  <c r="T134" i="41"/>
  <c r="AM133" i="41"/>
  <c r="AL133" i="41"/>
  <c r="AE133" i="41"/>
  <c r="AB133" i="41"/>
  <c r="AA133" i="41"/>
  <c r="Y133" i="41"/>
  <c r="S133" i="41"/>
  <c r="V133" i="41" s="1"/>
  <c r="Z133" i="41" s="1"/>
  <c r="AM132" i="41"/>
  <c r="AL132" i="41"/>
  <c r="AN132" i="41" s="1"/>
  <c r="AE132" i="41"/>
  <c r="Y132" i="41"/>
  <c r="S132" i="41"/>
  <c r="V132" i="41" s="1"/>
  <c r="AN131" i="41"/>
  <c r="AM131" i="41"/>
  <c r="AL131" i="41"/>
  <c r="AL134" i="41" s="1"/>
  <c r="AE131" i="41"/>
  <c r="Y131" i="41"/>
  <c r="S131" i="41"/>
  <c r="V131" i="41" s="1"/>
  <c r="AN130" i="41"/>
  <c r="AM130" i="41"/>
  <c r="AL130" i="41"/>
  <c r="AE130" i="41"/>
  <c r="AB130" i="41"/>
  <c r="Y130" i="41"/>
  <c r="V130" i="41"/>
  <c r="S130" i="41"/>
  <c r="AK129" i="41"/>
  <c r="AJ129" i="41"/>
  <c r="AI129" i="41"/>
  <c r="AH129" i="41"/>
  <c r="AG129" i="41"/>
  <c r="AE129" i="41"/>
  <c r="AD129" i="41"/>
  <c r="AC129" i="41"/>
  <c r="X129" i="41"/>
  <c r="W129" i="41"/>
  <c r="U129" i="41"/>
  <c r="T129" i="41"/>
  <c r="AN128" i="41"/>
  <c r="AM128" i="41"/>
  <c r="AL128" i="41"/>
  <c r="AE128" i="41"/>
  <c r="Y128" i="41"/>
  <c r="Z128" i="41" s="1"/>
  <c r="S128" i="41"/>
  <c r="V128" i="41" s="1"/>
  <c r="AM127" i="41"/>
  <c r="AL127" i="41"/>
  <c r="AE127" i="41"/>
  <c r="Y127" i="41"/>
  <c r="V127" i="41"/>
  <c r="S127" i="41"/>
  <c r="AM126" i="41"/>
  <c r="AL126" i="41"/>
  <c r="AE126" i="41"/>
  <c r="Y126" i="41"/>
  <c r="V126" i="41"/>
  <c r="S126" i="41"/>
  <c r="S129" i="41" s="1"/>
  <c r="AK125" i="41"/>
  <c r="AJ125" i="41"/>
  <c r="AI125" i="41"/>
  <c r="AH125" i="41"/>
  <c r="AG125" i="41"/>
  <c r="AD125" i="41"/>
  <c r="AC125" i="41"/>
  <c r="X125" i="41"/>
  <c r="W125" i="41"/>
  <c r="U125" i="41"/>
  <c r="T125" i="41"/>
  <c r="AM124" i="41"/>
  <c r="AN124" i="41" s="1"/>
  <c r="AL124" i="41"/>
  <c r="AE124" i="41"/>
  <c r="Y124" i="41"/>
  <c r="V124" i="41"/>
  <c r="S124" i="41"/>
  <c r="AM123" i="41"/>
  <c r="AL123" i="41"/>
  <c r="AN123" i="41" s="1"/>
  <c r="AE123" i="41"/>
  <c r="Y123" i="41"/>
  <c r="S123" i="41"/>
  <c r="V123" i="41" s="1"/>
  <c r="AM122" i="41"/>
  <c r="AL122" i="41"/>
  <c r="AN122" i="41" s="1"/>
  <c r="AE122" i="41"/>
  <c r="Y122" i="41"/>
  <c r="S122" i="41"/>
  <c r="V122" i="41" s="1"/>
  <c r="AN121" i="41"/>
  <c r="AM121" i="41"/>
  <c r="AL121" i="41"/>
  <c r="AE121" i="41"/>
  <c r="Y121" i="41"/>
  <c r="Y125" i="41" s="1"/>
  <c r="S121" i="41"/>
  <c r="V121" i="41" s="1"/>
  <c r="AM120" i="41"/>
  <c r="AN120" i="41" s="1"/>
  <c r="AL120" i="41"/>
  <c r="AE120" i="41"/>
  <c r="Y120" i="41"/>
  <c r="V120" i="41"/>
  <c r="S120" i="41"/>
  <c r="AM119" i="41"/>
  <c r="AL119" i="41"/>
  <c r="AN119" i="41" s="1"/>
  <c r="AE119" i="41"/>
  <c r="AB119" i="41"/>
  <c r="Y119" i="41"/>
  <c r="V119" i="41"/>
  <c r="AN118" i="41"/>
  <c r="AM118" i="41"/>
  <c r="AM125" i="41" s="1"/>
  <c r="AL118" i="41"/>
  <c r="AE118" i="41"/>
  <c r="Y118" i="41"/>
  <c r="S118" i="41"/>
  <c r="V118" i="41" s="1"/>
  <c r="AK117" i="41"/>
  <c r="AJ117" i="41"/>
  <c r="AI117" i="41"/>
  <c r="AH117" i="41"/>
  <c r="AG117" i="41"/>
  <c r="AE117" i="41"/>
  <c r="AD117" i="41"/>
  <c r="AC117" i="41"/>
  <c r="X117" i="41"/>
  <c r="W117" i="41"/>
  <c r="U117" i="41"/>
  <c r="T117" i="41"/>
  <c r="AM116" i="41"/>
  <c r="AL116" i="41"/>
  <c r="AN116" i="41" s="1"/>
  <c r="AE116" i="41"/>
  <c r="Z116" i="41"/>
  <c r="Y116" i="41"/>
  <c r="S116" i="41"/>
  <c r="V116" i="41" s="1"/>
  <c r="AB116" i="41" s="1"/>
  <c r="AN115" i="41"/>
  <c r="AM115" i="41"/>
  <c r="AL115" i="41"/>
  <c r="AE115" i="41"/>
  <c r="Z115" i="41"/>
  <c r="Y115" i="41"/>
  <c r="S115" i="41"/>
  <c r="V115" i="41" s="1"/>
  <c r="AM114" i="41"/>
  <c r="AN114" i="41" s="1"/>
  <c r="AL114" i="41"/>
  <c r="AE114" i="41"/>
  <c r="Y114" i="41"/>
  <c r="V114" i="41"/>
  <c r="S114" i="41"/>
  <c r="AM113" i="41"/>
  <c r="AL113" i="41"/>
  <c r="AN113" i="41" s="1"/>
  <c r="AE113" i="41"/>
  <c r="Y113" i="41"/>
  <c r="V113" i="41"/>
  <c r="S113" i="41"/>
  <c r="AM112" i="41"/>
  <c r="AL112" i="41"/>
  <c r="AN112" i="41" s="1"/>
  <c r="AN117" i="41" s="1"/>
  <c r="AE112" i="41"/>
  <c r="Z112" i="41"/>
  <c r="Y112" i="41"/>
  <c r="S112" i="41"/>
  <c r="V112" i="41" s="1"/>
  <c r="AB112" i="41" s="1"/>
  <c r="AN111" i="41"/>
  <c r="AM111" i="41"/>
  <c r="AL111" i="41"/>
  <c r="AL117" i="41" s="1"/>
  <c r="AE111" i="41"/>
  <c r="Y111" i="41"/>
  <c r="Y117" i="41" s="1"/>
  <c r="S111" i="41"/>
  <c r="V111" i="41" s="1"/>
  <c r="AK110" i="41"/>
  <c r="AJ110" i="41"/>
  <c r="AI110" i="41"/>
  <c r="AH110" i="41"/>
  <c r="AG110" i="41"/>
  <c r="AD110" i="41"/>
  <c r="AC110" i="41"/>
  <c r="X110" i="41"/>
  <c r="W110" i="41"/>
  <c r="U110" i="41"/>
  <c r="T110" i="41"/>
  <c r="AM109" i="41"/>
  <c r="AL109" i="41"/>
  <c r="AN109" i="41" s="1"/>
  <c r="AE109" i="41"/>
  <c r="Y109" i="41"/>
  <c r="S109" i="41"/>
  <c r="V109" i="41" s="1"/>
  <c r="AN108" i="41"/>
  <c r="AM108" i="41"/>
  <c r="AL108" i="41"/>
  <c r="AE108" i="41"/>
  <c r="Y108" i="41"/>
  <c r="S108" i="41"/>
  <c r="V108" i="41" s="1"/>
  <c r="AN107" i="41"/>
  <c r="AM107" i="41"/>
  <c r="AL107" i="41"/>
  <c r="AE107" i="41"/>
  <c r="AB107" i="41"/>
  <c r="Y107" i="41"/>
  <c r="V107" i="41"/>
  <c r="S107" i="41"/>
  <c r="AM106" i="41"/>
  <c r="AM110" i="41" s="1"/>
  <c r="AL106" i="41"/>
  <c r="AE106" i="41"/>
  <c r="AB106" i="41"/>
  <c r="AA106" i="41"/>
  <c r="Y106" i="41"/>
  <c r="S106" i="41"/>
  <c r="V106" i="41" s="1"/>
  <c r="Z106" i="41" s="1"/>
  <c r="AM105" i="41"/>
  <c r="AL105" i="41"/>
  <c r="AN105" i="41" s="1"/>
  <c r="AE105" i="41"/>
  <c r="Y105" i="41"/>
  <c r="S105" i="41"/>
  <c r="V105" i="41" s="1"/>
  <c r="AN104" i="41"/>
  <c r="AM104" i="41"/>
  <c r="AL104" i="41"/>
  <c r="AE104" i="41"/>
  <c r="Y104" i="41"/>
  <c r="S104" i="41"/>
  <c r="V104" i="41" s="1"/>
  <c r="AN103" i="41"/>
  <c r="AM103" i="41"/>
  <c r="AK103" i="41"/>
  <c r="AJ103" i="41"/>
  <c r="AI103" i="41"/>
  <c r="AH103" i="41"/>
  <c r="AG103" i="41"/>
  <c r="AE103" i="41"/>
  <c r="AD103" i="41"/>
  <c r="AC103" i="41"/>
  <c r="X103" i="41"/>
  <c r="W103" i="41"/>
  <c r="U103" i="41"/>
  <c r="T103" i="41"/>
  <c r="AM102" i="41"/>
  <c r="AL102" i="41"/>
  <c r="AN102" i="41" s="1"/>
  <c r="AE102" i="41"/>
  <c r="Z102" i="41"/>
  <c r="Y102" i="41"/>
  <c r="S102" i="41"/>
  <c r="V102" i="41" s="1"/>
  <c r="AB102" i="41" s="1"/>
  <c r="AN101" i="41"/>
  <c r="AM101" i="41"/>
  <c r="AL101" i="41"/>
  <c r="AL103" i="41" s="1"/>
  <c r="AE101" i="41"/>
  <c r="Y101" i="41"/>
  <c r="S101" i="41"/>
  <c r="V101" i="41" s="1"/>
  <c r="AM100" i="41"/>
  <c r="AK100" i="41"/>
  <c r="AJ100" i="41"/>
  <c r="AI100" i="41"/>
  <c r="AH100" i="41"/>
  <c r="AG100" i="41"/>
  <c r="AD100" i="41"/>
  <c r="AC100" i="41"/>
  <c r="X100" i="41"/>
  <c r="W100" i="41"/>
  <c r="U100" i="41"/>
  <c r="T100" i="41"/>
  <c r="AM99" i="41"/>
  <c r="AL99" i="41"/>
  <c r="AN99" i="41" s="1"/>
  <c r="AE99" i="41"/>
  <c r="Y99" i="41"/>
  <c r="S99" i="41"/>
  <c r="AN98" i="41"/>
  <c r="AN100" i="41" s="1"/>
  <c r="AM98" i="41"/>
  <c r="AL98" i="41"/>
  <c r="AE98" i="41"/>
  <c r="AE100" i="41" s="1"/>
  <c r="Y98" i="41"/>
  <c r="Y100" i="41" s="1"/>
  <c r="S98" i="41"/>
  <c r="V98" i="41" s="1"/>
  <c r="AM97" i="41"/>
  <c r="AK97" i="41"/>
  <c r="AJ97" i="41"/>
  <c r="AI97" i="41"/>
  <c r="AH97" i="41"/>
  <c r="AG97" i="41"/>
  <c r="AE97" i="41"/>
  <c r="AD97" i="41"/>
  <c r="AC97" i="41"/>
  <c r="AA97" i="41"/>
  <c r="X97" i="41"/>
  <c r="W97" i="41"/>
  <c r="U97" i="41"/>
  <c r="T97" i="41"/>
  <c r="AM96" i="41"/>
  <c r="AL96" i="41"/>
  <c r="AE96" i="41"/>
  <c r="Z96" i="41"/>
  <c r="Z97" i="41" s="1"/>
  <c r="Y96" i="41"/>
  <c r="Y97" i="41" s="1"/>
  <c r="S96" i="41"/>
  <c r="V96" i="41" s="1"/>
  <c r="AA96" i="41" s="1"/>
  <c r="AK95" i="41"/>
  <c r="AJ95" i="41"/>
  <c r="AI95" i="41"/>
  <c r="AH95" i="41"/>
  <c r="AG95" i="41"/>
  <c r="AD95" i="41"/>
  <c r="AC95" i="41"/>
  <c r="X95" i="41"/>
  <c r="W95" i="41"/>
  <c r="U95" i="41"/>
  <c r="T95" i="41"/>
  <c r="AM94" i="41"/>
  <c r="AL94" i="41"/>
  <c r="AE94" i="41"/>
  <c r="Y94" i="41"/>
  <c r="Z94" i="41" s="1"/>
  <c r="V94" i="41"/>
  <c r="AB94" i="41" s="1"/>
  <c r="S94" i="41"/>
  <c r="AM93" i="41"/>
  <c r="AN93" i="41" s="1"/>
  <c r="AL93" i="41"/>
  <c r="AE93" i="41"/>
  <c r="Y93" i="41"/>
  <c r="V93" i="41"/>
  <c r="S93" i="41"/>
  <c r="AM92" i="41"/>
  <c r="AL92" i="41"/>
  <c r="AN92" i="41" s="1"/>
  <c r="AE92" i="41"/>
  <c r="Y92" i="41"/>
  <c r="V92" i="41"/>
  <c r="S92" i="41"/>
  <c r="AM91" i="41"/>
  <c r="AL91" i="41"/>
  <c r="AN91" i="41" s="1"/>
  <c r="AE91" i="41"/>
  <c r="Z91" i="41"/>
  <c r="Y91" i="41"/>
  <c r="S91" i="41"/>
  <c r="V91" i="41" s="1"/>
  <c r="AB91" i="41" s="1"/>
  <c r="AN90" i="41"/>
  <c r="AM90" i="41"/>
  <c r="AL90" i="41"/>
  <c r="AE90" i="41"/>
  <c r="Y90" i="41"/>
  <c r="V90" i="41"/>
  <c r="AA90" i="41" s="1"/>
  <c r="S90" i="41"/>
  <c r="AM89" i="41"/>
  <c r="AK89" i="41"/>
  <c r="AJ89" i="41"/>
  <c r="AI89" i="41"/>
  <c r="AH89" i="41"/>
  <c r="AG89" i="41"/>
  <c r="AE89" i="41"/>
  <c r="AD89" i="41"/>
  <c r="AC89" i="41"/>
  <c r="X89" i="41"/>
  <c r="W89" i="41"/>
  <c r="U89" i="41"/>
  <c r="T89" i="41"/>
  <c r="AM88" i="41"/>
  <c r="AL88" i="41"/>
  <c r="AN88" i="41" s="1"/>
  <c r="AE88" i="41"/>
  <c r="Y88" i="41"/>
  <c r="S88" i="41"/>
  <c r="V88" i="41" s="1"/>
  <c r="AN87" i="41"/>
  <c r="AM87" i="41"/>
  <c r="AL87" i="41"/>
  <c r="AE87" i="41"/>
  <c r="Y87" i="41"/>
  <c r="Z87" i="41" s="1"/>
  <c r="V87" i="41"/>
  <c r="AB87" i="41" s="1"/>
  <c r="S87" i="41"/>
  <c r="AM86" i="41"/>
  <c r="AN86" i="41" s="1"/>
  <c r="AN89" i="41" s="1"/>
  <c r="AL86" i="41"/>
  <c r="AL89" i="41" s="1"/>
  <c r="AE86" i="41"/>
  <c r="Y86" i="41"/>
  <c r="V86" i="41"/>
  <c r="S86" i="41"/>
  <c r="AL85" i="41"/>
  <c r="AK85" i="41"/>
  <c r="AJ85" i="41"/>
  <c r="AI85" i="41"/>
  <c r="AH85" i="41"/>
  <c r="AG85" i="41"/>
  <c r="AD85" i="41"/>
  <c r="AC85" i="41"/>
  <c r="X85" i="41"/>
  <c r="W85" i="41"/>
  <c r="U85" i="41"/>
  <c r="T85" i="41"/>
  <c r="AN84" i="41"/>
  <c r="AM84" i="41"/>
  <c r="AL84" i="41"/>
  <c r="AE84" i="41"/>
  <c r="Z84" i="41"/>
  <c r="Y84" i="41"/>
  <c r="V84" i="41"/>
  <c r="AB84" i="41" s="1"/>
  <c r="S84" i="41"/>
  <c r="AN83" i="41"/>
  <c r="AM83" i="41"/>
  <c r="AL83" i="41"/>
  <c r="AE83" i="41"/>
  <c r="AE85" i="41" s="1"/>
  <c r="Y83" i="41"/>
  <c r="V83" i="41"/>
  <c r="S83" i="41"/>
  <c r="AM82" i="41"/>
  <c r="AM85" i="41" s="1"/>
  <c r="AL82" i="41"/>
  <c r="AE82" i="41"/>
  <c r="Y82" i="41"/>
  <c r="Y85" i="41" s="1"/>
  <c r="S82" i="41"/>
  <c r="AK81" i="41"/>
  <c r="AJ81" i="41"/>
  <c r="AI81" i="41"/>
  <c r="AH81" i="41"/>
  <c r="AG81" i="41"/>
  <c r="AD81" i="41"/>
  <c r="AC81" i="41"/>
  <c r="X81" i="41"/>
  <c r="W81" i="41"/>
  <c r="U81" i="41"/>
  <c r="T81" i="41"/>
  <c r="AN80" i="41"/>
  <c r="AM80" i="41"/>
  <c r="AL80" i="41"/>
  <c r="AE80" i="41"/>
  <c r="AB80" i="41"/>
  <c r="Y80" i="41"/>
  <c r="V80" i="41"/>
  <c r="S80" i="41"/>
  <c r="AM79" i="41"/>
  <c r="AL79" i="41"/>
  <c r="AE79" i="41"/>
  <c r="AA79" i="41"/>
  <c r="Y79" i="41"/>
  <c r="S79" i="41"/>
  <c r="V79" i="41" s="1"/>
  <c r="AM78" i="41"/>
  <c r="AL78" i="41"/>
  <c r="AN78" i="41" s="1"/>
  <c r="AE78" i="41"/>
  <c r="AA78" i="41"/>
  <c r="Y78" i="41"/>
  <c r="S78" i="41"/>
  <c r="V78" i="41" s="1"/>
  <c r="AB78" i="41" s="1"/>
  <c r="AN77" i="41"/>
  <c r="AM77" i="41"/>
  <c r="AL77" i="41"/>
  <c r="AE77" i="41"/>
  <c r="Z77" i="41"/>
  <c r="Y77" i="41"/>
  <c r="V77" i="41"/>
  <c r="AB77" i="41" s="1"/>
  <c r="S77" i="41"/>
  <c r="AN76" i="41"/>
  <c r="AM76" i="41"/>
  <c r="AL76" i="41"/>
  <c r="AE76" i="41"/>
  <c r="Y76" i="41"/>
  <c r="Y81" i="41" s="1"/>
  <c r="V76" i="41"/>
  <c r="S76" i="41"/>
  <c r="AM75" i="41"/>
  <c r="AL75" i="41"/>
  <c r="AE75" i="41"/>
  <c r="Y75" i="41"/>
  <c r="S75" i="41"/>
  <c r="AK74" i="41"/>
  <c r="AJ74" i="41"/>
  <c r="AI74" i="41"/>
  <c r="AH74" i="41"/>
  <c r="AG74" i="41"/>
  <c r="AD74" i="41"/>
  <c r="AC74" i="41"/>
  <c r="X74" i="41"/>
  <c r="W74" i="41"/>
  <c r="U74" i="41"/>
  <c r="T74" i="41"/>
  <c r="AN73" i="41"/>
  <c r="AM73" i="41"/>
  <c r="AL73" i="41"/>
  <c r="AE73" i="41"/>
  <c r="AB73" i="41"/>
  <c r="Y73" i="41"/>
  <c r="S73" i="41"/>
  <c r="V73" i="41" s="1"/>
  <c r="AM72" i="41"/>
  <c r="AL72" i="41"/>
  <c r="AE72" i="41"/>
  <c r="Y72" i="41"/>
  <c r="V72" i="41"/>
  <c r="AB72" i="41" s="1"/>
  <c r="S72" i="41"/>
  <c r="AM71" i="41"/>
  <c r="AL71" i="41"/>
  <c r="AN71" i="41" s="1"/>
  <c r="AE71" i="41"/>
  <c r="Y71" i="41"/>
  <c r="S71" i="41"/>
  <c r="V71" i="41" s="1"/>
  <c r="AM70" i="41"/>
  <c r="AL70" i="41"/>
  <c r="AN70" i="41" s="1"/>
  <c r="AE70" i="41"/>
  <c r="Z70" i="41"/>
  <c r="Y70" i="41"/>
  <c r="S70" i="41"/>
  <c r="V70" i="41" s="1"/>
  <c r="AN69" i="41"/>
  <c r="AM69" i="41"/>
  <c r="AL69" i="41"/>
  <c r="AE69" i="41"/>
  <c r="Y69" i="41"/>
  <c r="Z69" i="41" s="1"/>
  <c r="V69" i="41"/>
  <c r="AB69" i="41" s="1"/>
  <c r="S69" i="41"/>
  <c r="AM68" i="41"/>
  <c r="AL68" i="41"/>
  <c r="AL74" i="41" s="1"/>
  <c r="AE68" i="41"/>
  <c r="Y68" i="41"/>
  <c r="V68" i="41"/>
  <c r="S68" i="41"/>
  <c r="AK67" i="41"/>
  <c r="AJ67" i="41"/>
  <c r="AI67" i="41"/>
  <c r="AH67" i="41"/>
  <c r="AG67" i="41"/>
  <c r="AD67" i="41"/>
  <c r="AC67" i="41"/>
  <c r="X67" i="41"/>
  <c r="W67" i="41"/>
  <c r="U67" i="41"/>
  <c r="T67" i="41"/>
  <c r="AN66" i="41"/>
  <c r="AM66" i="41"/>
  <c r="AL66" i="41"/>
  <c r="AE66" i="41"/>
  <c r="Y66" i="41"/>
  <c r="Z66" i="41" s="1"/>
  <c r="V66" i="41"/>
  <c r="AB66" i="41" s="1"/>
  <c r="S66" i="41"/>
  <c r="AM65" i="41"/>
  <c r="AN65" i="41" s="1"/>
  <c r="AL65" i="41"/>
  <c r="AE65" i="41"/>
  <c r="AE67" i="41" s="1"/>
  <c r="Y65" i="41"/>
  <c r="V65" i="41"/>
  <c r="S65" i="41"/>
  <c r="AM64" i="41"/>
  <c r="AL64" i="41"/>
  <c r="AN64" i="41" s="1"/>
  <c r="AE64" i="41"/>
  <c r="Y64" i="41"/>
  <c r="S64" i="41"/>
  <c r="AK63" i="41"/>
  <c r="AJ63" i="41"/>
  <c r="AI63" i="41"/>
  <c r="AH63" i="41"/>
  <c r="AG63" i="41"/>
  <c r="AD63" i="41"/>
  <c r="AC63" i="41"/>
  <c r="X63" i="41"/>
  <c r="W63" i="41"/>
  <c r="U63" i="41"/>
  <c r="T63" i="41"/>
  <c r="AM62" i="41"/>
  <c r="AN62" i="41" s="1"/>
  <c r="AL62" i="41"/>
  <c r="AE62" i="41"/>
  <c r="AB62" i="41"/>
  <c r="Y62" i="41"/>
  <c r="Y63" i="41" s="1"/>
  <c r="V62" i="41"/>
  <c r="S62" i="41"/>
  <c r="AM61" i="41"/>
  <c r="AL61" i="41"/>
  <c r="AE61" i="41"/>
  <c r="Y61" i="41"/>
  <c r="S61" i="41"/>
  <c r="S63" i="41" s="1"/>
  <c r="AK60" i="41"/>
  <c r="AJ60" i="41"/>
  <c r="AI60" i="41"/>
  <c r="AH60" i="41"/>
  <c r="AG60" i="41"/>
  <c r="AD60" i="41"/>
  <c r="AC60" i="41"/>
  <c r="X60" i="41"/>
  <c r="W60" i="41"/>
  <c r="U60" i="41"/>
  <c r="T60" i="41"/>
  <c r="AM59" i="41"/>
  <c r="AN59" i="41" s="1"/>
  <c r="AL59" i="41"/>
  <c r="AE59" i="41"/>
  <c r="Y59" i="41"/>
  <c r="V59" i="41"/>
  <c r="AB59" i="41" s="1"/>
  <c r="S59" i="41"/>
  <c r="AM58" i="41"/>
  <c r="AL58" i="41"/>
  <c r="AN58" i="41" s="1"/>
  <c r="AE58" i="41"/>
  <c r="Y58" i="41"/>
  <c r="V58" i="41"/>
  <c r="Z58" i="41" s="1"/>
  <c r="S58" i="41"/>
  <c r="AM57" i="41"/>
  <c r="AL57" i="41"/>
  <c r="AN57" i="41" s="1"/>
  <c r="AF57" i="41"/>
  <c r="AE57" i="41"/>
  <c r="AA57" i="41"/>
  <c r="Z57" i="41"/>
  <c r="Y57" i="41"/>
  <c r="S57" i="41"/>
  <c r="V57" i="41" s="1"/>
  <c r="AB57" i="41" s="1"/>
  <c r="AN56" i="41"/>
  <c r="AM56" i="41"/>
  <c r="AL56" i="41"/>
  <c r="AE56" i="41"/>
  <c r="Y56" i="41"/>
  <c r="Z56" i="41" s="1"/>
  <c r="V56" i="41"/>
  <c r="AB56" i="41" s="1"/>
  <c r="S56" i="41"/>
  <c r="AM55" i="41"/>
  <c r="AN55" i="41" s="1"/>
  <c r="AL55" i="41"/>
  <c r="AE55" i="41"/>
  <c r="AB55" i="41"/>
  <c r="Y55" i="41"/>
  <c r="Y60" i="41" s="1"/>
  <c r="V55" i="41"/>
  <c r="S55" i="41"/>
  <c r="AM54" i="41"/>
  <c r="AL54" i="41"/>
  <c r="AN54" i="41" s="1"/>
  <c r="AE54" i="41"/>
  <c r="Y54" i="41"/>
  <c r="S54" i="41"/>
  <c r="V54" i="41" s="1"/>
  <c r="AM53" i="41"/>
  <c r="AL53" i="41"/>
  <c r="AN53" i="41" s="1"/>
  <c r="AE53" i="41"/>
  <c r="AE60" i="41" s="1"/>
  <c r="Y53" i="41"/>
  <c r="S53" i="41"/>
  <c r="AK52" i="41"/>
  <c r="AJ52" i="41"/>
  <c r="AI52" i="41"/>
  <c r="AH52" i="41"/>
  <c r="AG52" i="41"/>
  <c r="AD52" i="41"/>
  <c r="AC52" i="41"/>
  <c r="X52" i="41"/>
  <c r="W52" i="41"/>
  <c r="U52" i="41"/>
  <c r="T52" i="41"/>
  <c r="AM51" i="41"/>
  <c r="AL51" i="41"/>
  <c r="AN51" i="41" s="1"/>
  <c r="AE51" i="41"/>
  <c r="Y51" i="41"/>
  <c r="V51" i="41"/>
  <c r="Z51" i="41" s="1"/>
  <c r="S51" i="41"/>
  <c r="AM50" i="41"/>
  <c r="AL50" i="41"/>
  <c r="AN50" i="41" s="1"/>
  <c r="AF50" i="41"/>
  <c r="AE50" i="41"/>
  <c r="AA50" i="41"/>
  <c r="Z50" i="41"/>
  <c r="Y50" i="41"/>
  <c r="S50" i="41"/>
  <c r="V50" i="41" s="1"/>
  <c r="AB50" i="41" s="1"/>
  <c r="AN49" i="41"/>
  <c r="AM49" i="41"/>
  <c r="AL49" i="41"/>
  <c r="AE49" i="41"/>
  <c r="Y49" i="41"/>
  <c r="Z49" i="41" s="1"/>
  <c r="V49" i="41"/>
  <c r="AB49" i="41" s="1"/>
  <c r="S49" i="41"/>
  <c r="AM48" i="41"/>
  <c r="AN48" i="41" s="1"/>
  <c r="AL48" i="41"/>
  <c r="AE48" i="41"/>
  <c r="AB48" i="41"/>
  <c r="Y48" i="41"/>
  <c r="Y52" i="41" s="1"/>
  <c r="V48" i="41"/>
  <c r="S48" i="41"/>
  <c r="AM47" i="41"/>
  <c r="AL47" i="41"/>
  <c r="AN47" i="41" s="1"/>
  <c r="AE47" i="41"/>
  <c r="Y47" i="41"/>
  <c r="S47" i="41"/>
  <c r="V47" i="41" s="1"/>
  <c r="AM46" i="41"/>
  <c r="AL46" i="41"/>
  <c r="AE46" i="41"/>
  <c r="AE52" i="41" s="1"/>
  <c r="Y46" i="41"/>
  <c r="S46" i="41"/>
  <c r="AK45" i="41"/>
  <c r="AJ45" i="41"/>
  <c r="AI45" i="41"/>
  <c r="AH45" i="41"/>
  <c r="AG45" i="41"/>
  <c r="AD45" i="41"/>
  <c r="AC45" i="41"/>
  <c r="X45" i="41"/>
  <c r="W45" i="41"/>
  <c r="U45" i="41"/>
  <c r="T45" i="41"/>
  <c r="AM44" i="41"/>
  <c r="AL44" i="41"/>
  <c r="AN44" i="41" s="1"/>
  <c r="AE44" i="41"/>
  <c r="Y44" i="41"/>
  <c r="V44" i="41"/>
  <c r="Z44" i="41" s="1"/>
  <c r="S44" i="41"/>
  <c r="AM43" i="41"/>
  <c r="AL43" i="41"/>
  <c r="AN43" i="41" s="1"/>
  <c r="AF43" i="41"/>
  <c r="AE43" i="41"/>
  <c r="AA43" i="41"/>
  <c r="Z43" i="41"/>
  <c r="Y43" i="41"/>
  <c r="S43" i="41"/>
  <c r="V43" i="41" s="1"/>
  <c r="AB43" i="41" s="1"/>
  <c r="AN42" i="41"/>
  <c r="AM42" i="41"/>
  <c r="AL42" i="41"/>
  <c r="AE42" i="41"/>
  <c r="Y42" i="41"/>
  <c r="Z42" i="41" s="1"/>
  <c r="V42" i="41"/>
  <c r="AB42" i="41" s="1"/>
  <c r="S42" i="41"/>
  <c r="AM41" i="41"/>
  <c r="AN41" i="41" s="1"/>
  <c r="AL41" i="41"/>
  <c r="AE41" i="41"/>
  <c r="AB41" i="41"/>
  <c r="Y41" i="41"/>
  <c r="Y45" i="41" s="1"/>
  <c r="V41" i="41"/>
  <c r="S41" i="41"/>
  <c r="AM40" i="41"/>
  <c r="AL40" i="41"/>
  <c r="AN40" i="41" s="1"/>
  <c r="AE40" i="41"/>
  <c r="Y40" i="41"/>
  <c r="S40" i="41"/>
  <c r="V40" i="41" s="1"/>
  <c r="AM39" i="41"/>
  <c r="AL39" i="41"/>
  <c r="AE39" i="41"/>
  <c r="AE45" i="41" s="1"/>
  <c r="Y39" i="41"/>
  <c r="S39" i="41"/>
  <c r="AK38" i="41"/>
  <c r="AJ38" i="41"/>
  <c r="AI38" i="41"/>
  <c r="AH38" i="41"/>
  <c r="AG38" i="41"/>
  <c r="AD38" i="41"/>
  <c r="AC38" i="41"/>
  <c r="X38" i="41"/>
  <c r="W38" i="41"/>
  <c r="U38" i="41"/>
  <c r="T38" i="41"/>
  <c r="AM37" i="41"/>
  <c r="AL37" i="41"/>
  <c r="AN37" i="41" s="1"/>
  <c r="AE37" i="41"/>
  <c r="Y37" i="41"/>
  <c r="V37" i="41"/>
  <c r="Z37" i="41" s="1"/>
  <c r="S37" i="41"/>
  <c r="AM36" i="41"/>
  <c r="AL36" i="41"/>
  <c r="AN36" i="41" s="1"/>
  <c r="AF36" i="41"/>
  <c r="AE36" i="41"/>
  <c r="AA36" i="41"/>
  <c r="Z36" i="41"/>
  <c r="Y36" i="41"/>
  <c r="S36" i="41"/>
  <c r="V36" i="41" s="1"/>
  <c r="AB36" i="41" s="1"/>
  <c r="AN35" i="41"/>
  <c r="AM35" i="41"/>
  <c r="AL35" i="41"/>
  <c r="AE35" i="41"/>
  <c r="Y35" i="41"/>
  <c r="Z35" i="41" s="1"/>
  <c r="V35" i="41"/>
  <c r="AB35" i="41" s="1"/>
  <c r="S35" i="41"/>
  <c r="AM34" i="41"/>
  <c r="AN34" i="41" s="1"/>
  <c r="AL34" i="41"/>
  <c r="AE34" i="41"/>
  <c r="AE38" i="41" s="1"/>
  <c r="AB34" i="41"/>
  <c r="Y34" i="41"/>
  <c r="Y38" i="41" s="1"/>
  <c r="V34" i="41"/>
  <c r="S34" i="41"/>
  <c r="AM33" i="41"/>
  <c r="AL33" i="41"/>
  <c r="AE33" i="41"/>
  <c r="Y33" i="41"/>
  <c r="S33" i="41"/>
  <c r="S38" i="41" s="1"/>
  <c r="AK32" i="41"/>
  <c r="AJ32" i="41"/>
  <c r="AI32" i="41"/>
  <c r="AH32" i="41"/>
  <c r="AG32" i="41"/>
  <c r="AD32" i="41"/>
  <c r="AC32" i="41"/>
  <c r="Y32" i="41"/>
  <c r="X32" i="41"/>
  <c r="W32" i="41"/>
  <c r="U32" i="41"/>
  <c r="T32" i="41"/>
  <c r="AM31" i="41"/>
  <c r="AN31" i="41" s="1"/>
  <c r="AL31" i="41"/>
  <c r="AE31" i="41"/>
  <c r="Y31" i="41"/>
  <c r="V31" i="41"/>
  <c r="S31" i="41"/>
  <c r="AM30" i="41"/>
  <c r="AL30" i="41"/>
  <c r="AN30" i="41" s="1"/>
  <c r="AE30" i="41"/>
  <c r="AE32" i="41" s="1"/>
  <c r="Y30" i="41"/>
  <c r="V30" i="41"/>
  <c r="Z30" i="41" s="1"/>
  <c r="S30" i="41"/>
  <c r="S32" i="41" s="1"/>
  <c r="AL29" i="41"/>
  <c r="AK29" i="41"/>
  <c r="AJ29" i="41"/>
  <c r="AI29" i="41"/>
  <c r="AH29" i="41"/>
  <c r="AG29" i="41"/>
  <c r="AD29" i="41"/>
  <c r="AC29" i="41"/>
  <c r="Y29" i="41"/>
  <c r="X29" i="41"/>
  <c r="W29" i="41"/>
  <c r="U29" i="41"/>
  <c r="T29" i="41"/>
  <c r="AM28" i="41"/>
  <c r="AM29" i="41" s="1"/>
  <c r="AL28" i="41"/>
  <c r="AE28" i="41"/>
  <c r="AE29" i="41" s="1"/>
  <c r="Y28" i="41"/>
  <c r="V28" i="41"/>
  <c r="S28" i="41"/>
  <c r="S29" i="41" s="1"/>
  <c r="AL27" i="41"/>
  <c r="AK27" i="41"/>
  <c r="AJ27" i="41"/>
  <c r="AI27" i="41"/>
  <c r="AH27" i="41"/>
  <c r="AG27" i="41"/>
  <c r="AD27" i="41"/>
  <c r="AC27" i="41"/>
  <c r="X27" i="41"/>
  <c r="W27" i="41"/>
  <c r="U27" i="41"/>
  <c r="T27" i="41"/>
  <c r="AN26" i="41"/>
  <c r="AM26" i="41"/>
  <c r="AL26" i="41"/>
  <c r="AE26" i="41"/>
  <c r="Z26" i="41"/>
  <c r="Y26" i="41"/>
  <c r="V26" i="41"/>
  <c r="AB26" i="41" s="1"/>
  <c r="S26" i="41"/>
  <c r="AN25" i="41"/>
  <c r="AM25" i="41"/>
  <c r="AL25" i="41"/>
  <c r="AE25" i="41"/>
  <c r="AB25" i="41"/>
  <c r="Y25" i="41"/>
  <c r="V25" i="41"/>
  <c r="S25" i="41"/>
  <c r="AM24" i="41"/>
  <c r="AM27" i="41" s="1"/>
  <c r="AL24" i="41"/>
  <c r="AE24" i="41"/>
  <c r="Y24" i="41"/>
  <c r="S24" i="41"/>
  <c r="V24" i="41" s="1"/>
  <c r="AM23" i="41"/>
  <c r="AL23" i="41"/>
  <c r="AN23" i="41" s="1"/>
  <c r="AE23" i="41"/>
  <c r="AA23" i="41"/>
  <c r="Y23" i="41"/>
  <c r="S23" i="41"/>
  <c r="V23" i="41" s="1"/>
  <c r="AB23" i="41" s="1"/>
  <c r="AN22" i="41"/>
  <c r="AM22" i="41"/>
  <c r="AL22" i="41"/>
  <c r="AE22" i="41"/>
  <c r="AE27" i="41" s="1"/>
  <c r="Y22" i="41"/>
  <c r="Y27" i="41" s="1"/>
  <c r="V22" i="41"/>
  <c r="AB22" i="41" s="1"/>
  <c r="S22" i="41"/>
  <c r="AK21" i="41"/>
  <c r="AJ21" i="41"/>
  <c r="AI21" i="41"/>
  <c r="AH21" i="41"/>
  <c r="AG21" i="41"/>
  <c r="AD21" i="41"/>
  <c r="AC21" i="41"/>
  <c r="X21" i="41"/>
  <c r="W21" i="41"/>
  <c r="U21" i="41"/>
  <c r="T21" i="41"/>
  <c r="AM20" i="41"/>
  <c r="AL20" i="41"/>
  <c r="AN20" i="41" s="1"/>
  <c r="AE20" i="41"/>
  <c r="AA20" i="41"/>
  <c r="Z20" i="41"/>
  <c r="AF20" i="41" s="1"/>
  <c r="Y20" i="41"/>
  <c r="S20" i="41"/>
  <c r="V20" i="41" s="1"/>
  <c r="AB20" i="41" s="1"/>
  <c r="AN19" i="41"/>
  <c r="AM19" i="41"/>
  <c r="AL19" i="41"/>
  <c r="AE19" i="41"/>
  <c r="Z19" i="41"/>
  <c r="Y19" i="41"/>
  <c r="V19" i="41"/>
  <c r="AB19" i="41" s="1"/>
  <c r="S19" i="41"/>
  <c r="AN18" i="41"/>
  <c r="AM18" i="41"/>
  <c r="AL18" i="41"/>
  <c r="AE18" i="41"/>
  <c r="AE21" i="41" s="1"/>
  <c r="AB18" i="41"/>
  <c r="Y18" i="41"/>
  <c r="V18" i="41"/>
  <c r="S18" i="41"/>
  <c r="AM17" i="41"/>
  <c r="AM21" i="41" s="1"/>
  <c r="AL17" i="41"/>
  <c r="AE17" i="41"/>
  <c r="Y17" i="41"/>
  <c r="Y21" i="41" s="1"/>
  <c r="S17" i="41"/>
  <c r="S21" i="41" s="1"/>
  <c r="AK16" i="41"/>
  <c r="AJ16" i="41"/>
  <c r="AI16" i="41"/>
  <c r="AH16" i="41"/>
  <c r="AG16" i="41"/>
  <c r="AD16" i="41"/>
  <c r="AC16" i="41"/>
  <c r="X16" i="41"/>
  <c r="W16" i="41"/>
  <c r="U16" i="41"/>
  <c r="T16" i="41"/>
  <c r="AM15" i="41"/>
  <c r="AN15" i="41" s="1"/>
  <c r="AL15" i="41"/>
  <c r="AE15" i="41"/>
  <c r="AB15" i="41"/>
  <c r="Y15" i="41"/>
  <c r="V15" i="41"/>
  <c r="S15" i="41"/>
  <c r="AM14" i="41"/>
  <c r="AL14" i="41"/>
  <c r="AN14" i="41" s="1"/>
  <c r="AE14" i="41"/>
  <c r="Y14" i="41"/>
  <c r="S14" i="41"/>
  <c r="V14" i="41" s="1"/>
  <c r="AM13" i="41"/>
  <c r="AL13" i="41"/>
  <c r="AN13" i="41" s="1"/>
  <c r="AE13" i="41"/>
  <c r="AA13" i="41"/>
  <c r="Z13" i="41"/>
  <c r="AF13" i="41" s="1"/>
  <c r="Y13" i="41"/>
  <c r="S13" i="41"/>
  <c r="V13" i="41" s="1"/>
  <c r="AB13" i="41" s="1"/>
  <c r="AN12" i="41"/>
  <c r="AM12" i="41"/>
  <c r="AM16" i="41" s="1"/>
  <c r="AL12" i="41"/>
  <c r="AE12" i="41"/>
  <c r="AE16" i="41" s="1"/>
  <c r="Z12" i="41"/>
  <c r="Y12" i="41"/>
  <c r="Y16" i="41" s="1"/>
  <c r="V12" i="41"/>
  <c r="AB12" i="41" s="1"/>
  <c r="S12" i="41"/>
  <c r="S16" i="41" s="1"/>
  <c r="AW132" i="40"/>
  <c r="AX132" i="40"/>
  <c r="AV132" i="40"/>
  <c r="AQ132" i="40"/>
  <c r="AR132" i="40"/>
  <c r="AS132" i="40"/>
  <c r="AT132" i="40"/>
  <c r="AU132" i="40"/>
  <c r="AP132" i="40"/>
  <c r="AO132" i="40"/>
  <c r="U132" i="40"/>
  <c r="V132" i="40"/>
  <c r="W132" i="40"/>
  <c r="X132" i="40"/>
  <c r="Y132" i="40"/>
  <c r="Z132" i="40"/>
  <c r="T132" i="40"/>
  <c r="S132" i="40"/>
  <c r="AK166" i="40"/>
  <c r="AJ166" i="40"/>
  <c r="AI166" i="40"/>
  <c r="AH166" i="40"/>
  <c r="AG166" i="40"/>
  <c r="AD166" i="40"/>
  <c r="AC166" i="40"/>
  <c r="Y166" i="40"/>
  <c r="X166" i="40"/>
  <c r="W166" i="40"/>
  <c r="U166" i="40"/>
  <c r="T166" i="40"/>
  <c r="AM165" i="40"/>
  <c r="AL165" i="40"/>
  <c r="AE165" i="40"/>
  <c r="AB165" i="40"/>
  <c r="Y165" i="40"/>
  <c r="V165" i="40"/>
  <c r="S165" i="40"/>
  <c r="AM164" i="40"/>
  <c r="AL164" i="40"/>
  <c r="AN164" i="40" s="1"/>
  <c r="AE164" i="40"/>
  <c r="Y164" i="40"/>
  <c r="S164" i="40"/>
  <c r="V164" i="40" s="1"/>
  <c r="AA164" i="40" s="1"/>
  <c r="AM163" i="40"/>
  <c r="AM166" i="40" s="1"/>
  <c r="AL163" i="40"/>
  <c r="AN163" i="40" s="1"/>
  <c r="AE163" i="40"/>
  <c r="AE166" i="40" s="1"/>
  <c r="Y163" i="40"/>
  <c r="S163" i="40"/>
  <c r="S166" i="40" s="1"/>
  <c r="AK162" i="40"/>
  <c r="AJ162" i="40"/>
  <c r="AI162" i="40"/>
  <c r="AH162" i="40"/>
  <c r="AG162" i="40"/>
  <c r="AD162" i="40"/>
  <c r="AC162" i="40"/>
  <c r="X162" i="40"/>
  <c r="W162" i="40"/>
  <c r="U162" i="40"/>
  <c r="T162" i="40"/>
  <c r="AM161" i="40"/>
  <c r="AL161" i="40"/>
  <c r="AN161" i="40" s="1"/>
  <c r="AE161" i="40"/>
  <c r="Y161" i="40"/>
  <c r="S161" i="40"/>
  <c r="V161" i="40" s="1"/>
  <c r="AM160" i="40"/>
  <c r="AL160" i="40"/>
  <c r="AN160" i="40" s="1"/>
  <c r="AE160" i="40"/>
  <c r="Z160" i="40"/>
  <c r="Y160" i="40"/>
  <c r="V160" i="40"/>
  <c r="AB160" i="40" s="1"/>
  <c r="S160" i="40"/>
  <c r="AN159" i="40"/>
  <c r="AM159" i="40"/>
  <c r="AL159" i="40"/>
  <c r="AE159" i="40"/>
  <c r="Y159" i="40"/>
  <c r="S159" i="40"/>
  <c r="V159" i="40" s="1"/>
  <c r="AM158" i="40"/>
  <c r="AL158" i="40"/>
  <c r="AN158" i="40" s="1"/>
  <c r="AE158" i="40"/>
  <c r="Y158" i="40"/>
  <c r="V158" i="40"/>
  <c r="S158" i="40"/>
  <c r="AM157" i="40"/>
  <c r="AL157" i="40"/>
  <c r="AE157" i="40"/>
  <c r="AE162" i="40" s="1"/>
  <c r="Y157" i="40"/>
  <c r="S157" i="40"/>
  <c r="AK156" i="40"/>
  <c r="AJ156" i="40"/>
  <c r="AI156" i="40"/>
  <c r="AH156" i="40"/>
  <c r="AG156" i="40"/>
  <c r="AD156" i="40"/>
  <c r="AC156" i="40"/>
  <c r="Y156" i="40"/>
  <c r="X156" i="40"/>
  <c r="W156" i="40"/>
  <c r="U156" i="40"/>
  <c r="T156" i="40"/>
  <c r="AM155" i="40"/>
  <c r="AL155" i="40"/>
  <c r="AE155" i="40"/>
  <c r="AB155" i="40"/>
  <c r="Y155" i="40"/>
  <c r="V155" i="40"/>
  <c r="S155" i="40"/>
  <c r="AM154" i="40"/>
  <c r="AL154" i="40"/>
  <c r="AE154" i="40"/>
  <c r="AE156" i="40" s="1"/>
  <c r="Y154" i="40"/>
  <c r="S154" i="40"/>
  <c r="AK153" i="40"/>
  <c r="AJ153" i="40"/>
  <c r="AI153" i="40"/>
  <c r="AH153" i="40"/>
  <c r="AG153" i="40"/>
  <c r="AD153" i="40"/>
  <c r="AC153" i="40"/>
  <c r="Y153" i="40"/>
  <c r="X153" i="40"/>
  <c r="W153" i="40"/>
  <c r="U153" i="40"/>
  <c r="T153" i="40"/>
  <c r="AM152" i="40"/>
  <c r="AL152" i="40"/>
  <c r="AE152" i="40"/>
  <c r="AB152" i="40"/>
  <c r="Y152" i="40"/>
  <c r="V152" i="40"/>
  <c r="S152" i="40"/>
  <c r="AM151" i="40"/>
  <c r="AL151" i="40"/>
  <c r="AN151" i="40" s="1"/>
  <c r="AE151" i="40"/>
  <c r="AA151" i="40"/>
  <c r="Y151" i="40"/>
  <c r="S151" i="40"/>
  <c r="V151" i="40" s="1"/>
  <c r="AM150" i="40"/>
  <c r="AL150" i="40"/>
  <c r="AN150" i="40" s="1"/>
  <c r="AE150" i="40"/>
  <c r="Z150" i="40"/>
  <c r="Y150" i="40"/>
  <c r="V150" i="40"/>
  <c r="AB150" i="40" s="1"/>
  <c r="S150" i="40"/>
  <c r="AN149" i="40"/>
  <c r="AM149" i="40"/>
  <c r="AL149" i="40"/>
  <c r="AE149" i="40"/>
  <c r="Y149" i="40"/>
  <c r="S149" i="40"/>
  <c r="V149" i="40" s="1"/>
  <c r="AM148" i="40"/>
  <c r="AL148" i="40"/>
  <c r="AE148" i="40"/>
  <c r="AB148" i="40"/>
  <c r="Y148" i="40"/>
  <c r="V148" i="40"/>
  <c r="S148" i="40"/>
  <c r="AM147" i="40"/>
  <c r="AL147" i="40"/>
  <c r="AE147" i="40"/>
  <c r="AE153" i="40" s="1"/>
  <c r="Y147" i="40"/>
  <c r="S147" i="40"/>
  <c r="AK146" i="40"/>
  <c r="AJ146" i="40"/>
  <c r="AI146" i="40"/>
  <c r="AH146" i="40"/>
  <c r="AG146" i="40"/>
  <c r="AD146" i="40"/>
  <c r="AC146" i="40"/>
  <c r="Y146" i="40"/>
  <c r="X146" i="40"/>
  <c r="W146" i="40"/>
  <c r="U146" i="40"/>
  <c r="T146" i="40"/>
  <c r="AM145" i="40"/>
  <c r="AL145" i="40"/>
  <c r="AE145" i="40"/>
  <c r="AB145" i="40"/>
  <c r="Y145" i="40"/>
  <c r="V145" i="40"/>
  <c r="S145" i="40"/>
  <c r="AM144" i="40"/>
  <c r="AL144" i="40"/>
  <c r="AN144" i="40" s="1"/>
  <c r="AE144" i="40"/>
  <c r="Y144" i="40"/>
  <c r="S144" i="40"/>
  <c r="V144" i="40" s="1"/>
  <c r="AA144" i="40" s="1"/>
  <c r="AM143" i="40"/>
  <c r="AL143" i="40"/>
  <c r="AN143" i="40" s="1"/>
  <c r="AE143" i="40"/>
  <c r="Z143" i="40"/>
  <c r="Y143" i="40"/>
  <c r="V143" i="40"/>
  <c r="AB143" i="40" s="1"/>
  <c r="S143" i="40"/>
  <c r="AN142" i="40"/>
  <c r="AM142" i="40"/>
  <c r="AL142" i="40"/>
  <c r="AE142" i="40"/>
  <c r="Y142" i="40"/>
  <c r="S142" i="40"/>
  <c r="V142" i="40" s="1"/>
  <c r="AM141" i="40"/>
  <c r="AL141" i="40"/>
  <c r="AE141" i="40"/>
  <c r="Y141" i="40"/>
  <c r="V141" i="40"/>
  <c r="AB141" i="40" s="1"/>
  <c r="S141" i="40"/>
  <c r="AM140" i="40"/>
  <c r="AL140" i="40"/>
  <c r="AE140" i="40"/>
  <c r="AE146" i="40" s="1"/>
  <c r="Y140" i="40"/>
  <c r="S140" i="40"/>
  <c r="AK139" i="40"/>
  <c r="AJ139" i="40"/>
  <c r="AI139" i="40"/>
  <c r="AH139" i="40"/>
  <c r="AG139" i="40"/>
  <c r="AD139" i="40"/>
  <c r="AC139" i="40"/>
  <c r="Y139" i="40"/>
  <c r="X139" i="40"/>
  <c r="W139" i="40"/>
  <c r="U139" i="40"/>
  <c r="T139" i="40"/>
  <c r="AM138" i="40"/>
  <c r="AL138" i="40"/>
  <c r="AE138" i="40"/>
  <c r="AB138" i="40"/>
  <c r="Y138" i="40"/>
  <c r="V138" i="40"/>
  <c r="S138" i="40"/>
  <c r="AM137" i="40"/>
  <c r="AL137" i="40"/>
  <c r="AN137" i="40" s="1"/>
  <c r="AE137" i="40"/>
  <c r="Y137" i="40"/>
  <c r="S137" i="40"/>
  <c r="V137" i="40" s="1"/>
  <c r="AA137" i="40" s="1"/>
  <c r="AM136" i="40"/>
  <c r="AL136" i="40"/>
  <c r="AN136" i="40" s="1"/>
  <c r="AE136" i="40"/>
  <c r="Z136" i="40"/>
  <c r="Y136" i="40"/>
  <c r="V136" i="40"/>
  <c r="AB136" i="40" s="1"/>
  <c r="S136" i="40"/>
  <c r="AN135" i="40"/>
  <c r="AM135" i="40"/>
  <c r="AL135" i="40"/>
  <c r="AE135" i="40"/>
  <c r="Y135" i="40"/>
  <c r="S135" i="40"/>
  <c r="V135" i="40" s="1"/>
  <c r="AM134" i="40"/>
  <c r="AL134" i="40"/>
  <c r="AE134" i="40"/>
  <c r="Y134" i="40"/>
  <c r="V134" i="40"/>
  <c r="AB134" i="40" s="1"/>
  <c r="S134" i="40"/>
  <c r="AM133" i="40"/>
  <c r="AL133" i="40"/>
  <c r="AE133" i="40"/>
  <c r="AE139" i="40" s="1"/>
  <c r="Y133" i="40"/>
  <c r="S133" i="40"/>
  <c r="AK132" i="40"/>
  <c r="AJ132" i="40"/>
  <c r="AI132" i="40"/>
  <c r="AH132" i="40"/>
  <c r="AG132" i="40"/>
  <c r="AD132" i="40"/>
  <c r="AC132" i="40"/>
  <c r="AM131" i="40"/>
  <c r="AN131" i="40" s="1"/>
  <c r="AL131" i="40"/>
  <c r="AE131" i="40"/>
  <c r="AB131" i="40"/>
  <c r="Y131" i="40"/>
  <c r="V131" i="40"/>
  <c r="S131" i="40"/>
  <c r="AM130" i="40"/>
  <c r="AM132" i="40" s="1"/>
  <c r="AL130" i="40"/>
  <c r="AE130" i="40"/>
  <c r="AE132" i="40" s="1"/>
  <c r="Y130" i="40"/>
  <c r="S130" i="40"/>
  <c r="AK129" i="40"/>
  <c r="AJ129" i="40"/>
  <c r="AI129" i="40"/>
  <c r="AH129" i="40"/>
  <c r="AG129" i="40"/>
  <c r="AD129" i="40"/>
  <c r="AC129" i="40"/>
  <c r="Y129" i="40"/>
  <c r="X129" i="40"/>
  <c r="W129" i="40"/>
  <c r="U129" i="40"/>
  <c r="T129" i="40"/>
  <c r="AM128" i="40"/>
  <c r="AL128" i="40"/>
  <c r="AN128" i="40" s="1"/>
  <c r="AE128" i="40"/>
  <c r="AB128" i="40"/>
  <c r="Y128" i="40"/>
  <c r="V128" i="40"/>
  <c r="S128" i="40"/>
  <c r="AM127" i="40"/>
  <c r="AM129" i="40" s="1"/>
  <c r="AL127" i="40"/>
  <c r="AE127" i="40"/>
  <c r="AE129" i="40" s="1"/>
  <c r="Y127" i="40"/>
  <c r="S127" i="40"/>
  <c r="AK126" i="40"/>
  <c r="AJ126" i="40"/>
  <c r="AI126" i="40"/>
  <c r="AH126" i="40"/>
  <c r="AG126" i="40"/>
  <c r="AD126" i="40"/>
  <c r="AC126" i="40"/>
  <c r="X126" i="40"/>
  <c r="W126" i="40"/>
  <c r="U126" i="40"/>
  <c r="T126" i="40"/>
  <c r="AM125" i="40"/>
  <c r="AL125" i="40"/>
  <c r="AN125" i="40" s="1"/>
  <c r="AE125" i="40"/>
  <c r="Y125" i="40"/>
  <c r="V125" i="40"/>
  <c r="S125" i="40"/>
  <c r="AM124" i="40"/>
  <c r="AL124" i="40"/>
  <c r="AN124" i="40" s="1"/>
  <c r="AE124" i="40"/>
  <c r="AA124" i="40"/>
  <c r="Y124" i="40"/>
  <c r="S124" i="40"/>
  <c r="V124" i="40" s="1"/>
  <c r="AM123" i="40"/>
  <c r="AL123" i="40"/>
  <c r="AN123" i="40" s="1"/>
  <c r="AE123" i="40"/>
  <c r="Z123" i="40"/>
  <c r="Y123" i="40"/>
  <c r="V123" i="40"/>
  <c r="AB123" i="40" s="1"/>
  <c r="S123" i="40"/>
  <c r="AN122" i="40"/>
  <c r="AM122" i="40"/>
  <c r="AL122" i="40"/>
  <c r="AE122" i="40"/>
  <c r="Y122" i="40"/>
  <c r="Y126" i="40" s="1"/>
  <c r="S122" i="40"/>
  <c r="V122" i="40" s="1"/>
  <c r="AM121" i="40"/>
  <c r="AL121" i="40"/>
  <c r="AL126" i="40" s="1"/>
  <c r="AE121" i="40"/>
  <c r="AE126" i="40" s="1"/>
  <c r="Y121" i="40"/>
  <c r="V121" i="40"/>
  <c r="S121" i="40"/>
  <c r="S126" i="40" s="1"/>
  <c r="AK120" i="40"/>
  <c r="AJ120" i="40"/>
  <c r="AI120" i="40"/>
  <c r="AH120" i="40"/>
  <c r="AG120" i="40"/>
  <c r="AD120" i="40"/>
  <c r="AC120" i="40"/>
  <c r="X120" i="40"/>
  <c r="W120" i="40"/>
  <c r="U120" i="40"/>
  <c r="T120" i="40"/>
  <c r="AN119" i="40"/>
  <c r="AM119" i="40"/>
  <c r="AL119" i="40"/>
  <c r="AE119" i="40"/>
  <c r="Y119" i="40"/>
  <c r="V119" i="40"/>
  <c r="AB119" i="40" s="1"/>
  <c r="S119" i="40"/>
  <c r="AM118" i="40"/>
  <c r="AL118" i="40"/>
  <c r="AN118" i="40" s="1"/>
  <c r="AE118" i="40"/>
  <c r="Y118" i="40"/>
  <c r="V118" i="40"/>
  <c r="S118" i="40"/>
  <c r="AM117" i="40"/>
  <c r="AL117" i="40"/>
  <c r="AE117" i="40"/>
  <c r="Y117" i="40"/>
  <c r="S117" i="40"/>
  <c r="AK116" i="40"/>
  <c r="AJ116" i="40"/>
  <c r="AI116" i="40"/>
  <c r="AH116" i="40"/>
  <c r="AG116" i="40"/>
  <c r="AD116" i="40"/>
  <c r="AC116" i="40"/>
  <c r="X116" i="40"/>
  <c r="W116" i="40"/>
  <c r="U116" i="40"/>
  <c r="T116" i="40"/>
  <c r="AM115" i="40"/>
  <c r="AL115" i="40"/>
  <c r="AE115" i="40"/>
  <c r="AB115" i="40"/>
  <c r="Y115" i="40"/>
  <c r="V115" i="40"/>
  <c r="S115" i="40"/>
  <c r="AM114" i="40"/>
  <c r="AL114" i="40"/>
  <c r="AN114" i="40" s="1"/>
  <c r="AE114" i="40"/>
  <c r="Y114" i="40"/>
  <c r="S114" i="40"/>
  <c r="V114" i="40" s="1"/>
  <c r="AN113" i="40"/>
  <c r="AM113" i="40"/>
  <c r="AL113" i="40"/>
  <c r="AE113" i="40"/>
  <c r="Y113" i="40"/>
  <c r="S113" i="40"/>
  <c r="V113" i="40" s="1"/>
  <c r="AN112" i="40"/>
  <c r="AM112" i="40"/>
  <c r="AL112" i="40"/>
  <c r="AE112" i="40"/>
  <c r="AE116" i="40" s="1"/>
  <c r="Y112" i="40"/>
  <c r="Y116" i="40" s="1"/>
  <c r="V112" i="40"/>
  <c r="AB112" i="40" s="1"/>
  <c r="S112" i="40"/>
  <c r="AM111" i="40"/>
  <c r="AL111" i="40"/>
  <c r="AK111" i="40"/>
  <c r="AJ111" i="40"/>
  <c r="AI111" i="40"/>
  <c r="AH111" i="40"/>
  <c r="AG111" i="40"/>
  <c r="AE111" i="40"/>
  <c r="AD111" i="40"/>
  <c r="AC111" i="40"/>
  <c r="X111" i="40"/>
  <c r="W111" i="40"/>
  <c r="U111" i="40"/>
  <c r="T111" i="40"/>
  <c r="S111" i="40"/>
  <c r="AN110" i="40"/>
  <c r="AN111" i="40" s="1"/>
  <c r="AM110" i="40"/>
  <c r="AL110" i="40"/>
  <c r="AE110" i="40"/>
  <c r="Y110" i="40"/>
  <c r="Y111" i="40" s="1"/>
  <c r="S110" i="40"/>
  <c r="V110" i="40" s="1"/>
  <c r="AK109" i="40"/>
  <c r="AJ109" i="40"/>
  <c r="AI109" i="40"/>
  <c r="AH109" i="40"/>
  <c r="AG109" i="40"/>
  <c r="AD109" i="40"/>
  <c r="AC109" i="40"/>
  <c r="X109" i="40"/>
  <c r="W109" i="40"/>
  <c r="U109" i="40"/>
  <c r="T109" i="40"/>
  <c r="AM108" i="40"/>
  <c r="AL108" i="40"/>
  <c r="AN108" i="40" s="1"/>
  <c r="AE108" i="40"/>
  <c r="Y108" i="40"/>
  <c r="S108" i="40"/>
  <c r="V108" i="40" s="1"/>
  <c r="AN107" i="40"/>
  <c r="AM107" i="40"/>
  <c r="AL107" i="40"/>
  <c r="AE107" i="40"/>
  <c r="Y107" i="40"/>
  <c r="S107" i="40"/>
  <c r="V107" i="40" s="1"/>
  <c r="AN106" i="40"/>
  <c r="AM106" i="40"/>
  <c r="AL106" i="40"/>
  <c r="AE106" i="40"/>
  <c r="AE109" i="40" s="1"/>
  <c r="Y106" i="40"/>
  <c r="V106" i="40"/>
  <c r="AB106" i="40" s="1"/>
  <c r="S106" i="40"/>
  <c r="AM105" i="40"/>
  <c r="AM109" i="40" s="1"/>
  <c r="AL105" i="40"/>
  <c r="AN105" i="40" s="1"/>
  <c r="AE105" i="40"/>
  <c r="Y105" i="40"/>
  <c r="V105" i="40"/>
  <c r="S105" i="40"/>
  <c r="AM104" i="40"/>
  <c r="AL104" i="40"/>
  <c r="AE104" i="40"/>
  <c r="Y104" i="40"/>
  <c r="S104" i="40"/>
  <c r="AK103" i="40"/>
  <c r="AJ103" i="40"/>
  <c r="AI103" i="40"/>
  <c r="AH103" i="40"/>
  <c r="AG103" i="40"/>
  <c r="AD103" i="40"/>
  <c r="AC103" i="40"/>
  <c r="Y103" i="40"/>
  <c r="X103" i="40"/>
  <c r="W103" i="40"/>
  <c r="U103" i="40"/>
  <c r="T103" i="40"/>
  <c r="AM102" i="40"/>
  <c r="AL102" i="40"/>
  <c r="AE102" i="40"/>
  <c r="AB102" i="40"/>
  <c r="Y102" i="40"/>
  <c r="V102" i="40"/>
  <c r="S102" i="40"/>
  <c r="AM101" i="40"/>
  <c r="AL101" i="40"/>
  <c r="AN101" i="40" s="1"/>
  <c r="AE101" i="40"/>
  <c r="Y101" i="40"/>
  <c r="S101" i="40"/>
  <c r="V101" i="40" s="1"/>
  <c r="AN100" i="40"/>
  <c r="AM100" i="40"/>
  <c r="AL100" i="40"/>
  <c r="AE100" i="40"/>
  <c r="AE103" i="40" s="1"/>
  <c r="Y100" i="40"/>
  <c r="S100" i="40"/>
  <c r="AK99" i="40"/>
  <c r="AJ99" i="40"/>
  <c r="AI99" i="40"/>
  <c r="AH99" i="40"/>
  <c r="AG99" i="40"/>
  <c r="AD99" i="40"/>
  <c r="AC99" i="40"/>
  <c r="X99" i="40"/>
  <c r="W99" i="40"/>
  <c r="U99" i="40"/>
  <c r="T99" i="40"/>
  <c r="AM98" i="40"/>
  <c r="AL98" i="40"/>
  <c r="AN98" i="40" s="1"/>
  <c r="AE98" i="40"/>
  <c r="Y98" i="40"/>
  <c r="S98" i="40"/>
  <c r="V98" i="40" s="1"/>
  <c r="AN97" i="40"/>
  <c r="AM97" i="40"/>
  <c r="AL97" i="40"/>
  <c r="AE97" i="40"/>
  <c r="Y97" i="40"/>
  <c r="S97" i="40"/>
  <c r="V97" i="40" s="1"/>
  <c r="AN96" i="40"/>
  <c r="AM96" i="40"/>
  <c r="AL96" i="40"/>
  <c r="AE96" i="40"/>
  <c r="AE99" i="40" s="1"/>
  <c r="Y96" i="40"/>
  <c r="V96" i="40"/>
  <c r="AB96" i="40" s="1"/>
  <c r="S96" i="40"/>
  <c r="AM95" i="40"/>
  <c r="AM99" i="40" s="1"/>
  <c r="AL95" i="40"/>
  <c r="AE95" i="40"/>
  <c r="AB95" i="40"/>
  <c r="Y95" i="40"/>
  <c r="V95" i="40"/>
  <c r="S95" i="40"/>
  <c r="AM94" i="40"/>
  <c r="AL94" i="40"/>
  <c r="AE94" i="40"/>
  <c r="Y94" i="40"/>
  <c r="Y99" i="40" s="1"/>
  <c r="S94" i="40"/>
  <c r="AK93" i="40"/>
  <c r="AJ93" i="40"/>
  <c r="AI93" i="40"/>
  <c r="AH93" i="40"/>
  <c r="AG93" i="40"/>
  <c r="AD93" i="40"/>
  <c r="AC93" i="40"/>
  <c r="Y93" i="40"/>
  <c r="X93" i="40"/>
  <c r="W93" i="40"/>
  <c r="U93" i="40"/>
  <c r="T93" i="40"/>
  <c r="AM92" i="40"/>
  <c r="AL92" i="40"/>
  <c r="AE92" i="40"/>
  <c r="AB92" i="40"/>
  <c r="Y92" i="40"/>
  <c r="V92" i="40"/>
  <c r="S92" i="40"/>
  <c r="AM91" i="40"/>
  <c r="AM93" i="40" s="1"/>
  <c r="AL91" i="40"/>
  <c r="AE91" i="40"/>
  <c r="AE93" i="40" s="1"/>
  <c r="Y91" i="40"/>
  <c r="S91" i="40"/>
  <c r="AK90" i="40"/>
  <c r="AJ90" i="40"/>
  <c r="AI90" i="40"/>
  <c r="AH90" i="40"/>
  <c r="AG90" i="40"/>
  <c r="AD90" i="40"/>
  <c r="AC90" i="40"/>
  <c r="X90" i="40"/>
  <c r="W90" i="40"/>
  <c r="U90" i="40"/>
  <c r="T90" i="40"/>
  <c r="AM89" i="40"/>
  <c r="AL89" i="40"/>
  <c r="AN89" i="40" s="1"/>
  <c r="AE89" i="40"/>
  <c r="Y89" i="40"/>
  <c r="V89" i="40"/>
  <c r="S89" i="40"/>
  <c r="AM88" i="40"/>
  <c r="AL88" i="40"/>
  <c r="AN88" i="40" s="1"/>
  <c r="AE88" i="40"/>
  <c r="Y88" i="40"/>
  <c r="S88" i="40"/>
  <c r="V88" i="40" s="1"/>
  <c r="AB88" i="40" s="1"/>
  <c r="AN87" i="40"/>
  <c r="AM87" i="40"/>
  <c r="AL87" i="40"/>
  <c r="AE87" i="40"/>
  <c r="Y87" i="40"/>
  <c r="S87" i="40"/>
  <c r="V87" i="40" s="1"/>
  <c r="Z87" i="40" s="1"/>
  <c r="AM86" i="40"/>
  <c r="AN86" i="40" s="1"/>
  <c r="AL86" i="40"/>
  <c r="AE86" i="40"/>
  <c r="Y86" i="40"/>
  <c r="Y90" i="40" s="1"/>
  <c r="V86" i="40"/>
  <c r="S86" i="40"/>
  <c r="AM85" i="40"/>
  <c r="AL85" i="40"/>
  <c r="AN85" i="40" s="1"/>
  <c r="AE85" i="40"/>
  <c r="Y85" i="40"/>
  <c r="V85" i="40"/>
  <c r="S85" i="40"/>
  <c r="AM84" i="40"/>
  <c r="AL84" i="40"/>
  <c r="AE84" i="40"/>
  <c r="AE90" i="40" s="1"/>
  <c r="Y84" i="40"/>
  <c r="S84" i="40"/>
  <c r="AK83" i="40"/>
  <c r="AJ83" i="40"/>
  <c r="AI83" i="40"/>
  <c r="AH83" i="40"/>
  <c r="AG83" i="40"/>
  <c r="AD83" i="40"/>
  <c r="AC83" i="40"/>
  <c r="X83" i="40"/>
  <c r="W83" i="40"/>
  <c r="U83" i="40"/>
  <c r="T83" i="40"/>
  <c r="AM82" i="40"/>
  <c r="AL82" i="40"/>
  <c r="AE82" i="40"/>
  <c r="Y82" i="40"/>
  <c r="S82" i="40"/>
  <c r="V82" i="40" s="1"/>
  <c r="AB82" i="40" s="1"/>
  <c r="AM81" i="40"/>
  <c r="AL81" i="40"/>
  <c r="AN81" i="40" s="1"/>
  <c r="AE81" i="40"/>
  <c r="Y81" i="40"/>
  <c r="S81" i="40"/>
  <c r="V81" i="40" s="1"/>
  <c r="AM80" i="40"/>
  <c r="AL80" i="40"/>
  <c r="AN80" i="40" s="1"/>
  <c r="AE80" i="40"/>
  <c r="Y80" i="40"/>
  <c r="S80" i="40"/>
  <c r="V80" i="40" s="1"/>
  <c r="Z80" i="40" s="1"/>
  <c r="AN79" i="40"/>
  <c r="AM79" i="40"/>
  <c r="AL79" i="40"/>
  <c r="AE79" i="40"/>
  <c r="Y79" i="40"/>
  <c r="Y83" i="40" s="1"/>
  <c r="V79" i="40"/>
  <c r="AB79" i="40" s="1"/>
  <c r="S79" i="40"/>
  <c r="AM78" i="40"/>
  <c r="AL78" i="40"/>
  <c r="AE78" i="40"/>
  <c r="AB78" i="40"/>
  <c r="Y78" i="40"/>
  <c r="V78" i="40"/>
  <c r="S78" i="40"/>
  <c r="AM77" i="40"/>
  <c r="AL77" i="40"/>
  <c r="AE77" i="40"/>
  <c r="Y77" i="40"/>
  <c r="S77" i="40"/>
  <c r="AK76" i="40"/>
  <c r="AJ76" i="40"/>
  <c r="AI76" i="40"/>
  <c r="AH76" i="40"/>
  <c r="AG76" i="40"/>
  <c r="AD76" i="40"/>
  <c r="AC76" i="40"/>
  <c r="Y76" i="40"/>
  <c r="X76" i="40"/>
  <c r="W76" i="40"/>
  <c r="U76" i="40"/>
  <c r="T76" i="40"/>
  <c r="AM75" i="40"/>
  <c r="AL75" i="40"/>
  <c r="AE75" i="40"/>
  <c r="AB75" i="40"/>
  <c r="Y75" i="40"/>
  <c r="V75" i="40"/>
  <c r="S75" i="40"/>
  <c r="AM74" i="40"/>
  <c r="AL74" i="40"/>
  <c r="AN74" i="40" s="1"/>
  <c r="AE74" i="40"/>
  <c r="AA74" i="40"/>
  <c r="Y74" i="40"/>
  <c r="S74" i="40"/>
  <c r="V74" i="40" s="1"/>
  <c r="AN73" i="40"/>
  <c r="AM73" i="40"/>
  <c r="AL73" i="40"/>
  <c r="AE73" i="40"/>
  <c r="Z73" i="40"/>
  <c r="Y73" i="40"/>
  <c r="S73" i="40"/>
  <c r="V73" i="40" s="1"/>
  <c r="AN72" i="40"/>
  <c r="AM72" i="40"/>
  <c r="AL72" i="40"/>
  <c r="AE72" i="40"/>
  <c r="Y72" i="40"/>
  <c r="V72" i="40"/>
  <c r="AB72" i="40" s="1"/>
  <c r="S72" i="40"/>
  <c r="AM71" i="40"/>
  <c r="AL71" i="40"/>
  <c r="AE71" i="40"/>
  <c r="AB71" i="40"/>
  <c r="Y71" i="40"/>
  <c r="V71" i="40"/>
  <c r="S71" i="40"/>
  <c r="AM70" i="40"/>
  <c r="AM76" i="40" s="1"/>
  <c r="AL70" i="40"/>
  <c r="AE70" i="40"/>
  <c r="Y70" i="40"/>
  <c r="S70" i="40"/>
  <c r="AK69" i="40"/>
  <c r="AJ69" i="40"/>
  <c r="AI69" i="40"/>
  <c r="AH69" i="40"/>
  <c r="AG69" i="40"/>
  <c r="AD69" i="40"/>
  <c r="AC69" i="40"/>
  <c r="X69" i="40"/>
  <c r="W69" i="40"/>
  <c r="U69" i="40"/>
  <c r="T69" i="40"/>
  <c r="AM68" i="40"/>
  <c r="AL68" i="40"/>
  <c r="AN68" i="40" s="1"/>
  <c r="AE68" i="40"/>
  <c r="Y68" i="40"/>
  <c r="V68" i="40"/>
  <c r="S68" i="40"/>
  <c r="AM67" i="40"/>
  <c r="AL67" i="40"/>
  <c r="AN67" i="40" s="1"/>
  <c r="AE67" i="40"/>
  <c r="AA67" i="40"/>
  <c r="Y67" i="40"/>
  <c r="S67" i="40"/>
  <c r="V67" i="40" s="1"/>
  <c r="AN66" i="40"/>
  <c r="AM66" i="40"/>
  <c r="AL66" i="40"/>
  <c r="AE66" i="40"/>
  <c r="Z66" i="40"/>
  <c r="Y66" i="40"/>
  <c r="S66" i="40"/>
  <c r="V66" i="40" s="1"/>
  <c r="AN65" i="40"/>
  <c r="AM65" i="40"/>
  <c r="AL65" i="40"/>
  <c r="AE65" i="40"/>
  <c r="Y65" i="40"/>
  <c r="Y69" i="40" s="1"/>
  <c r="V65" i="40"/>
  <c r="AB65" i="40" s="1"/>
  <c r="S65" i="40"/>
  <c r="AM64" i="40"/>
  <c r="AL64" i="40"/>
  <c r="AN64" i="40" s="1"/>
  <c r="AE64" i="40"/>
  <c r="Y64" i="40"/>
  <c r="V64" i="40"/>
  <c r="S64" i="40"/>
  <c r="AM63" i="40"/>
  <c r="AL63" i="40"/>
  <c r="AE63" i="40"/>
  <c r="AE69" i="40" s="1"/>
  <c r="Y63" i="40"/>
  <c r="S63" i="40"/>
  <c r="AK62" i="40"/>
  <c r="AJ62" i="40"/>
  <c r="AI62" i="40"/>
  <c r="AH62" i="40"/>
  <c r="AG62" i="40"/>
  <c r="AD62" i="40"/>
  <c r="AC62" i="40"/>
  <c r="X62" i="40"/>
  <c r="W62" i="40"/>
  <c r="U62" i="40"/>
  <c r="T62" i="40"/>
  <c r="AM61" i="40"/>
  <c r="AL61" i="40"/>
  <c r="AE61" i="40"/>
  <c r="Y61" i="40"/>
  <c r="V61" i="40"/>
  <c r="AB61" i="40" s="1"/>
  <c r="S61" i="40"/>
  <c r="AM60" i="40"/>
  <c r="AL60" i="40"/>
  <c r="AN60" i="40" s="1"/>
  <c r="AE60" i="40"/>
  <c r="Y60" i="40"/>
  <c r="S60" i="40"/>
  <c r="V60" i="40" s="1"/>
  <c r="AN59" i="40"/>
  <c r="AM59" i="40"/>
  <c r="AL59" i="40"/>
  <c r="AE59" i="40"/>
  <c r="Y59" i="40"/>
  <c r="S59" i="40"/>
  <c r="V59" i="40" s="1"/>
  <c r="AN58" i="40"/>
  <c r="AM58" i="40"/>
  <c r="AL58" i="40"/>
  <c r="AE58" i="40"/>
  <c r="Y58" i="40"/>
  <c r="Y62" i="40" s="1"/>
  <c r="V58" i="40"/>
  <c r="AB58" i="40" s="1"/>
  <c r="S58" i="40"/>
  <c r="AM57" i="40"/>
  <c r="AM62" i="40" s="1"/>
  <c r="AL57" i="40"/>
  <c r="AE57" i="40"/>
  <c r="Y57" i="40"/>
  <c r="V57" i="40"/>
  <c r="AB57" i="40" s="1"/>
  <c r="S57" i="40"/>
  <c r="AL56" i="40"/>
  <c r="AK56" i="40"/>
  <c r="AJ56" i="40"/>
  <c r="AI56" i="40"/>
  <c r="AH56" i="40"/>
  <c r="AG56" i="40"/>
  <c r="AD56" i="40"/>
  <c r="AC56" i="40"/>
  <c r="X56" i="40"/>
  <c r="W56" i="40"/>
  <c r="V56" i="40"/>
  <c r="U56" i="40"/>
  <c r="T56" i="40"/>
  <c r="AN55" i="40"/>
  <c r="AN56" i="40" s="1"/>
  <c r="AM55" i="40"/>
  <c r="AM56" i="40" s="1"/>
  <c r="AL55" i="40"/>
  <c r="AE55" i="40"/>
  <c r="AE56" i="40" s="1"/>
  <c r="Y55" i="40"/>
  <c r="Y56" i="40" s="1"/>
  <c r="V55" i="40"/>
  <c r="AB55" i="40" s="1"/>
  <c r="AB56" i="40" s="1"/>
  <c r="S55" i="40"/>
  <c r="S56" i="40" s="1"/>
  <c r="AM54" i="40"/>
  <c r="AK54" i="40"/>
  <c r="AJ54" i="40"/>
  <c r="AI54" i="40"/>
  <c r="AH54" i="40"/>
  <c r="AG54" i="40"/>
  <c r="AD54" i="40"/>
  <c r="AC54" i="40"/>
  <c r="X54" i="40"/>
  <c r="W54" i="40"/>
  <c r="U54" i="40"/>
  <c r="T54" i="40"/>
  <c r="AN53" i="40"/>
  <c r="AM53" i="40"/>
  <c r="AL53" i="40"/>
  <c r="AE53" i="40"/>
  <c r="Z53" i="40"/>
  <c r="Y53" i="40"/>
  <c r="S53" i="40"/>
  <c r="V53" i="40" s="1"/>
  <c r="AN52" i="40"/>
  <c r="AM52" i="40"/>
  <c r="AL52" i="40"/>
  <c r="AE52" i="40"/>
  <c r="Y52" i="40"/>
  <c r="V52" i="40"/>
  <c r="AB52" i="40" s="1"/>
  <c r="S52" i="40"/>
  <c r="AM51" i="40"/>
  <c r="AL51" i="40"/>
  <c r="AE51" i="40"/>
  <c r="AB51" i="40"/>
  <c r="Y51" i="40"/>
  <c r="V51" i="40"/>
  <c r="S51" i="40"/>
  <c r="AM50" i="40"/>
  <c r="AL50" i="40"/>
  <c r="AN50" i="40" s="1"/>
  <c r="AE50" i="40"/>
  <c r="AA50" i="40"/>
  <c r="Y50" i="40"/>
  <c r="S50" i="40"/>
  <c r="V50" i="40" s="1"/>
  <c r="AN49" i="40"/>
  <c r="AM49" i="40"/>
  <c r="AL49" i="40"/>
  <c r="AE49" i="40"/>
  <c r="Z49" i="40"/>
  <c r="Y49" i="40"/>
  <c r="S49" i="40"/>
  <c r="V49" i="40" s="1"/>
  <c r="AN48" i="40"/>
  <c r="AM48" i="40"/>
  <c r="AL48" i="40"/>
  <c r="AL54" i="40" s="1"/>
  <c r="AE48" i="40"/>
  <c r="AE54" i="40" s="1"/>
  <c r="Y48" i="40"/>
  <c r="Y54" i="40" s="1"/>
  <c r="V48" i="40"/>
  <c r="V54" i="40" s="1"/>
  <c r="S48" i="40"/>
  <c r="AK47" i="40"/>
  <c r="AJ47" i="40"/>
  <c r="AI47" i="40"/>
  <c r="AH47" i="40"/>
  <c r="AG47" i="40"/>
  <c r="AD47" i="40"/>
  <c r="AC47" i="40"/>
  <c r="X47" i="40"/>
  <c r="W47" i="40"/>
  <c r="U47" i="40"/>
  <c r="T47" i="40"/>
  <c r="AN46" i="40"/>
  <c r="AM46" i="40"/>
  <c r="AL46" i="40"/>
  <c r="AE46" i="40"/>
  <c r="Y46" i="40"/>
  <c r="S46" i="40"/>
  <c r="V46" i="40" s="1"/>
  <c r="Z46" i="40" s="1"/>
  <c r="AN45" i="40"/>
  <c r="AM45" i="40"/>
  <c r="AL45" i="40"/>
  <c r="AE45" i="40"/>
  <c r="AE47" i="40" s="1"/>
  <c r="Y45" i="40"/>
  <c r="V45" i="40"/>
  <c r="AB45" i="40" s="1"/>
  <c r="S45" i="40"/>
  <c r="AM44" i="40"/>
  <c r="AM47" i="40" s="1"/>
  <c r="AL44" i="40"/>
  <c r="AE44" i="40"/>
  <c r="Y44" i="40"/>
  <c r="V44" i="40"/>
  <c r="AB44" i="40" s="1"/>
  <c r="S44" i="40"/>
  <c r="AM43" i="40"/>
  <c r="AL43" i="40"/>
  <c r="AN43" i="40" s="1"/>
  <c r="AE43" i="40"/>
  <c r="Y43" i="40"/>
  <c r="S43" i="40"/>
  <c r="V43" i="40" s="1"/>
  <c r="AN42" i="40"/>
  <c r="AM42" i="40"/>
  <c r="AL42" i="40"/>
  <c r="AE42" i="40"/>
  <c r="Y42" i="40"/>
  <c r="S42" i="40"/>
  <c r="V42" i="40" s="1"/>
  <c r="AK41" i="40"/>
  <c r="AJ41" i="40"/>
  <c r="AI41" i="40"/>
  <c r="AH41" i="40"/>
  <c r="AG41" i="40"/>
  <c r="AD41" i="40"/>
  <c r="AC41" i="40"/>
  <c r="X41" i="40"/>
  <c r="W41" i="40"/>
  <c r="U41" i="40"/>
  <c r="T41" i="40"/>
  <c r="AM40" i="40"/>
  <c r="AL40" i="40"/>
  <c r="AN40" i="40" s="1"/>
  <c r="AE40" i="40"/>
  <c r="Y40" i="40"/>
  <c r="S40" i="40"/>
  <c r="V40" i="40" s="1"/>
  <c r="AN39" i="40"/>
  <c r="AM39" i="40"/>
  <c r="AL39" i="40"/>
  <c r="AE39" i="40"/>
  <c r="Y39" i="40"/>
  <c r="S39" i="40"/>
  <c r="V39" i="40" s="1"/>
  <c r="AN38" i="40"/>
  <c r="AM38" i="40"/>
  <c r="AL38" i="40"/>
  <c r="AE38" i="40"/>
  <c r="Y38" i="40"/>
  <c r="V38" i="40"/>
  <c r="AB38" i="40" s="1"/>
  <c r="S38" i="40"/>
  <c r="AM37" i="40"/>
  <c r="AL37" i="40"/>
  <c r="AE37" i="40"/>
  <c r="Y37" i="40"/>
  <c r="V37" i="40"/>
  <c r="AB37" i="40" s="1"/>
  <c r="S37" i="40"/>
  <c r="AM36" i="40"/>
  <c r="AL36" i="40"/>
  <c r="AE36" i="40"/>
  <c r="Y36" i="40"/>
  <c r="S36" i="40"/>
  <c r="AK35" i="40"/>
  <c r="AJ35" i="40"/>
  <c r="AI35" i="40"/>
  <c r="AH35" i="40"/>
  <c r="AG35" i="40"/>
  <c r="AD35" i="40"/>
  <c r="AC35" i="40"/>
  <c r="X35" i="40"/>
  <c r="W35" i="40"/>
  <c r="U35" i="40"/>
  <c r="T35" i="40"/>
  <c r="AM34" i="40"/>
  <c r="AL34" i="40"/>
  <c r="AE34" i="40"/>
  <c r="Y34" i="40"/>
  <c r="V34" i="40"/>
  <c r="Z34" i="40" s="1"/>
  <c r="S34" i="40"/>
  <c r="AM33" i="40"/>
  <c r="AL33" i="40"/>
  <c r="AN33" i="40" s="1"/>
  <c r="AE33" i="40"/>
  <c r="Y33" i="40"/>
  <c r="S33" i="40"/>
  <c r="V33" i="40" s="1"/>
  <c r="AB33" i="40" s="1"/>
  <c r="AN32" i="40"/>
  <c r="AM32" i="40"/>
  <c r="AL32" i="40"/>
  <c r="AE32" i="40"/>
  <c r="Y32" i="40"/>
  <c r="S32" i="40"/>
  <c r="V32" i="40" s="1"/>
  <c r="Z32" i="40" s="1"/>
  <c r="AM31" i="40"/>
  <c r="AL31" i="40"/>
  <c r="AN31" i="40" s="1"/>
  <c r="AE31" i="40"/>
  <c r="Y31" i="40"/>
  <c r="S31" i="40"/>
  <c r="V31" i="40" s="1"/>
  <c r="AN30" i="40"/>
  <c r="AM30" i="40"/>
  <c r="AL30" i="40"/>
  <c r="AE30" i="40"/>
  <c r="Z30" i="40"/>
  <c r="Y30" i="40"/>
  <c r="V30" i="40"/>
  <c r="AB30" i="40" s="1"/>
  <c r="S30" i="40"/>
  <c r="AN29" i="40"/>
  <c r="AM29" i="40"/>
  <c r="AM35" i="40" s="1"/>
  <c r="AL29" i="40"/>
  <c r="AE29" i="40"/>
  <c r="AE35" i="40" s="1"/>
  <c r="Y29" i="40"/>
  <c r="Y35" i="40" s="1"/>
  <c r="V29" i="40"/>
  <c r="AA29" i="40" s="1"/>
  <c r="S29" i="40"/>
  <c r="AM28" i="40"/>
  <c r="AL28" i="40"/>
  <c r="AK28" i="40"/>
  <c r="AJ28" i="40"/>
  <c r="AI28" i="40"/>
  <c r="AH28" i="40"/>
  <c r="AG28" i="40"/>
  <c r="AE28" i="40"/>
  <c r="AD28" i="40"/>
  <c r="AC28" i="40"/>
  <c r="X28" i="40"/>
  <c r="W28" i="40"/>
  <c r="V28" i="40"/>
  <c r="U28" i="40"/>
  <c r="T28" i="40"/>
  <c r="S28" i="40"/>
  <c r="AN27" i="40"/>
  <c r="AN28" i="40" s="1"/>
  <c r="AM27" i="40"/>
  <c r="AL27" i="40"/>
  <c r="AE27" i="40"/>
  <c r="Z27" i="40"/>
  <c r="Z28" i="40" s="1"/>
  <c r="Y27" i="40"/>
  <c r="Y28" i="40" s="1"/>
  <c r="V27" i="40"/>
  <c r="AB27" i="40" s="1"/>
  <c r="AB28" i="40" s="1"/>
  <c r="S27" i="40"/>
  <c r="AM26" i="40"/>
  <c r="AK26" i="40"/>
  <c r="AJ26" i="40"/>
  <c r="AI26" i="40"/>
  <c r="AH26" i="40"/>
  <c r="AG26" i="40"/>
  <c r="AD26" i="40"/>
  <c r="AC26" i="40"/>
  <c r="X26" i="40"/>
  <c r="W26" i="40"/>
  <c r="U26" i="40"/>
  <c r="T26" i="40"/>
  <c r="AM25" i="40"/>
  <c r="AL25" i="40"/>
  <c r="AN25" i="40" s="1"/>
  <c r="AN26" i="40" s="1"/>
  <c r="AE25" i="40"/>
  <c r="Y25" i="40"/>
  <c r="S25" i="40"/>
  <c r="S26" i="40" s="1"/>
  <c r="AN24" i="40"/>
  <c r="AM24" i="40"/>
  <c r="AL24" i="40"/>
  <c r="AL26" i="40" s="1"/>
  <c r="AE24" i="40"/>
  <c r="AE26" i="40" s="1"/>
  <c r="Z24" i="40"/>
  <c r="Y24" i="40"/>
  <c r="Y26" i="40" s="1"/>
  <c r="V24" i="40"/>
  <c r="S24" i="40"/>
  <c r="AK23" i="40"/>
  <c r="AJ23" i="40"/>
  <c r="AI23" i="40"/>
  <c r="AH23" i="40"/>
  <c r="AG23" i="40"/>
  <c r="AD23" i="40"/>
  <c r="AC23" i="40"/>
  <c r="X23" i="40"/>
  <c r="W23" i="40"/>
  <c r="U23" i="40"/>
  <c r="T23" i="40"/>
  <c r="AM22" i="40"/>
  <c r="AL22" i="40"/>
  <c r="AN22" i="40" s="1"/>
  <c r="AE22" i="40"/>
  <c r="Y22" i="40"/>
  <c r="S22" i="40"/>
  <c r="S23" i="40" s="1"/>
  <c r="AN21" i="40"/>
  <c r="AM21" i="40"/>
  <c r="AL21" i="40"/>
  <c r="AE21" i="40"/>
  <c r="Y21" i="40"/>
  <c r="S21" i="40"/>
  <c r="V21" i="40" s="1"/>
  <c r="AN20" i="40"/>
  <c r="AM20" i="40"/>
  <c r="AM23" i="40" s="1"/>
  <c r="AL20" i="40"/>
  <c r="AL23" i="40" s="1"/>
  <c r="AE20" i="40"/>
  <c r="AE23" i="40" s="1"/>
  <c r="Y20" i="40"/>
  <c r="Y23" i="40" s="1"/>
  <c r="V20" i="40"/>
  <c r="AB20" i="40" s="1"/>
  <c r="S20" i="40"/>
  <c r="AK19" i="40"/>
  <c r="AJ19" i="40"/>
  <c r="AI19" i="40"/>
  <c r="AH19" i="40"/>
  <c r="AG19" i="40"/>
  <c r="AD19" i="40"/>
  <c r="AC19" i="40"/>
  <c r="X19" i="40"/>
  <c r="W19" i="40"/>
  <c r="U19" i="40"/>
  <c r="T19" i="40"/>
  <c r="S19" i="40"/>
  <c r="AN18" i="40"/>
  <c r="AM18" i="40"/>
  <c r="AL18" i="40"/>
  <c r="AE18" i="40"/>
  <c r="Y18" i="40"/>
  <c r="S18" i="40"/>
  <c r="V18" i="40" s="1"/>
  <c r="AN17" i="40"/>
  <c r="AM17" i="40"/>
  <c r="AL17" i="40"/>
  <c r="AE17" i="40"/>
  <c r="AE19" i="40" s="1"/>
  <c r="Y17" i="40"/>
  <c r="V17" i="40"/>
  <c r="AB17" i="40" s="1"/>
  <c r="S17" i="40"/>
  <c r="AM16" i="40"/>
  <c r="AM19" i="40" s="1"/>
  <c r="AL16" i="40"/>
  <c r="AL19" i="40" s="1"/>
  <c r="AE16" i="40"/>
  <c r="Y16" i="40"/>
  <c r="Y19" i="40" s="1"/>
  <c r="V16" i="40"/>
  <c r="V19" i="40" s="1"/>
  <c r="S16" i="40"/>
  <c r="AK15" i="40"/>
  <c r="AJ15" i="40"/>
  <c r="AI15" i="40"/>
  <c r="AH15" i="40"/>
  <c r="AG15" i="40"/>
  <c r="AD15" i="40"/>
  <c r="AC15" i="40"/>
  <c r="X15" i="40"/>
  <c r="W15" i="40"/>
  <c r="U15" i="40"/>
  <c r="T15" i="40"/>
  <c r="AN14" i="40"/>
  <c r="AM14" i="40"/>
  <c r="AL14" i="40"/>
  <c r="AE14" i="40"/>
  <c r="Y14" i="40"/>
  <c r="Y15" i="40" s="1"/>
  <c r="V14" i="40"/>
  <c r="AB14" i="40" s="1"/>
  <c r="S14" i="40"/>
  <c r="AM13" i="40"/>
  <c r="AL13" i="40"/>
  <c r="AN13" i="40" s="1"/>
  <c r="AE13" i="40"/>
  <c r="Y13" i="40"/>
  <c r="V13" i="40"/>
  <c r="AA13" i="40" s="1"/>
  <c r="S13" i="40"/>
  <c r="AM12" i="40"/>
  <c r="AM15" i="40" s="1"/>
  <c r="AL12" i="40"/>
  <c r="AL15" i="40" s="1"/>
  <c r="AE12" i="40"/>
  <c r="AE15" i="40" s="1"/>
  <c r="Y12" i="40"/>
  <c r="S12" i="40"/>
  <c r="S15" i="40" s="1"/>
  <c r="AU131" i="40"/>
  <c r="AR131" i="40"/>
  <c r="AQ131" i="40"/>
  <c r="AX131" i="40"/>
  <c r="AW131" i="40"/>
  <c r="AP131" i="40"/>
  <c r="AK121" i="39"/>
  <c r="AJ121" i="39"/>
  <c r="AI121" i="39"/>
  <c r="AH121" i="39"/>
  <c r="AG121" i="39"/>
  <c r="AM120" i="39"/>
  <c r="AL120" i="39"/>
  <c r="AN120" i="39" s="1"/>
  <c r="AN119" i="39"/>
  <c r="AM119" i="39"/>
  <c r="AL119" i="39"/>
  <c r="AM118" i="39"/>
  <c r="AN118" i="39" s="1"/>
  <c r="AL118" i="39"/>
  <c r="AM117" i="39"/>
  <c r="AM121" i="39" s="1"/>
  <c r="AL117" i="39"/>
  <c r="AN117" i="39" s="1"/>
  <c r="AK116" i="39"/>
  <c r="AJ116" i="39"/>
  <c r="AI116" i="39"/>
  <c r="AH116" i="39"/>
  <c r="AG116" i="39"/>
  <c r="AM115" i="39"/>
  <c r="AL115" i="39"/>
  <c r="AN115" i="39" s="1"/>
  <c r="AN114" i="39"/>
  <c r="AN116" i="39" s="1"/>
  <c r="AM114" i="39"/>
  <c r="AM116" i="39" s="1"/>
  <c r="AL114" i="39"/>
  <c r="AK113" i="39"/>
  <c r="AJ113" i="39"/>
  <c r="AI113" i="39"/>
  <c r="AH113" i="39"/>
  <c r="AG113" i="39"/>
  <c r="AM112" i="39"/>
  <c r="AN112" i="39" s="1"/>
  <c r="AL112" i="39"/>
  <c r="AM111" i="39"/>
  <c r="AL111" i="39"/>
  <c r="AN111" i="39" s="1"/>
  <c r="AM110" i="39"/>
  <c r="AL110" i="39"/>
  <c r="AN110" i="39" s="1"/>
  <c r="AN109" i="39"/>
  <c r="AM109" i="39"/>
  <c r="AL109" i="39"/>
  <c r="AM108" i="39"/>
  <c r="AN108" i="39" s="1"/>
  <c r="AL108" i="39"/>
  <c r="AM107" i="39"/>
  <c r="AL107" i="39"/>
  <c r="AL113" i="39" s="1"/>
  <c r="AK106" i="39"/>
  <c r="AJ106" i="39"/>
  <c r="AI106" i="39"/>
  <c r="AH106" i="39"/>
  <c r="AG106" i="39"/>
  <c r="AM105" i="39"/>
  <c r="AL105" i="39"/>
  <c r="AN105" i="39" s="1"/>
  <c r="AN104" i="39"/>
  <c r="AM104" i="39"/>
  <c r="AL104" i="39"/>
  <c r="AM103" i="39"/>
  <c r="AN103" i="39" s="1"/>
  <c r="AL103" i="39"/>
  <c r="AM102" i="39"/>
  <c r="AL102" i="39"/>
  <c r="AN102" i="39" s="1"/>
  <c r="AM101" i="39"/>
  <c r="AL101" i="39"/>
  <c r="AN101" i="39" s="1"/>
  <c r="AN100" i="39"/>
  <c r="AM100" i="39"/>
  <c r="AM106" i="39" s="1"/>
  <c r="AL100" i="39"/>
  <c r="AK99" i="39"/>
  <c r="AJ99" i="39"/>
  <c r="AI99" i="39"/>
  <c r="AH99" i="39"/>
  <c r="AG99" i="39"/>
  <c r="AM98" i="39"/>
  <c r="AN98" i="39" s="1"/>
  <c r="AL98" i="39"/>
  <c r="AM97" i="39"/>
  <c r="AL97" i="39"/>
  <c r="AN97" i="39" s="1"/>
  <c r="AM96" i="39"/>
  <c r="AL96" i="39"/>
  <c r="AN96" i="39" s="1"/>
  <c r="AN95" i="39"/>
  <c r="AM95" i="39"/>
  <c r="AL95" i="39"/>
  <c r="AM94" i="39"/>
  <c r="AN94" i="39" s="1"/>
  <c r="AL94" i="39"/>
  <c r="AM93" i="39"/>
  <c r="AL93" i="39"/>
  <c r="AL99" i="39" s="1"/>
  <c r="AK92" i="39"/>
  <c r="AJ92" i="39"/>
  <c r="AI92" i="39"/>
  <c r="AH92" i="39"/>
  <c r="AG92" i="39"/>
  <c r="AM91" i="39"/>
  <c r="AL91" i="39"/>
  <c r="AN91" i="39" s="1"/>
  <c r="AN90" i="39"/>
  <c r="AM90" i="39"/>
  <c r="AL90" i="39"/>
  <c r="AM89" i="39"/>
  <c r="AN89" i="39" s="1"/>
  <c r="AL89" i="39"/>
  <c r="AM88" i="39"/>
  <c r="AL88" i="39"/>
  <c r="AN88" i="39" s="1"/>
  <c r="AM87" i="39"/>
  <c r="AL87" i="39"/>
  <c r="AN87" i="39" s="1"/>
  <c r="AN86" i="39"/>
  <c r="AN92" i="39" s="1"/>
  <c r="AM86" i="39"/>
  <c r="AM92" i="39" s="1"/>
  <c r="AL86" i="39"/>
  <c r="AK85" i="39"/>
  <c r="AJ85" i="39"/>
  <c r="AI85" i="39"/>
  <c r="AH85" i="39"/>
  <c r="AG85" i="39"/>
  <c r="AM84" i="39"/>
  <c r="AN84" i="39" s="1"/>
  <c r="AL84" i="39"/>
  <c r="AM83" i="39"/>
  <c r="AL83" i="39"/>
  <c r="AN83" i="39" s="1"/>
  <c r="AM82" i="39"/>
  <c r="AL82" i="39"/>
  <c r="AN82" i="39" s="1"/>
  <c r="AN81" i="39"/>
  <c r="AM81" i="39"/>
  <c r="AL81" i="39"/>
  <c r="AM80" i="39"/>
  <c r="AN80" i="39" s="1"/>
  <c r="AL80" i="39"/>
  <c r="AM79" i="39"/>
  <c r="AL79" i="39"/>
  <c r="AL85" i="39" s="1"/>
  <c r="AK78" i="39"/>
  <c r="AJ78" i="39"/>
  <c r="AI78" i="39"/>
  <c r="AH78" i="39"/>
  <c r="AG78" i="39"/>
  <c r="AM77" i="39"/>
  <c r="AL77" i="39"/>
  <c r="AN77" i="39" s="1"/>
  <c r="AN76" i="39"/>
  <c r="AM76" i="39"/>
  <c r="AL76" i="39"/>
  <c r="AM75" i="39"/>
  <c r="AN75" i="39" s="1"/>
  <c r="AL75" i="39"/>
  <c r="AM74" i="39"/>
  <c r="AL74" i="39"/>
  <c r="AN74" i="39" s="1"/>
  <c r="AM73" i="39"/>
  <c r="AL73" i="39"/>
  <c r="AN73" i="39" s="1"/>
  <c r="AN72" i="39"/>
  <c r="AM72" i="39"/>
  <c r="AM78" i="39" s="1"/>
  <c r="AL72" i="39"/>
  <c r="AK71" i="39"/>
  <c r="AJ71" i="39"/>
  <c r="AI71" i="39"/>
  <c r="AH71" i="39"/>
  <c r="AG71" i="39"/>
  <c r="AM70" i="39"/>
  <c r="AN70" i="39" s="1"/>
  <c r="AL70" i="39"/>
  <c r="AM69" i="39"/>
  <c r="AL69" i="39"/>
  <c r="AN69" i="39" s="1"/>
  <c r="AM68" i="39"/>
  <c r="AL68" i="39"/>
  <c r="AN68" i="39" s="1"/>
  <c r="AN67" i="39"/>
  <c r="AM67" i="39"/>
  <c r="AL67" i="39"/>
  <c r="AM66" i="39"/>
  <c r="AM71" i="39" s="1"/>
  <c r="AL66" i="39"/>
  <c r="AM65" i="39"/>
  <c r="AL65" i="39"/>
  <c r="AL71" i="39" s="1"/>
  <c r="AK64" i="39"/>
  <c r="AJ64" i="39"/>
  <c r="AI64" i="39"/>
  <c r="AH64" i="39"/>
  <c r="AG64" i="39"/>
  <c r="AM63" i="39"/>
  <c r="AL63" i="39"/>
  <c r="AN63" i="39" s="1"/>
  <c r="AN62" i="39"/>
  <c r="AM62" i="39"/>
  <c r="AL62" i="39"/>
  <c r="AM61" i="39"/>
  <c r="AN61" i="39" s="1"/>
  <c r="AL61" i="39"/>
  <c r="AM60" i="39"/>
  <c r="AL60" i="39"/>
  <c r="AN60" i="39" s="1"/>
  <c r="AM59" i="39"/>
  <c r="AL59" i="39"/>
  <c r="AN59" i="39" s="1"/>
  <c r="AN58" i="39"/>
  <c r="AM58" i="39"/>
  <c r="AM64" i="39" s="1"/>
  <c r="AL58" i="39"/>
  <c r="AK57" i="39"/>
  <c r="AJ57" i="39"/>
  <c r="AI57" i="39"/>
  <c r="AH57" i="39"/>
  <c r="AG57" i="39"/>
  <c r="AM56" i="39"/>
  <c r="AN56" i="39" s="1"/>
  <c r="AN57" i="39" s="1"/>
  <c r="AL56" i="39"/>
  <c r="AL57" i="39" s="1"/>
  <c r="AK55" i="39"/>
  <c r="AJ55" i="39"/>
  <c r="AI55" i="39"/>
  <c r="AH55" i="39"/>
  <c r="AG55" i="39"/>
  <c r="AM54" i="39"/>
  <c r="AL54" i="39"/>
  <c r="AN54" i="39" s="1"/>
  <c r="AM53" i="39"/>
  <c r="AL53" i="39"/>
  <c r="AN53" i="39" s="1"/>
  <c r="AN52" i="39"/>
  <c r="AM52" i="39"/>
  <c r="AL52" i="39"/>
  <c r="AM51" i="39"/>
  <c r="AN51" i="39" s="1"/>
  <c r="AL51" i="39"/>
  <c r="AM50" i="39"/>
  <c r="AM55" i="39" s="1"/>
  <c r="AL50" i="39"/>
  <c r="AL55" i="39" s="1"/>
  <c r="AK49" i="39"/>
  <c r="AJ49" i="39"/>
  <c r="AI49" i="39"/>
  <c r="AH49" i="39"/>
  <c r="AG49" i="39"/>
  <c r="AM48" i="39"/>
  <c r="AL48" i="39"/>
  <c r="AN48" i="39" s="1"/>
  <c r="AN47" i="39"/>
  <c r="AM47" i="39"/>
  <c r="AL47" i="39"/>
  <c r="AM46" i="39"/>
  <c r="AM49" i="39" s="1"/>
  <c r="AL46" i="39"/>
  <c r="AK45" i="39"/>
  <c r="AJ45" i="39"/>
  <c r="AI45" i="39"/>
  <c r="AH45" i="39"/>
  <c r="AG45" i="39"/>
  <c r="AM44" i="39"/>
  <c r="AM45" i="39" s="1"/>
  <c r="AL44" i="39"/>
  <c r="AL45" i="39" s="1"/>
  <c r="AK43" i="39"/>
  <c r="AJ43" i="39"/>
  <c r="AI43" i="39"/>
  <c r="AH43" i="39"/>
  <c r="AG43" i="39"/>
  <c r="AM42" i="39"/>
  <c r="AM43" i="39" s="1"/>
  <c r="AL42" i="39"/>
  <c r="AN42" i="39" s="1"/>
  <c r="AN43" i="39" s="1"/>
  <c r="AK41" i="39"/>
  <c r="AJ41" i="39"/>
  <c r="AI41" i="39"/>
  <c r="AH41" i="39"/>
  <c r="AG41" i="39"/>
  <c r="AN40" i="39"/>
  <c r="AM40" i="39"/>
  <c r="AL40" i="39"/>
  <c r="AM39" i="39"/>
  <c r="AN39" i="39" s="1"/>
  <c r="AL39" i="39"/>
  <c r="AM38" i="39"/>
  <c r="AL38" i="39"/>
  <c r="AN38" i="39" s="1"/>
  <c r="AM37" i="39"/>
  <c r="AM41" i="39" s="1"/>
  <c r="AL37" i="39"/>
  <c r="AN37" i="39" s="1"/>
  <c r="AN41" i="39" s="1"/>
  <c r="AK36" i="39"/>
  <c r="AJ36" i="39"/>
  <c r="AI36" i="39"/>
  <c r="AH36" i="39"/>
  <c r="AG36" i="39"/>
  <c r="AN35" i="39"/>
  <c r="AM35" i="39"/>
  <c r="AL35" i="39"/>
  <c r="AM34" i="39"/>
  <c r="AN34" i="39" s="1"/>
  <c r="AL34" i="39"/>
  <c r="AM33" i="39"/>
  <c r="AL33" i="39"/>
  <c r="AN33" i="39" s="1"/>
  <c r="AM32" i="39"/>
  <c r="AL32" i="39"/>
  <c r="AN32" i="39" s="1"/>
  <c r="AN31" i="39"/>
  <c r="AM31" i="39"/>
  <c r="AM36" i="39" s="1"/>
  <c r="AL31" i="39"/>
  <c r="AL36" i="39" s="1"/>
  <c r="AK30" i="39"/>
  <c r="AJ30" i="39"/>
  <c r="AI30" i="39"/>
  <c r="AH30" i="39"/>
  <c r="AG30" i="39"/>
  <c r="AM29" i="39"/>
  <c r="AN29" i="39" s="1"/>
  <c r="AL29" i="39"/>
  <c r="AM28" i="39"/>
  <c r="AL28" i="39"/>
  <c r="AN28" i="39" s="1"/>
  <c r="AM27" i="39"/>
  <c r="AL27" i="39"/>
  <c r="AN27" i="39" s="1"/>
  <c r="AN26" i="39"/>
  <c r="AM26" i="39"/>
  <c r="AL26" i="39"/>
  <c r="AM25" i="39"/>
  <c r="AN25" i="39" s="1"/>
  <c r="AN30" i="39" s="1"/>
  <c r="AL25" i="39"/>
  <c r="AL30" i="39" s="1"/>
  <c r="AK24" i="39"/>
  <c r="AJ24" i="39"/>
  <c r="AI24" i="39"/>
  <c r="AH24" i="39"/>
  <c r="AG24" i="39"/>
  <c r="AM23" i="39"/>
  <c r="AL23" i="39"/>
  <c r="AN23" i="39" s="1"/>
  <c r="AM22" i="39"/>
  <c r="AL22" i="39"/>
  <c r="AN22" i="39" s="1"/>
  <c r="AN21" i="39"/>
  <c r="AM21" i="39"/>
  <c r="AL21" i="39"/>
  <c r="AM20" i="39"/>
  <c r="AN20" i="39" s="1"/>
  <c r="AL20" i="39"/>
  <c r="AM19" i="39"/>
  <c r="AM24" i="39" s="1"/>
  <c r="AL19" i="39"/>
  <c r="AN19" i="39" s="1"/>
  <c r="AN24" i="39" s="1"/>
  <c r="AK18" i="39"/>
  <c r="AJ18" i="39"/>
  <c r="AI18" i="39"/>
  <c r="AH18" i="39"/>
  <c r="AG18" i="39"/>
  <c r="AM17" i="39"/>
  <c r="AL17" i="39"/>
  <c r="AN17" i="39" s="1"/>
  <c r="AN16" i="39"/>
  <c r="AM16" i="39"/>
  <c r="AL16" i="39"/>
  <c r="AM15" i="39"/>
  <c r="AN15" i="39" s="1"/>
  <c r="AL15" i="39"/>
  <c r="AM14" i="39"/>
  <c r="AM18" i="39" s="1"/>
  <c r="AL14" i="39"/>
  <c r="AL18" i="39" s="1"/>
  <c r="AK13" i="39"/>
  <c r="AJ13" i="39"/>
  <c r="AI13" i="39"/>
  <c r="AH13" i="39"/>
  <c r="AG13" i="39"/>
  <c r="AM12" i="39"/>
  <c r="AM13" i="39" s="1"/>
  <c r="AL12" i="39"/>
  <c r="AN12" i="39" s="1"/>
  <c r="AN13" i="39" s="1"/>
  <c r="AD121" i="39"/>
  <c r="AC121" i="39"/>
  <c r="X121" i="39"/>
  <c r="W121" i="39"/>
  <c r="V121" i="39"/>
  <c r="U121" i="39"/>
  <c r="T121" i="39"/>
  <c r="AE120" i="39"/>
  <c r="Z120" i="39"/>
  <c r="Y120" i="39"/>
  <c r="S120" i="39"/>
  <c r="V120" i="39" s="1"/>
  <c r="AE119" i="39"/>
  <c r="Y119" i="39"/>
  <c r="S119" i="39"/>
  <c r="V119" i="39" s="1"/>
  <c r="AE118" i="39"/>
  <c r="Y118" i="39"/>
  <c r="S118" i="39"/>
  <c r="V118" i="39" s="1"/>
  <c r="AE117" i="39"/>
  <c r="Y117" i="39"/>
  <c r="Z117" i="39" s="1"/>
  <c r="S117" i="39"/>
  <c r="V117" i="39" s="1"/>
  <c r="AE116" i="39"/>
  <c r="AD116" i="39"/>
  <c r="AC116" i="39"/>
  <c r="X116" i="39"/>
  <c r="W116" i="39"/>
  <c r="U116" i="39"/>
  <c r="T116" i="39"/>
  <c r="AE115" i="39"/>
  <c r="AA115" i="39"/>
  <c r="Y115" i="39"/>
  <c r="S115" i="39"/>
  <c r="V115" i="39" s="1"/>
  <c r="AE114" i="39"/>
  <c r="Y114" i="39"/>
  <c r="Y116" i="39" s="1"/>
  <c r="S114" i="39"/>
  <c r="S116" i="39" s="1"/>
  <c r="AD113" i="39"/>
  <c r="AC113" i="39"/>
  <c r="X113" i="39"/>
  <c r="W113" i="39"/>
  <c r="U113" i="39"/>
  <c r="T113" i="39"/>
  <c r="AE112" i="39"/>
  <c r="Z112" i="39"/>
  <c r="Y112" i="39"/>
  <c r="S112" i="39"/>
  <c r="V112" i="39" s="1"/>
  <c r="AE111" i="39"/>
  <c r="Y111" i="39"/>
  <c r="S111" i="39"/>
  <c r="V111" i="39" s="1"/>
  <c r="AE110" i="39"/>
  <c r="Y110" i="39"/>
  <c r="S110" i="39"/>
  <c r="V110" i="39" s="1"/>
  <c r="AE109" i="39"/>
  <c r="Y109" i="39"/>
  <c r="Z109" i="39" s="1"/>
  <c r="S109" i="39"/>
  <c r="V109" i="39" s="1"/>
  <c r="AE108" i="39"/>
  <c r="Z108" i="39"/>
  <c r="Y108" i="39"/>
  <c r="S108" i="39"/>
  <c r="V108" i="39" s="1"/>
  <c r="AE107" i="39"/>
  <c r="AE113" i="39" s="1"/>
  <c r="Y107" i="39"/>
  <c r="S107" i="39"/>
  <c r="V107" i="39" s="1"/>
  <c r="V113" i="39" s="1"/>
  <c r="AE106" i="39"/>
  <c r="AD106" i="39"/>
  <c r="AC106" i="39"/>
  <c r="X106" i="39"/>
  <c r="W106" i="39"/>
  <c r="U106" i="39"/>
  <c r="T106" i="39"/>
  <c r="AE105" i="39"/>
  <c r="Y105" i="39"/>
  <c r="S105" i="39"/>
  <c r="V105" i="39" s="1"/>
  <c r="AE104" i="39"/>
  <c r="AA104" i="39"/>
  <c r="Y104" i="39"/>
  <c r="S104" i="39"/>
  <c r="V104" i="39" s="1"/>
  <c r="AE103" i="39"/>
  <c r="Y103" i="39"/>
  <c r="S103" i="39"/>
  <c r="V103" i="39" s="1"/>
  <c r="AE102" i="39"/>
  <c r="Y102" i="39"/>
  <c r="S102" i="39"/>
  <c r="V102" i="39" s="1"/>
  <c r="AE101" i="39"/>
  <c r="Y101" i="39"/>
  <c r="S101" i="39"/>
  <c r="V101" i="39" s="1"/>
  <c r="AE100" i="39"/>
  <c r="Y100" i="39"/>
  <c r="Y106" i="39" s="1"/>
  <c r="S100" i="39"/>
  <c r="V100" i="39" s="1"/>
  <c r="AD99" i="39"/>
  <c r="AC99" i="39"/>
  <c r="X99" i="39"/>
  <c r="W99" i="39"/>
  <c r="U99" i="39"/>
  <c r="T99" i="39"/>
  <c r="AE98" i="39"/>
  <c r="Y98" i="39"/>
  <c r="S98" i="39"/>
  <c r="V98" i="39" s="1"/>
  <c r="AE97" i="39"/>
  <c r="AA97" i="39"/>
  <c r="Z97" i="39"/>
  <c r="Y97" i="39"/>
  <c r="S97" i="39"/>
  <c r="V97" i="39" s="1"/>
  <c r="AB97" i="39" s="1"/>
  <c r="AE96" i="39"/>
  <c r="Y96" i="39"/>
  <c r="S96" i="39"/>
  <c r="V96" i="39" s="1"/>
  <c r="AE95" i="39"/>
  <c r="AA95" i="39"/>
  <c r="Z95" i="39"/>
  <c r="AF95" i="39" s="1"/>
  <c r="Y95" i="39"/>
  <c r="S95" i="39"/>
  <c r="V95" i="39" s="1"/>
  <c r="AB95" i="39" s="1"/>
  <c r="AE94" i="39"/>
  <c r="AE99" i="39" s="1"/>
  <c r="Y94" i="39"/>
  <c r="Y99" i="39" s="1"/>
  <c r="S94" i="39"/>
  <c r="V94" i="39" s="1"/>
  <c r="AE93" i="39"/>
  <c r="AA93" i="39"/>
  <c r="Z93" i="39"/>
  <c r="AF93" i="39" s="1"/>
  <c r="Y93" i="39"/>
  <c r="S93" i="39"/>
  <c r="V93" i="39" s="1"/>
  <c r="AB93" i="39" s="1"/>
  <c r="AD92" i="39"/>
  <c r="AC92" i="39"/>
  <c r="X92" i="39"/>
  <c r="W92" i="39"/>
  <c r="U92" i="39"/>
  <c r="T92" i="39"/>
  <c r="AE91" i="39"/>
  <c r="AE92" i="39" s="1"/>
  <c r="Y91" i="39"/>
  <c r="S91" i="39"/>
  <c r="V91" i="39" s="1"/>
  <c r="AE90" i="39"/>
  <c r="Y90" i="39"/>
  <c r="S90" i="39"/>
  <c r="V90" i="39" s="1"/>
  <c r="AA90" i="39" s="1"/>
  <c r="AE89" i="39"/>
  <c r="Y89" i="39"/>
  <c r="V89" i="39"/>
  <c r="S89" i="39"/>
  <c r="AE88" i="39"/>
  <c r="AA88" i="39"/>
  <c r="Y88" i="39"/>
  <c r="S88" i="39"/>
  <c r="V88" i="39" s="1"/>
  <c r="AE87" i="39"/>
  <c r="Y87" i="39"/>
  <c r="S87" i="39"/>
  <c r="V87" i="39" s="1"/>
  <c r="AE86" i="39"/>
  <c r="AA86" i="39"/>
  <c r="Y86" i="39"/>
  <c r="S86" i="39"/>
  <c r="V86" i="39" s="1"/>
  <c r="AD85" i="39"/>
  <c r="AC85" i="39"/>
  <c r="X85" i="39"/>
  <c r="W85" i="39"/>
  <c r="U85" i="39"/>
  <c r="T85" i="39"/>
  <c r="AE84" i="39"/>
  <c r="Y84" i="39"/>
  <c r="S84" i="39"/>
  <c r="V84" i="39" s="1"/>
  <c r="AE83" i="39"/>
  <c r="AA83" i="39"/>
  <c r="Z83" i="39"/>
  <c r="AF83" i="39" s="1"/>
  <c r="Y83" i="39"/>
  <c r="S83" i="39"/>
  <c r="V83" i="39" s="1"/>
  <c r="AB83" i="39" s="1"/>
  <c r="AE82" i="39"/>
  <c r="Y82" i="39"/>
  <c r="Y85" i="39" s="1"/>
  <c r="S82" i="39"/>
  <c r="V82" i="39" s="1"/>
  <c r="AE81" i="39"/>
  <c r="AA81" i="39"/>
  <c r="Z81" i="39"/>
  <c r="AF81" i="39" s="1"/>
  <c r="Y81" i="39"/>
  <c r="S81" i="39"/>
  <c r="V81" i="39" s="1"/>
  <c r="AB81" i="39" s="1"/>
  <c r="AE80" i="39"/>
  <c r="AE85" i="39" s="1"/>
  <c r="Y80" i="39"/>
  <c r="S80" i="39"/>
  <c r="V80" i="39" s="1"/>
  <c r="AE79" i="39"/>
  <c r="Y79" i="39"/>
  <c r="S79" i="39"/>
  <c r="AD78" i="39"/>
  <c r="AC78" i="39"/>
  <c r="X78" i="39"/>
  <c r="W78" i="39"/>
  <c r="U78" i="39"/>
  <c r="T78" i="39"/>
  <c r="AE77" i="39"/>
  <c r="Y77" i="39"/>
  <c r="V77" i="39"/>
  <c r="AB77" i="39" s="1"/>
  <c r="S77" i="39"/>
  <c r="AE76" i="39"/>
  <c r="AB76" i="39"/>
  <c r="Y76" i="39"/>
  <c r="V76" i="39"/>
  <c r="S76" i="39"/>
  <c r="AE75" i="39"/>
  <c r="AB75" i="39"/>
  <c r="Y75" i="39"/>
  <c r="V75" i="39"/>
  <c r="S75" i="39"/>
  <c r="AE74" i="39"/>
  <c r="Y74" i="39"/>
  <c r="V74" i="39"/>
  <c r="S74" i="39"/>
  <c r="AE73" i="39"/>
  <c r="Y73" i="39"/>
  <c r="V73" i="39"/>
  <c r="AB73" i="39" s="1"/>
  <c r="S73" i="39"/>
  <c r="AE72" i="39"/>
  <c r="AB72" i="39"/>
  <c r="Y72" i="39"/>
  <c r="Y78" i="39" s="1"/>
  <c r="V72" i="39"/>
  <c r="S72" i="39"/>
  <c r="S78" i="39" s="1"/>
  <c r="AE71" i="39"/>
  <c r="AD71" i="39"/>
  <c r="AC71" i="39"/>
  <c r="X71" i="39"/>
  <c r="W71" i="39"/>
  <c r="U71" i="39"/>
  <c r="T71" i="39"/>
  <c r="AE70" i="39"/>
  <c r="AA70" i="39"/>
  <c r="Y70" i="39"/>
  <c r="S70" i="39"/>
  <c r="V70" i="39" s="1"/>
  <c r="AB70" i="39" s="1"/>
  <c r="AF69" i="39"/>
  <c r="AE69" i="39"/>
  <c r="AA69" i="39"/>
  <c r="Z69" i="39"/>
  <c r="Y69" i="39"/>
  <c r="S69" i="39"/>
  <c r="V69" i="39" s="1"/>
  <c r="AB69" i="39" s="1"/>
  <c r="AE68" i="39"/>
  <c r="AA68" i="39"/>
  <c r="Y68" i="39"/>
  <c r="S68" i="39"/>
  <c r="V68" i="39" s="1"/>
  <c r="AB68" i="39" s="1"/>
  <c r="AF67" i="39"/>
  <c r="AE67" i="39"/>
  <c r="AA67" i="39"/>
  <c r="Z67" i="39"/>
  <c r="Y67" i="39"/>
  <c r="S67" i="39"/>
  <c r="V67" i="39" s="1"/>
  <c r="AB67" i="39" s="1"/>
  <c r="AE66" i="39"/>
  <c r="AA66" i="39"/>
  <c r="Y66" i="39"/>
  <c r="S66" i="39"/>
  <c r="V66" i="39" s="1"/>
  <c r="AB66" i="39" s="1"/>
  <c r="AF65" i="39"/>
  <c r="AE65" i="39"/>
  <c r="AA65" i="39"/>
  <c r="AA71" i="39" s="1"/>
  <c r="Z65" i="39"/>
  <c r="Y65" i="39"/>
  <c r="Y71" i="39" s="1"/>
  <c r="S65" i="39"/>
  <c r="V65" i="39" s="1"/>
  <c r="AB65" i="39" s="1"/>
  <c r="AD64" i="39"/>
  <c r="AC64" i="39"/>
  <c r="X64" i="39"/>
  <c r="W64" i="39"/>
  <c r="U64" i="39"/>
  <c r="T64" i="39"/>
  <c r="AE63" i="39"/>
  <c r="AB63" i="39"/>
  <c r="Y63" i="39"/>
  <c r="V63" i="39"/>
  <c r="S63" i="39"/>
  <c r="AE62" i="39"/>
  <c r="Y62" i="39"/>
  <c r="V62" i="39"/>
  <c r="S62" i="39"/>
  <c r="AE61" i="39"/>
  <c r="Y61" i="39"/>
  <c r="V61" i="39"/>
  <c r="S61" i="39"/>
  <c r="AE60" i="39"/>
  <c r="AB60" i="39"/>
  <c r="Y60" i="39"/>
  <c r="V60" i="39"/>
  <c r="S60" i="39"/>
  <c r="AE59" i="39"/>
  <c r="AB59" i="39"/>
  <c r="Y59" i="39"/>
  <c r="V59" i="39"/>
  <c r="S59" i="39"/>
  <c r="AE58" i="39"/>
  <c r="AE64" i="39" s="1"/>
  <c r="Y58" i="39"/>
  <c r="Y64" i="39" s="1"/>
  <c r="V58" i="39"/>
  <c r="S58" i="39"/>
  <c r="S64" i="39" s="1"/>
  <c r="AE57" i="39"/>
  <c r="AD57" i="39"/>
  <c r="AC57" i="39"/>
  <c r="AA57" i="39"/>
  <c r="X57" i="39"/>
  <c r="W57" i="39"/>
  <c r="V57" i="39"/>
  <c r="U57" i="39"/>
  <c r="T57" i="39"/>
  <c r="S57" i="39"/>
  <c r="AF56" i="39"/>
  <c r="AF57" i="39" s="1"/>
  <c r="AE56" i="39"/>
  <c r="AA56" i="39"/>
  <c r="Z56" i="39"/>
  <c r="Z57" i="39" s="1"/>
  <c r="Y56" i="39"/>
  <c r="Y57" i="39" s="1"/>
  <c r="S56" i="39"/>
  <c r="V56" i="39" s="1"/>
  <c r="AB56" i="39" s="1"/>
  <c r="AB57" i="39" s="1"/>
  <c r="AD55" i="39"/>
  <c r="AC55" i="39"/>
  <c r="X55" i="39"/>
  <c r="W55" i="39"/>
  <c r="U55" i="39"/>
  <c r="T55" i="39"/>
  <c r="AE54" i="39"/>
  <c r="AB54" i="39"/>
  <c r="Y54" i="39"/>
  <c r="V54" i="39"/>
  <c r="S54" i="39"/>
  <c r="AE53" i="39"/>
  <c r="Y53" i="39"/>
  <c r="V53" i="39"/>
  <c r="S53" i="39"/>
  <c r="AE52" i="39"/>
  <c r="Y52" i="39"/>
  <c r="V52" i="39"/>
  <c r="S52" i="39"/>
  <c r="AE51" i="39"/>
  <c r="AB51" i="39"/>
  <c r="Y51" i="39"/>
  <c r="Y55" i="39" s="1"/>
  <c r="V51" i="39"/>
  <c r="S51" i="39"/>
  <c r="AE50" i="39"/>
  <c r="AB50" i="39"/>
  <c r="Y50" i="39"/>
  <c r="V50" i="39"/>
  <c r="S50" i="39"/>
  <c r="S55" i="39" s="1"/>
  <c r="AE49" i="39"/>
  <c r="AD49" i="39"/>
  <c r="AC49" i="39"/>
  <c r="X49" i="39"/>
  <c r="W49" i="39"/>
  <c r="U49" i="39"/>
  <c r="T49" i="39"/>
  <c r="AE48" i="39"/>
  <c r="Y48" i="39"/>
  <c r="S48" i="39"/>
  <c r="V48" i="39" s="1"/>
  <c r="AB48" i="39" s="1"/>
  <c r="AE47" i="39"/>
  <c r="AA47" i="39"/>
  <c r="Z47" i="39"/>
  <c r="AF47" i="39" s="1"/>
  <c r="Y47" i="39"/>
  <c r="S47" i="39"/>
  <c r="V47" i="39" s="1"/>
  <c r="AB47" i="39" s="1"/>
  <c r="AE46" i="39"/>
  <c r="Y46" i="39"/>
  <c r="Y49" i="39" s="1"/>
  <c r="S46" i="39"/>
  <c r="V46" i="39" s="1"/>
  <c r="AB46" i="39" s="1"/>
  <c r="AB49" i="39" s="1"/>
  <c r="AD45" i="39"/>
  <c r="AC45" i="39"/>
  <c r="AB45" i="39"/>
  <c r="X45" i="39"/>
  <c r="W45" i="39"/>
  <c r="U45" i="39"/>
  <c r="T45" i="39"/>
  <c r="AE44" i="39"/>
  <c r="AE45" i="39" s="1"/>
  <c r="AB44" i="39"/>
  <c r="Y44" i="39"/>
  <c r="Y45" i="39" s="1"/>
  <c r="V44" i="39"/>
  <c r="S44" i="39"/>
  <c r="S45" i="39" s="1"/>
  <c r="AE43" i="39"/>
  <c r="AD43" i="39"/>
  <c r="AC43" i="39"/>
  <c r="X43" i="39"/>
  <c r="W43" i="39"/>
  <c r="U43" i="39"/>
  <c r="T43" i="39"/>
  <c r="AE42" i="39"/>
  <c r="AA42" i="39"/>
  <c r="AA43" i="39" s="1"/>
  <c r="Y42" i="39"/>
  <c r="Y43" i="39" s="1"/>
  <c r="S42" i="39"/>
  <c r="V42" i="39" s="1"/>
  <c r="AB42" i="39" s="1"/>
  <c r="AB43" i="39" s="1"/>
  <c r="AD41" i="39"/>
  <c r="AC41" i="39"/>
  <c r="X41" i="39"/>
  <c r="W41" i="39"/>
  <c r="U41" i="39"/>
  <c r="T41" i="39"/>
  <c r="AE40" i="39"/>
  <c r="Y40" i="39"/>
  <c r="V40" i="39"/>
  <c r="S40" i="39"/>
  <c r="AE39" i="39"/>
  <c r="AB39" i="39"/>
  <c r="Y39" i="39"/>
  <c r="Y41" i="39" s="1"/>
  <c r="V39" i="39"/>
  <c r="S39" i="39"/>
  <c r="AE38" i="39"/>
  <c r="AB38" i="39"/>
  <c r="Y38" i="39"/>
  <c r="V38" i="39"/>
  <c r="S38" i="39"/>
  <c r="AE37" i="39"/>
  <c r="AE41" i="39" s="1"/>
  <c r="Y37" i="39"/>
  <c r="V37" i="39"/>
  <c r="S37" i="39"/>
  <c r="S41" i="39" s="1"/>
  <c r="AD36" i="39"/>
  <c r="AC36" i="39"/>
  <c r="X36" i="39"/>
  <c r="W36" i="39"/>
  <c r="U36" i="39"/>
  <c r="T36" i="39"/>
  <c r="AF35" i="39"/>
  <c r="AE35" i="39"/>
  <c r="AA35" i="39"/>
  <c r="Z35" i="39"/>
  <c r="Y35" i="39"/>
  <c r="S35" i="39"/>
  <c r="V35" i="39" s="1"/>
  <c r="AB35" i="39" s="1"/>
  <c r="AE34" i="39"/>
  <c r="AA34" i="39"/>
  <c r="Y34" i="39"/>
  <c r="S34" i="39"/>
  <c r="V34" i="39" s="1"/>
  <c r="AB34" i="39" s="1"/>
  <c r="AF33" i="39"/>
  <c r="AE33" i="39"/>
  <c r="AA33" i="39"/>
  <c r="Z33" i="39"/>
  <c r="Y33" i="39"/>
  <c r="S33" i="39"/>
  <c r="V33" i="39" s="1"/>
  <c r="AB33" i="39" s="1"/>
  <c r="AE32" i="39"/>
  <c r="AA32" i="39"/>
  <c r="Y32" i="39"/>
  <c r="S32" i="39"/>
  <c r="V32" i="39" s="1"/>
  <c r="AB32" i="39" s="1"/>
  <c r="AE31" i="39"/>
  <c r="AE36" i="39" s="1"/>
  <c r="Y31" i="39"/>
  <c r="Y36" i="39" s="1"/>
  <c r="S31" i="39"/>
  <c r="V31" i="39" s="1"/>
  <c r="AB31" i="39" s="1"/>
  <c r="AD30" i="39"/>
  <c r="AC30" i="39"/>
  <c r="X30" i="39"/>
  <c r="W30" i="39"/>
  <c r="U30" i="39"/>
  <c r="T30" i="39"/>
  <c r="AE29" i="39"/>
  <c r="AB29" i="39"/>
  <c r="Y29" i="39"/>
  <c r="V29" i="39"/>
  <c r="S29" i="39"/>
  <c r="AE28" i="39"/>
  <c r="Y28" i="39"/>
  <c r="V28" i="39"/>
  <c r="S28" i="39"/>
  <c r="AE27" i="39"/>
  <c r="AB27" i="39"/>
  <c r="Y27" i="39"/>
  <c r="V27" i="39"/>
  <c r="S27" i="39"/>
  <c r="AE26" i="39"/>
  <c r="Y26" i="39"/>
  <c r="V26" i="39"/>
  <c r="AA26" i="39" s="1"/>
  <c r="S26" i="39"/>
  <c r="AE25" i="39"/>
  <c r="AB25" i="39"/>
  <c r="Y25" i="39"/>
  <c r="Y30" i="39" s="1"/>
  <c r="V25" i="39"/>
  <c r="S25" i="39"/>
  <c r="S30" i="39" s="1"/>
  <c r="AE24" i="39"/>
  <c r="AD24" i="39"/>
  <c r="AC24" i="39"/>
  <c r="X24" i="39"/>
  <c r="W24" i="39"/>
  <c r="U24" i="39"/>
  <c r="T24" i="39"/>
  <c r="AE23" i="39"/>
  <c r="Y23" i="39"/>
  <c r="V23" i="39"/>
  <c r="AA23" i="39" s="1"/>
  <c r="S23" i="39"/>
  <c r="AE22" i="39"/>
  <c r="Y22" i="39"/>
  <c r="V22" i="39"/>
  <c r="AA22" i="39" s="1"/>
  <c r="S22" i="39"/>
  <c r="AE21" i="39"/>
  <c r="Y21" i="39"/>
  <c r="V21" i="39"/>
  <c r="AA21" i="39" s="1"/>
  <c r="S21" i="39"/>
  <c r="AE20" i="39"/>
  <c r="Y20" i="39"/>
  <c r="V20" i="39"/>
  <c r="AA20" i="39" s="1"/>
  <c r="S20" i="39"/>
  <c r="AE19" i="39"/>
  <c r="Y19" i="39"/>
  <c r="Y24" i="39" s="1"/>
  <c r="V19" i="39"/>
  <c r="AA19" i="39" s="1"/>
  <c r="AA24" i="39" s="1"/>
  <c r="S19" i="39"/>
  <c r="S24" i="39" s="1"/>
  <c r="AD18" i="39"/>
  <c r="AC18" i="39"/>
  <c r="X18" i="39"/>
  <c r="W18" i="39"/>
  <c r="U18" i="39"/>
  <c r="T18" i="39"/>
  <c r="AE17" i="39"/>
  <c r="AB17" i="39"/>
  <c r="Z17" i="39"/>
  <c r="AF17" i="39" s="1"/>
  <c r="Y17" i="39"/>
  <c r="V17" i="39"/>
  <c r="AA17" i="39" s="1"/>
  <c r="S17" i="39"/>
  <c r="AE16" i="39"/>
  <c r="AB16" i="39"/>
  <c r="Y16" i="39"/>
  <c r="Z16" i="39" s="1"/>
  <c r="AF16" i="39" s="1"/>
  <c r="V16" i="39"/>
  <c r="AA16" i="39" s="1"/>
  <c r="S16" i="39"/>
  <c r="AE15" i="39"/>
  <c r="Y15" i="39"/>
  <c r="Y18" i="39" s="1"/>
  <c r="V15" i="39"/>
  <c r="AA15" i="39" s="1"/>
  <c r="S15" i="39"/>
  <c r="AE14" i="39"/>
  <c r="AB14" i="39"/>
  <c r="Y14" i="39"/>
  <c r="V14" i="39"/>
  <c r="AA14" i="39" s="1"/>
  <c r="S14" i="39"/>
  <c r="S18" i="39" s="1"/>
  <c r="AE13" i="39"/>
  <c r="AD13" i="39"/>
  <c r="AC13" i="39"/>
  <c r="X13" i="39"/>
  <c r="W13" i="39"/>
  <c r="U13" i="39"/>
  <c r="T13" i="39"/>
  <c r="AE12" i="39"/>
  <c r="Y12" i="39"/>
  <c r="Y13" i="39" s="1"/>
  <c r="V12" i="39"/>
  <c r="AA12" i="39" s="1"/>
  <c r="AA13" i="39" s="1"/>
  <c r="S12" i="39"/>
  <c r="S13" i="39" s="1"/>
  <c r="Z31" i="39" l="1"/>
  <c r="AA31" i="39"/>
  <c r="AA36" i="39"/>
  <c r="V36" i="39"/>
  <c r="Z81" i="42"/>
  <c r="AB81" i="42"/>
  <c r="AA81" i="42"/>
  <c r="Z88" i="42"/>
  <c r="AA88" i="42"/>
  <c r="AB88" i="42"/>
  <c r="Z121" i="42"/>
  <c r="AA121" i="42"/>
  <c r="AA124" i="42" s="1"/>
  <c r="AB121" i="42"/>
  <c r="AB124" i="42" s="1"/>
  <c r="V124" i="42"/>
  <c r="Z19" i="42"/>
  <c r="AB19" i="42"/>
  <c r="V22" i="42"/>
  <c r="AA19" i="42"/>
  <c r="Z54" i="42"/>
  <c r="AA54" i="42"/>
  <c r="AB54" i="42"/>
  <c r="Z61" i="42"/>
  <c r="AA61" i="42"/>
  <c r="AB61" i="42"/>
  <c r="Z68" i="42"/>
  <c r="AF68" i="42" s="1"/>
  <c r="AA68" i="42"/>
  <c r="AB68" i="42"/>
  <c r="AB69" i="42" s="1"/>
  <c r="AF97" i="42"/>
  <c r="AF63" i="42"/>
  <c r="AF83" i="42"/>
  <c r="Z13" i="42"/>
  <c r="AB13" i="42"/>
  <c r="AA13" i="42"/>
  <c r="Z14" i="42"/>
  <c r="AB14" i="42"/>
  <c r="AA14" i="42"/>
  <c r="Z32" i="42"/>
  <c r="AA32" i="42"/>
  <c r="AB32" i="42"/>
  <c r="Z51" i="42"/>
  <c r="AA51" i="42"/>
  <c r="AB51" i="42"/>
  <c r="Z75" i="42"/>
  <c r="AA75" i="42"/>
  <c r="AB75" i="42"/>
  <c r="Z158" i="42"/>
  <c r="AA158" i="42"/>
  <c r="AB158" i="42"/>
  <c r="AN18" i="42"/>
  <c r="AA17" i="42"/>
  <c r="Z17" i="42"/>
  <c r="AN22" i="42"/>
  <c r="V58" i="42"/>
  <c r="AB53" i="42"/>
  <c r="Z85" i="42"/>
  <c r="V90" i="42"/>
  <c r="S95" i="42"/>
  <c r="Z92" i="42"/>
  <c r="AB92" i="42"/>
  <c r="AA92" i="42"/>
  <c r="AL98" i="42"/>
  <c r="AN97" i="42"/>
  <c r="AN98" i="42" s="1"/>
  <c r="AF113" i="42"/>
  <c r="S133" i="42"/>
  <c r="V131" i="42"/>
  <c r="AA162" i="42"/>
  <c r="AB162" i="42"/>
  <c r="Z162" i="42"/>
  <c r="V163" i="42"/>
  <c r="S182" i="42"/>
  <c r="V177" i="42"/>
  <c r="V26" i="42"/>
  <c r="AA23" i="42"/>
  <c r="Z23" i="42"/>
  <c r="AM34" i="42"/>
  <c r="AA39" i="42"/>
  <c r="Z39" i="42"/>
  <c r="AA55" i="42"/>
  <c r="Z55" i="42"/>
  <c r="AF55" i="42" s="1"/>
  <c r="S64" i="42"/>
  <c r="AN107" i="42"/>
  <c r="AL111" i="42"/>
  <c r="AA125" i="42"/>
  <c r="V130" i="42"/>
  <c r="AB125" i="42"/>
  <c r="Z125" i="42"/>
  <c r="AF127" i="42"/>
  <c r="Z191" i="42"/>
  <c r="AA191" i="42"/>
  <c r="AB191" i="42"/>
  <c r="S18" i="42"/>
  <c r="AA16" i="42"/>
  <c r="AB17" i="42"/>
  <c r="AB21" i="42"/>
  <c r="AA21" i="42"/>
  <c r="AF21" i="42" s="1"/>
  <c r="S22" i="42"/>
  <c r="AL22" i="42"/>
  <c r="AA29" i="42"/>
  <c r="AF29" i="42" s="1"/>
  <c r="S34" i="42"/>
  <c r="V31" i="42"/>
  <c r="V35" i="42"/>
  <c r="AA36" i="42"/>
  <c r="Z36" i="42"/>
  <c r="AM41" i="42"/>
  <c r="AN42" i="42"/>
  <c r="AN44" i="42" s="1"/>
  <c r="V47" i="42"/>
  <c r="AE52" i="42"/>
  <c r="AA48" i="42"/>
  <c r="Z48" i="42"/>
  <c r="AF48" i="42" s="1"/>
  <c r="Z53" i="42"/>
  <c r="AL58" i="42"/>
  <c r="AN53" i="42"/>
  <c r="AN58" i="42" s="1"/>
  <c r="Z59" i="42"/>
  <c r="Z60" i="42"/>
  <c r="AF60" i="42" s="1"/>
  <c r="AM64" i="42"/>
  <c r="AN65" i="42"/>
  <c r="AN69" i="42" s="1"/>
  <c r="Z67" i="42"/>
  <c r="AM76" i="42"/>
  <c r="AA71" i="42"/>
  <c r="Z74" i="42"/>
  <c r="V85" i="42"/>
  <c r="S89" i="42"/>
  <c r="V87" i="42"/>
  <c r="AA93" i="42"/>
  <c r="Z93" i="42"/>
  <c r="AF93" i="42" s="1"/>
  <c r="Z96" i="42"/>
  <c r="AN104" i="42"/>
  <c r="Z104" i="42"/>
  <c r="S120" i="42"/>
  <c r="AB117" i="42"/>
  <c r="Z117" i="42"/>
  <c r="AF117" i="42" s="1"/>
  <c r="AA118" i="42"/>
  <c r="AF118" i="42" s="1"/>
  <c r="AA122" i="42"/>
  <c r="Z122" i="42"/>
  <c r="AB122" i="42"/>
  <c r="Z134" i="42"/>
  <c r="AB134" i="42"/>
  <c r="AA134" i="42"/>
  <c r="AN148" i="42"/>
  <c r="AL151" i="42"/>
  <c r="AN34" i="42"/>
  <c r="AL34" i="42"/>
  <c r="AA42" i="42"/>
  <c r="Z42" i="42"/>
  <c r="AB64" i="42"/>
  <c r="V64" i="42"/>
  <c r="AA65" i="42"/>
  <c r="V69" i="42"/>
  <c r="Z65" i="42"/>
  <c r="AA72" i="42"/>
  <c r="Z72" i="42"/>
  <c r="AL85" i="42"/>
  <c r="AN80" i="42"/>
  <c r="AN85" i="42" s="1"/>
  <c r="AN100" i="42"/>
  <c r="AL104" i="42"/>
  <c r="AM111" i="42"/>
  <c r="S146" i="42"/>
  <c r="V144" i="42"/>
  <c r="AL18" i="42"/>
  <c r="S26" i="42"/>
  <c r="AN45" i="42"/>
  <c r="AN46" i="42" s="1"/>
  <c r="AB49" i="42"/>
  <c r="AA49" i="42"/>
  <c r="S58" i="42"/>
  <c r="AA62" i="42"/>
  <c r="Z62" i="42"/>
  <c r="AF62" i="42" s="1"/>
  <c r="AN70" i="42"/>
  <c r="AN76" i="42" s="1"/>
  <c r="AL76" i="42"/>
  <c r="AL78" i="42"/>
  <c r="AN77" i="42"/>
  <c r="AN78" i="42" s="1"/>
  <c r="AN89" i="42"/>
  <c r="V12" i="42"/>
  <c r="AM18" i="42"/>
  <c r="AB16" i="42"/>
  <c r="AF16" i="42" s="1"/>
  <c r="AA20" i="42"/>
  <c r="Z20" i="42"/>
  <c r="AB23" i="42"/>
  <c r="AB26" i="42" s="1"/>
  <c r="Z25" i="42"/>
  <c r="AF25" i="42" s="1"/>
  <c r="AB29" i="42"/>
  <c r="AA33" i="42"/>
  <c r="Z33" i="42"/>
  <c r="AN35" i="42"/>
  <c r="AN38" i="42" s="1"/>
  <c r="AB39" i="42"/>
  <c r="AB41" i="42" s="1"/>
  <c r="V44" i="42"/>
  <c r="AA45" i="42"/>
  <c r="AA46" i="42" s="1"/>
  <c r="Z45" i="42"/>
  <c r="AL52" i="42"/>
  <c r="AN47" i="42"/>
  <c r="Z49" i="42"/>
  <c r="Z50" i="42"/>
  <c r="AF50" i="42" s="1"/>
  <c r="AN51" i="42"/>
  <c r="AA53" i="42"/>
  <c r="AB55" i="42"/>
  <c r="Z57" i="42"/>
  <c r="AF57" i="42" s="1"/>
  <c r="AN64" i="42"/>
  <c r="AA60" i="42"/>
  <c r="AB62" i="42"/>
  <c r="S69" i="42"/>
  <c r="AA67" i="42"/>
  <c r="S76" i="42"/>
  <c r="V70" i="42"/>
  <c r="AB71" i="42"/>
  <c r="AF71" i="42" s="1"/>
  <c r="AA74" i="42"/>
  <c r="V78" i="42"/>
  <c r="AB77" i="42"/>
  <c r="S78" i="42"/>
  <c r="Y85" i="42"/>
  <c r="AA82" i="42"/>
  <c r="Z82" i="42"/>
  <c r="S85" i="42"/>
  <c r="AF94" i="42"/>
  <c r="AN101" i="42"/>
  <c r="AN111" i="42"/>
  <c r="AF106" i="42"/>
  <c r="AA115" i="42"/>
  <c r="Z115" i="42"/>
  <c r="V120" i="42"/>
  <c r="AB115" i="42"/>
  <c r="AB120" i="42" s="1"/>
  <c r="AB118" i="42"/>
  <c r="AA132" i="42"/>
  <c r="Z132" i="42"/>
  <c r="AB132" i="42"/>
  <c r="V136" i="42"/>
  <c r="Z148" i="42"/>
  <c r="AF148" i="42" s="1"/>
  <c r="AB148" i="42"/>
  <c r="AA148" i="42"/>
  <c r="AE151" i="42"/>
  <c r="Z164" i="42"/>
  <c r="AA164" i="42"/>
  <c r="V169" i="42"/>
  <c r="AB164" i="42"/>
  <c r="AB169" i="42" s="1"/>
  <c r="AA24" i="42"/>
  <c r="AF24" i="42" s="1"/>
  <c r="AA37" i="42"/>
  <c r="AF37" i="42" s="1"/>
  <c r="AA40" i="42"/>
  <c r="AF40" i="42" s="1"/>
  <c r="AA43" i="42"/>
  <c r="AF43" i="42" s="1"/>
  <c r="AA56" i="42"/>
  <c r="AF56" i="42" s="1"/>
  <c r="AA59" i="42"/>
  <c r="AA64" i="42" s="1"/>
  <c r="AA63" i="42"/>
  <c r="AA66" i="42"/>
  <c r="AF66" i="42" s="1"/>
  <c r="AA73" i="42"/>
  <c r="AF73" i="42" s="1"/>
  <c r="AA79" i="42"/>
  <c r="AA85" i="42" s="1"/>
  <c r="AA83" i="42"/>
  <c r="AA86" i="42"/>
  <c r="AL89" i="42"/>
  <c r="V89" i="42"/>
  <c r="AL95" i="42"/>
  <c r="AA97" i="42"/>
  <c r="AB104" i="42"/>
  <c r="AB101" i="42"/>
  <c r="V104" i="42"/>
  <c r="AA105" i="42"/>
  <c r="Z105" i="42"/>
  <c r="AB108" i="42"/>
  <c r="AB111" i="42" s="1"/>
  <c r="V111" i="42"/>
  <c r="AA112" i="42"/>
  <c r="Z112" i="42"/>
  <c r="AM120" i="42"/>
  <c r="AA119" i="42"/>
  <c r="Z119" i="42"/>
  <c r="AF119" i="42" s="1"/>
  <c r="AN121" i="42"/>
  <c r="AN124" i="42" s="1"/>
  <c r="AA135" i="42"/>
  <c r="Z135" i="42"/>
  <c r="AB135" i="42"/>
  <c r="AF140" i="42"/>
  <c r="AN160" i="42"/>
  <c r="AB157" i="42"/>
  <c r="AA157" i="42"/>
  <c r="Z157" i="42"/>
  <c r="AF173" i="42"/>
  <c r="V27" i="42"/>
  <c r="AB79" i="42"/>
  <c r="AB85" i="42" s="1"/>
  <c r="S98" i="42"/>
  <c r="Y104" i="42"/>
  <c r="AF101" i="42"/>
  <c r="AA102" i="42"/>
  <c r="Z102" i="42"/>
  <c r="Y111" i="42"/>
  <c r="AF108" i="42"/>
  <c r="AA109" i="42"/>
  <c r="Z109" i="42"/>
  <c r="AN118" i="42"/>
  <c r="AN120" i="42" s="1"/>
  <c r="AL120" i="42"/>
  <c r="AB126" i="42"/>
  <c r="Z126" i="42"/>
  <c r="Z128" i="42"/>
  <c r="AA128" i="42"/>
  <c r="AN137" i="42"/>
  <c r="AN143" i="42" s="1"/>
  <c r="Y143" i="42"/>
  <c r="AL143" i="42"/>
  <c r="Z147" i="42"/>
  <c r="V151" i="42"/>
  <c r="AA147" i="42"/>
  <c r="AA151" i="42" s="1"/>
  <c r="AA163" i="42"/>
  <c r="AN166" i="42"/>
  <c r="AL169" i="42"/>
  <c r="Z174" i="42"/>
  <c r="AF174" i="42" s="1"/>
  <c r="AB174" i="42"/>
  <c r="AA174" i="42"/>
  <c r="Z184" i="42"/>
  <c r="AB184" i="42"/>
  <c r="AA184" i="42"/>
  <c r="AA96" i="42"/>
  <c r="AA99" i="42"/>
  <c r="AF99" i="42" s="1"/>
  <c r="AA103" i="42"/>
  <c r="AF103" i="42" s="1"/>
  <c r="AA106" i="42"/>
  <c r="AA110" i="42"/>
  <c r="AF110" i="42" s="1"/>
  <c r="AA113" i="42"/>
  <c r="AA116" i="42"/>
  <c r="AF116" i="42" s="1"/>
  <c r="AA123" i="42"/>
  <c r="AF123" i="42" s="1"/>
  <c r="AA127" i="42"/>
  <c r="AN127" i="42"/>
  <c r="AN130" i="42" s="1"/>
  <c r="AA129" i="42"/>
  <c r="Z129" i="42"/>
  <c r="AN131" i="42"/>
  <c r="AN133" i="42" s="1"/>
  <c r="AL133" i="42"/>
  <c r="AM136" i="42"/>
  <c r="AB137" i="42"/>
  <c r="AB139" i="42"/>
  <c r="AA139" i="42"/>
  <c r="AF139" i="42" s="1"/>
  <c r="AB141" i="42"/>
  <c r="AF141" i="42" s="1"/>
  <c r="AA145" i="42"/>
  <c r="Z145" i="42"/>
  <c r="AN147" i="42"/>
  <c r="AN151" i="42" s="1"/>
  <c r="AB150" i="42"/>
  <c r="Z150" i="42"/>
  <c r="V153" i="42"/>
  <c r="S154" i="42"/>
  <c r="V156" i="42"/>
  <c r="S160" i="42"/>
  <c r="Z161" i="42"/>
  <c r="AB161" i="42"/>
  <c r="AL163" i="42"/>
  <c r="AN161" i="42"/>
  <c r="AN163" i="42" s="1"/>
  <c r="Y169" i="42"/>
  <c r="AF166" i="42"/>
  <c r="AF180" i="42"/>
  <c r="V183" i="42"/>
  <c r="S188" i="42"/>
  <c r="AF186" i="42"/>
  <c r="AE195" i="42"/>
  <c r="AF194" i="42"/>
  <c r="AB96" i="42"/>
  <c r="AB98" i="42" s="1"/>
  <c r="S130" i="42"/>
  <c r="AF137" i="42"/>
  <c r="AE143" i="42"/>
  <c r="AA138" i="42"/>
  <c r="AA143" i="42" s="1"/>
  <c r="Z138" i="42"/>
  <c r="AA142" i="42"/>
  <c r="Z142" i="42"/>
  <c r="AF142" i="42" s="1"/>
  <c r="AL146" i="42"/>
  <c r="AN144" i="42"/>
  <c r="AN146" i="42" s="1"/>
  <c r="AA149" i="42"/>
  <c r="AB149" i="42"/>
  <c r="AB151" i="42" s="1"/>
  <c r="Z149" i="42"/>
  <c r="AF149" i="42" s="1"/>
  <c r="AA152" i="42"/>
  <c r="AB152" i="42"/>
  <c r="Z152" i="42"/>
  <c r="V154" i="42"/>
  <c r="AA155" i="42"/>
  <c r="AB155" i="42"/>
  <c r="Z155" i="42"/>
  <c r="AF159" i="42"/>
  <c r="Z167" i="42"/>
  <c r="AF167" i="42" s="1"/>
  <c r="AB167" i="42"/>
  <c r="AN167" i="42"/>
  <c r="AN169" i="42" s="1"/>
  <c r="S176" i="42"/>
  <c r="V170" i="42"/>
  <c r="AM182" i="42"/>
  <c r="Z181" i="42"/>
  <c r="AB181" i="42"/>
  <c r="AN181" i="42"/>
  <c r="V190" i="42"/>
  <c r="S195" i="42"/>
  <c r="AE146" i="42"/>
  <c r="Y151" i="42"/>
  <c r="AE176" i="42"/>
  <c r="AA171" i="42"/>
  <c r="Z171" i="42"/>
  <c r="AA178" i="42"/>
  <c r="Z178" i="42"/>
  <c r="AF178" i="42" s="1"/>
  <c r="AA185" i="42"/>
  <c r="Z185" i="42"/>
  <c r="AA192" i="42"/>
  <c r="Z192" i="42"/>
  <c r="AF192" i="42" s="1"/>
  <c r="AM169" i="42"/>
  <c r="AA168" i="42"/>
  <c r="Z168" i="42"/>
  <c r="AN170" i="42"/>
  <c r="AN176" i="42" s="1"/>
  <c r="AA175" i="42"/>
  <c r="Z175" i="42"/>
  <c r="AL182" i="42"/>
  <c r="AN177" i="42"/>
  <c r="AN182" i="42" s="1"/>
  <c r="AL188" i="42"/>
  <c r="AN183" i="42"/>
  <c r="AN188" i="42" s="1"/>
  <c r="AN184" i="42"/>
  <c r="Z189" i="42"/>
  <c r="AL195" i="42"/>
  <c r="AN190" i="42"/>
  <c r="AN195" i="42" s="1"/>
  <c r="AN191" i="42"/>
  <c r="AA165" i="42"/>
  <c r="AF165" i="42" s="1"/>
  <c r="AA172" i="42"/>
  <c r="AF172" i="42" s="1"/>
  <c r="AA179" i="42"/>
  <c r="AF179" i="42" s="1"/>
  <c r="AA186" i="42"/>
  <c r="AA189" i="42"/>
  <c r="AA193" i="42"/>
  <c r="AF193" i="42" s="1"/>
  <c r="AB189" i="42"/>
  <c r="Z24" i="41"/>
  <c r="AB24" i="41"/>
  <c r="AA24" i="41"/>
  <c r="AF26" i="41"/>
  <c r="Z14" i="41"/>
  <c r="AB14" i="41"/>
  <c r="AB16" i="41" s="1"/>
  <c r="AA14" i="41"/>
  <c r="V16" i="41"/>
  <c r="Z40" i="41"/>
  <c r="AB40" i="41"/>
  <c r="AA40" i="41"/>
  <c r="Z54" i="41"/>
  <c r="AF54" i="41" s="1"/>
  <c r="AB54" i="41"/>
  <c r="AA54" i="41"/>
  <c r="AF70" i="41"/>
  <c r="Z47" i="41"/>
  <c r="AB47" i="41"/>
  <c r="AA47" i="41"/>
  <c r="AN127" i="41"/>
  <c r="AM129" i="41"/>
  <c r="AA58" i="41"/>
  <c r="S67" i="41"/>
  <c r="V64" i="41"/>
  <c r="AN67" i="41"/>
  <c r="Y67" i="41"/>
  <c r="Y74" i="41"/>
  <c r="AM74" i="41"/>
  <c r="AN68" i="41"/>
  <c r="AN74" i="41" s="1"/>
  <c r="AA70" i="41"/>
  <c r="AB70" i="41"/>
  <c r="AA73" i="41"/>
  <c r="Z73" i="41"/>
  <c r="AF73" i="41" s="1"/>
  <c r="S89" i="41"/>
  <c r="Y95" i="41"/>
  <c r="Z90" i="41"/>
  <c r="AE110" i="41"/>
  <c r="AB118" i="41"/>
  <c r="AA118" i="41"/>
  <c r="AA125" i="41" s="1"/>
  <c r="Z118" i="41"/>
  <c r="V125" i="41"/>
  <c r="Z16" i="41"/>
  <c r="AL16" i="41"/>
  <c r="AA31" i="41"/>
  <c r="Z31" i="41"/>
  <c r="AL38" i="41"/>
  <c r="AN33" i="41"/>
  <c r="AN38" i="41" s="1"/>
  <c r="AF37" i="41"/>
  <c r="AN39" i="41"/>
  <c r="AN45" i="41" s="1"/>
  <c r="AL45" i="41"/>
  <c r="AN46" i="41"/>
  <c r="AN52" i="41" s="1"/>
  <c r="AL52" i="41"/>
  <c r="AN60" i="41"/>
  <c r="AA59" i="41"/>
  <c r="Z59" i="41"/>
  <c r="AF59" i="41" s="1"/>
  <c r="AN61" i="41"/>
  <c r="AN63" i="41" s="1"/>
  <c r="AL63" i="41"/>
  <c r="AA72" i="41"/>
  <c r="Z72" i="41"/>
  <c r="AF72" i="41" s="1"/>
  <c r="S81" i="41"/>
  <c r="V75" i="41"/>
  <c r="V82" i="41"/>
  <c r="S85" i="41"/>
  <c r="V89" i="41"/>
  <c r="AA86" i="41"/>
  <c r="AA89" i="41" s="1"/>
  <c r="Z86" i="41"/>
  <c r="AB86" i="41"/>
  <c r="AA127" i="41"/>
  <c r="Z127" i="41"/>
  <c r="AF127" i="41" s="1"/>
  <c r="AB127" i="41"/>
  <c r="AN16" i="41"/>
  <c r="AB27" i="41"/>
  <c r="V27" i="41"/>
  <c r="AA28" i="41"/>
  <c r="AA29" i="41" s="1"/>
  <c r="Z28" i="41"/>
  <c r="AN32" i="41"/>
  <c r="V32" i="41"/>
  <c r="Z32" i="41"/>
  <c r="AL32" i="41"/>
  <c r="AM38" i="41"/>
  <c r="AM45" i="41"/>
  <c r="AM52" i="41"/>
  <c r="AM60" i="41"/>
  <c r="AL60" i="41"/>
  <c r="AM63" i="41"/>
  <c r="AA65" i="41"/>
  <c r="Z65" i="41"/>
  <c r="AF66" i="41"/>
  <c r="V74" i="41"/>
  <c r="AA68" i="41"/>
  <c r="Z68" i="41"/>
  <c r="Z71" i="41"/>
  <c r="AF71" i="41" s="1"/>
  <c r="AB71" i="41"/>
  <c r="AB88" i="41"/>
  <c r="AA88" i="41"/>
  <c r="Z88" i="41"/>
  <c r="AF88" i="41" s="1"/>
  <c r="AA93" i="41"/>
  <c r="Z93" i="41"/>
  <c r="AB93" i="41"/>
  <c r="AF96" i="41"/>
  <c r="AF97" i="41" s="1"/>
  <c r="V99" i="41"/>
  <c r="S100" i="41"/>
  <c r="AN110" i="41"/>
  <c r="AA124" i="41"/>
  <c r="Z124" i="41"/>
  <c r="AB124" i="41"/>
  <c r="AB138" i="41"/>
  <c r="Z138" i="41"/>
  <c r="AF138" i="41" s="1"/>
  <c r="AA138" i="41"/>
  <c r="V17" i="41"/>
  <c r="AA18" i="41"/>
  <c r="Z18" i="41"/>
  <c r="AA25" i="41"/>
  <c r="Z25" i="41"/>
  <c r="AF25" i="41" s="1"/>
  <c r="S27" i="41"/>
  <c r="V29" i="41"/>
  <c r="AA30" i="41"/>
  <c r="AM32" i="41"/>
  <c r="AB31" i="41"/>
  <c r="AA37" i="41"/>
  <c r="S45" i="41"/>
  <c r="V39" i="41"/>
  <c r="AA44" i="41"/>
  <c r="AF44" i="41" s="1"/>
  <c r="S52" i="41"/>
  <c r="V46" i="41"/>
  <c r="AA51" i="41"/>
  <c r="AF51" i="41" s="1"/>
  <c r="S60" i="41"/>
  <c r="V53" i="41"/>
  <c r="AA15" i="41"/>
  <c r="Z15" i="41"/>
  <c r="AF15" i="41" s="1"/>
  <c r="AL21" i="41"/>
  <c r="AN17" i="41"/>
  <c r="AN21" i="41" s="1"/>
  <c r="Z22" i="41"/>
  <c r="Z23" i="41"/>
  <c r="AF23" i="41" s="1"/>
  <c r="AN24" i="41"/>
  <c r="AN27" i="41" s="1"/>
  <c r="AB28" i="41"/>
  <c r="AB29" i="41" s="1"/>
  <c r="AN28" i="41"/>
  <c r="AN29" i="41" s="1"/>
  <c r="AB30" i="41"/>
  <c r="V33" i="41"/>
  <c r="AA34" i="41"/>
  <c r="Z34" i="41"/>
  <c r="AF34" i="41" s="1"/>
  <c r="AB37" i="41"/>
  <c r="AA41" i="41"/>
  <c r="Z41" i="41"/>
  <c r="AB44" i="41"/>
  <c r="AA48" i="41"/>
  <c r="Z48" i="41"/>
  <c r="AF48" i="41" s="1"/>
  <c r="AB51" i="41"/>
  <c r="AA55" i="41"/>
  <c r="Z55" i="41"/>
  <c r="AF55" i="41" s="1"/>
  <c r="AB58" i="41"/>
  <c r="AF58" i="41" s="1"/>
  <c r="V61" i="41"/>
  <c r="AE63" i="41"/>
  <c r="AA62" i="41"/>
  <c r="Z62" i="41"/>
  <c r="AF62" i="41" s="1"/>
  <c r="AM67" i="41"/>
  <c r="AB65" i="41"/>
  <c r="AL67" i="41"/>
  <c r="AB68" i="41"/>
  <c r="AB74" i="41" s="1"/>
  <c r="AA71" i="41"/>
  <c r="Z79" i="41"/>
  <c r="AB79" i="41"/>
  <c r="Z92" i="41"/>
  <c r="AF92" i="41" s="1"/>
  <c r="AB92" i="41"/>
  <c r="AA92" i="41"/>
  <c r="Y103" i="41"/>
  <c r="Z101" i="41"/>
  <c r="Z123" i="41"/>
  <c r="AA123" i="41"/>
  <c r="AB123" i="41"/>
  <c r="Z136" i="41"/>
  <c r="AF136" i="41" s="1"/>
  <c r="AA136" i="41"/>
  <c r="AE74" i="41"/>
  <c r="AE81" i="41"/>
  <c r="AA83" i="41"/>
  <c r="Z83" i="41"/>
  <c r="V100" i="41"/>
  <c r="AB98" i="41"/>
  <c r="AA98" i="41"/>
  <c r="Z98" i="41"/>
  <c r="AB105" i="41"/>
  <c r="Z105" i="41"/>
  <c r="AF105" i="41" s="1"/>
  <c r="AA114" i="41"/>
  <c r="Z114" i="41"/>
  <c r="AB114" i="41"/>
  <c r="Y141" i="41"/>
  <c r="Z137" i="41"/>
  <c r="AF137" i="41" s="1"/>
  <c r="AA12" i="41"/>
  <c r="AA16" i="41" s="1"/>
  <c r="AA19" i="41"/>
  <c r="AF19" i="41" s="1"/>
  <c r="AA22" i="41"/>
  <c r="AA27" i="41" s="1"/>
  <c r="AA26" i="41"/>
  <c r="AA35" i="41"/>
  <c r="AF35" i="41" s="1"/>
  <c r="AA42" i="41"/>
  <c r="AF42" i="41" s="1"/>
  <c r="AA49" i="41"/>
  <c r="AF49" i="41" s="1"/>
  <c r="AA56" i="41"/>
  <c r="AF56" i="41" s="1"/>
  <c r="AA66" i="41"/>
  <c r="AA69" i="41"/>
  <c r="AF69" i="41" s="1"/>
  <c r="AN75" i="41"/>
  <c r="AN81" i="41" s="1"/>
  <c r="AA80" i="41"/>
  <c r="Z80" i="41"/>
  <c r="AF80" i="41" s="1"/>
  <c r="AN82" i="41"/>
  <c r="AN85" i="41" s="1"/>
  <c r="AE95" i="41"/>
  <c r="AA91" i="41"/>
  <c r="AF91" i="41" s="1"/>
  <c r="AL97" i="41"/>
  <c r="AN96" i="41"/>
  <c r="AN97" i="41" s="1"/>
  <c r="V110" i="41"/>
  <c r="AB104" i="41"/>
  <c r="AA104" i="41"/>
  <c r="Z104" i="41"/>
  <c r="AB108" i="41"/>
  <c r="AA108" i="41"/>
  <c r="Z108" i="41"/>
  <c r="AF108" i="41" s="1"/>
  <c r="Z111" i="41"/>
  <c r="AE125" i="41"/>
  <c r="AN125" i="41"/>
  <c r="AA120" i="41"/>
  <c r="Z120" i="41"/>
  <c r="AF120" i="41" s="1"/>
  <c r="AB120" i="41"/>
  <c r="AB122" i="41"/>
  <c r="AA122" i="41"/>
  <c r="Z122" i="41"/>
  <c r="AF122" i="41" s="1"/>
  <c r="Z126" i="41"/>
  <c r="AB126" i="41"/>
  <c r="V129" i="41"/>
  <c r="AA126" i="41"/>
  <c r="AA129" i="41" s="1"/>
  <c r="S134" i="41"/>
  <c r="AE134" i="41"/>
  <c r="AB131" i="41"/>
  <c r="AB134" i="41" s="1"/>
  <c r="AA131" i="41"/>
  <c r="Z131" i="41"/>
  <c r="AF139" i="41"/>
  <c r="AA76" i="41"/>
  <c r="Z76" i="41"/>
  <c r="Y89" i="41"/>
  <c r="AB109" i="41"/>
  <c r="Z109" i="41"/>
  <c r="AN126" i="41"/>
  <c r="AN129" i="41" s="1"/>
  <c r="AL129" i="41"/>
  <c r="AB132" i="41"/>
  <c r="Z132" i="41"/>
  <c r="S74" i="41"/>
  <c r="AN72" i="41"/>
  <c r="AM81" i="41"/>
  <c r="AB76" i="41"/>
  <c r="Z78" i="41"/>
  <c r="AF78" i="41" s="1"/>
  <c r="AN79" i="41"/>
  <c r="AL81" i="41"/>
  <c r="AB83" i="41"/>
  <c r="AA105" i="41"/>
  <c r="AF106" i="41"/>
  <c r="AA109" i="41"/>
  <c r="S110" i="41"/>
  <c r="Z113" i="41"/>
  <c r="AB113" i="41"/>
  <c r="AA113" i="41"/>
  <c r="AM117" i="41"/>
  <c r="Z119" i="41"/>
  <c r="AA119" i="41"/>
  <c r="AB121" i="41"/>
  <c r="AA121" i="41"/>
  <c r="Z121" i="41"/>
  <c r="Y129" i="41"/>
  <c r="AA132" i="41"/>
  <c r="AF133" i="41"/>
  <c r="S141" i="41"/>
  <c r="V135" i="41"/>
  <c r="AA77" i="41"/>
  <c r="AF77" i="41" s="1"/>
  <c r="AA84" i="41"/>
  <c r="AF84" i="41" s="1"/>
  <c r="AA87" i="41"/>
  <c r="AF87" i="41" s="1"/>
  <c r="S95" i="41"/>
  <c r="AL95" i="41"/>
  <c r="AA94" i="41"/>
  <c r="AF94" i="41" s="1"/>
  <c r="AN94" i="41"/>
  <c r="AN95" i="41" s="1"/>
  <c r="AL100" i="41"/>
  <c r="AA102" i="41"/>
  <c r="AF102" i="41" s="1"/>
  <c r="Y110" i="41"/>
  <c r="AL110" i="41"/>
  <c r="AA107" i="41"/>
  <c r="Z107" i="41"/>
  <c r="AF107" i="41" s="1"/>
  <c r="AA112" i="41"/>
  <c r="AF112" i="41" s="1"/>
  <c r="AA116" i="41"/>
  <c r="AF116" i="41" s="1"/>
  <c r="AL125" i="41"/>
  <c r="AA130" i="41"/>
  <c r="AA134" i="41" s="1"/>
  <c r="V134" i="41"/>
  <c r="Z130" i="41"/>
  <c r="AN136" i="41"/>
  <c r="AN141" i="41" s="1"/>
  <c r="AA140" i="41"/>
  <c r="Z140" i="41"/>
  <c r="AF140" i="41" s="1"/>
  <c r="V95" i="41"/>
  <c r="AB90" i="41"/>
  <c r="AB95" i="41" s="1"/>
  <c r="AM95" i="41"/>
  <c r="V97" i="41"/>
  <c r="AB96" i="41"/>
  <c r="AB97" i="41" s="1"/>
  <c r="S97" i="41"/>
  <c r="V103" i="41"/>
  <c r="AB101" i="41"/>
  <c r="AB103" i="41" s="1"/>
  <c r="AA101" i="41"/>
  <c r="S103" i="41"/>
  <c r="AN106" i="41"/>
  <c r="V117" i="41"/>
  <c r="AB111" i="41"/>
  <c r="AB117" i="41" s="1"/>
  <c r="AA111" i="41"/>
  <c r="AA117" i="41" s="1"/>
  <c r="AB115" i="41"/>
  <c r="AA115" i="41"/>
  <c r="AF115" i="41" s="1"/>
  <c r="S117" i="41"/>
  <c r="AB128" i="41"/>
  <c r="AF128" i="41" s="1"/>
  <c r="AA128" i="41"/>
  <c r="AM134" i="41"/>
  <c r="AN133" i="41"/>
  <c r="AN134" i="41" s="1"/>
  <c r="AM141" i="41"/>
  <c r="AN139" i="41"/>
  <c r="AL141" i="41"/>
  <c r="S125" i="41"/>
  <c r="Z31" i="40"/>
  <c r="AA31" i="40"/>
  <c r="AB31" i="40"/>
  <c r="Z18" i="40"/>
  <c r="AB18" i="40"/>
  <c r="AA18" i="40"/>
  <c r="AN23" i="40"/>
  <c r="AF46" i="40"/>
  <c r="AB21" i="40"/>
  <c r="Z21" i="40"/>
  <c r="AA21" i="40"/>
  <c r="AN35" i="40"/>
  <c r="AB39" i="40"/>
  <c r="AA39" i="40"/>
  <c r="V47" i="40"/>
  <c r="AB42" i="40"/>
  <c r="AA42" i="40"/>
  <c r="Z43" i="40"/>
  <c r="AB43" i="40"/>
  <c r="Z60" i="40"/>
  <c r="AB60" i="40"/>
  <c r="AA64" i="40"/>
  <c r="Z64" i="40"/>
  <c r="AA68" i="40"/>
  <c r="Z68" i="40"/>
  <c r="AB97" i="40"/>
  <c r="AA97" i="40"/>
  <c r="Z97" i="40"/>
  <c r="AA125" i="40"/>
  <c r="Z125" i="40"/>
  <c r="AF125" i="40" s="1"/>
  <c r="AB125" i="40"/>
  <c r="V12" i="40"/>
  <c r="Z14" i="40"/>
  <c r="AN16" i="40"/>
  <c r="AN19" i="40" s="1"/>
  <c r="Z17" i="40"/>
  <c r="Z20" i="40"/>
  <c r="V22" i="40"/>
  <c r="AA24" i="40"/>
  <c r="V25" i="40"/>
  <c r="V26" i="40" s="1"/>
  <c r="AA27" i="40"/>
  <c r="AA28" i="40" s="1"/>
  <c r="Z29" i="40"/>
  <c r="AA30" i="40"/>
  <c r="AF30" i="40" s="1"/>
  <c r="Z33" i="40"/>
  <c r="AN34" i="40"/>
  <c r="Y41" i="40"/>
  <c r="AM41" i="40"/>
  <c r="Y47" i="40"/>
  <c r="AL47" i="40"/>
  <c r="AA51" i="40"/>
  <c r="Z51" i="40"/>
  <c r="AN51" i="40"/>
  <c r="AN54" i="40" s="1"/>
  <c r="S69" i="40"/>
  <c r="V63" i="40"/>
  <c r="AN63" i="40"/>
  <c r="AN69" i="40" s="1"/>
  <c r="AL69" i="40"/>
  <c r="AB66" i="40"/>
  <c r="AA66" i="40"/>
  <c r="AF66" i="40" s="1"/>
  <c r="Z67" i="40"/>
  <c r="AF67" i="40" s="1"/>
  <c r="AB67" i="40"/>
  <c r="AE76" i="40"/>
  <c r="AA71" i="40"/>
  <c r="Z71" i="40"/>
  <c r="AN71" i="40"/>
  <c r="AA75" i="40"/>
  <c r="Z75" i="40"/>
  <c r="AF75" i="40" s="1"/>
  <c r="AN75" i="40"/>
  <c r="Z85" i="40"/>
  <c r="AB85" i="40"/>
  <c r="AA85" i="40"/>
  <c r="Z89" i="40"/>
  <c r="AF89" i="40" s="1"/>
  <c r="AB89" i="40"/>
  <c r="AA89" i="40"/>
  <c r="S99" i="40"/>
  <c r="V94" i="40"/>
  <c r="AA158" i="40"/>
  <c r="Z158" i="40"/>
  <c r="AB158" i="40"/>
  <c r="AB16" i="40"/>
  <c r="AB19" i="40" s="1"/>
  <c r="AF27" i="40"/>
  <c r="AF28" i="40" s="1"/>
  <c r="AL41" i="40"/>
  <c r="AN36" i="40"/>
  <c r="Z40" i="40"/>
  <c r="AB40" i="40"/>
  <c r="S47" i="40"/>
  <c r="AB59" i="40"/>
  <c r="AB62" i="40" s="1"/>
  <c r="AA59" i="40"/>
  <c r="AL99" i="40"/>
  <c r="AN94" i="40"/>
  <c r="AN99" i="40" s="1"/>
  <c r="AA105" i="40"/>
  <c r="Z105" i="40"/>
  <c r="AB105" i="40"/>
  <c r="AN12" i="40"/>
  <c r="AN15" i="40" s="1"/>
  <c r="Z13" i="40"/>
  <c r="AA14" i="40"/>
  <c r="Z16" i="40"/>
  <c r="AA17" i="40"/>
  <c r="AA20" i="40"/>
  <c r="V23" i="40"/>
  <c r="AB24" i="40"/>
  <c r="S35" i="40"/>
  <c r="AL35" i="40"/>
  <c r="AA33" i="40"/>
  <c r="AA34" i="40"/>
  <c r="AF34" i="40" s="1"/>
  <c r="Z39" i="40"/>
  <c r="AF39" i="40" s="1"/>
  <c r="AA40" i="40"/>
  <c r="Z42" i="40"/>
  <c r="AA43" i="40"/>
  <c r="AB49" i="40"/>
  <c r="AA49" i="40"/>
  <c r="AF49" i="40" s="1"/>
  <c r="Z50" i="40"/>
  <c r="AB50" i="40"/>
  <c r="AB53" i="40"/>
  <c r="AA53" i="40"/>
  <c r="AF53" i="40" s="1"/>
  <c r="S54" i="40"/>
  <c r="S62" i="40"/>
  <c r="AE62" i="40"/>
  <c r="Z59" i="40"/>
  <c r="AF59" i="40" s="1"/>
  <c r="AA60" i="40"/>
  <c r="AM69" i="40"/>
  <c r="AB64" i="40"/>
  <c r="AB68" i="40"/>
  <c r="S76" i="40"/>
  <c r="V70" i="40"/>
  <c r="AN70" i="40"/>
  <c r="AN76" i="40" s="1"/>
  <c r="AL76" i="40"/>
  <c r="AB73" i="40"/>
  <c r="AA73" i="40"/>
  <c r="AF73" i="40" s="1"/>
  <c r="Z74" i="40"/>
  <c r="AF74" i="40" s="1"/>
  <c r="AB74" i="40"/>
  <c r="AA78" i="40"/>
  <c r="Z78" i="40"/>
  <c r="AF78" i="40" s="1"/>
  <c r="AN78" i="40"/>
  <c r="AB81" i="40"/>
  <c r="AA81" i="40"/>
  <c r="Z81" i="40"/>
  <c r="Z101" i="40"/>
  <c r="AF101" i="40" s="1"/>
  <c r="AB101" i="40"/>
  <c r="AA101" i="40"/>
  <c r="Z114" i="40"/>
  <c r="AB114" i="40"/>
  <c r="AA114" i="40"/>
  <c r="AB13" i="40"/>
  <c r="S41" i="40"/>
  <c r="V36" i="40"/>
  <c r="AB46" i="40"/>
  <c r="AA46" i="40"/>
  <c r="AA16" i="40"/>
  <c r="V35" i="40"/>
  <c r="AB29" i="40"/>
  <c r="AB32" i="40"/>
  <c r="AA32" i="40"/>
  <c r="AF32" i="40" s="1"/>
  <c r="AB34" i="40"/>
  <c r="AE41" i="40"/>
  <c r="AA37" i="40"/>
  <c r="Z37" i="40"/>
  <c r="AF37" i="40" s="1"/>
  <c r="AN37" i="40"/>
  <c r="AA44" i="40"/>
  <c r="Z44" i="40"/>
  <c r="AF44" i="40" s="1"/>
  <c r="AN44" i="40"/>
  <c r="AN47" i="40" s="1"/>
  <c r="AA57" i="40"/>
  <c r="Z57" i="40"/>
  <c r="V62" i="40"/>
  <c r="AL62" i="40"/>
  <c r="AA61" i="40"/>
  <c r="Z61" i="40"/>
  <c r="AN61" i="40"/>
  <c r="S83" i="40"/>
  <c r="V77" i="40"/>
  <c r="AL83" i="40"/>
  <c r="AN77" i="40"/>
  <c r="AB80" i="40"/>
  <c r="AA80" i="40"/>
  <c r="AF80" i="40" s="1"/>
  <c r="Z82" i="40"/>
  <c r="AA82" i="40"/>
  <c r="AA86" i="40"/>
  <c r="Z86" i="40"/>
  <c r="AB86" i="40"/>
  <c r="Z98" i="40"/>
  <c r="AB98" i="40"/>
  <c r="AA98" i="40"/>
  <c r="S103" i="40"/>
  <c r="AB113" i="40"/>
  <c r="AA113" i="40"/>
  <c r="Z113" i="40"/>
  <c r="AA118" i="40"/>
  <c r="Z118" i="40"/>
  <c r="AB118" i="40"/>
  <c r="AN133" i="40"/>
  <c r="AL139" i="40"/>
  <c r="Z38" i="40"/>
  <c r="Z45" i="40"/>
  <c r="AF45" i="40" s="1"/>
  <c r="Z48" i="40"/>
  <c r="Z52" i="40"/>
  <c r="Z55" i="40"/>
  <c r="AN57" i="40"/>
  <c r="AN62" i="40" s="1"/>
  <c r="Z58" i="40"/>
  <c r="AF58" i="40" s="1"/>
  <c r="Z65" i="40"/>
  <c r="Z72" i="40"/>
  <c r="AM83" i="40"/>
  <c r="Z79" i="40"/>
  <c r="AF79" i="40" s="1"/>
  <c r="AN84" i="40"/>
  <c r="AN90" i="40" s="1"/>
  <c r="AL90" i="40"/>
  <c r="Z88" i="40"/>
  <c r="AF88" i="40" s="1"/>
  <c r="AL103" i="40"/>
  <c r="S109" i="40"/>
  <c r="V104" i="40"/>
  <c r="AL109" i="40"/>
  <c r="AN104" i="40"/>
  <c r="AN109" i="40" s="1"/>
  <c r="AB107" i="40"/>
  <c r="AA107" i="40"/>
  <c r="Z108" i="40"/>
  <c r="AF108" i="40" s="1"/>
  <c r="AB108" i="40"/>
  <c r="V111" i="40"/>
  <c r="AB110" i="40"/>
  <c r="AB111" i="40" s="1"/>
  <c r="AA110" i="40"/>
  <c r="AA111" i="40" s="1"/>
  <c r="S116" i="40"/>
  <c r="AL116" i="40"/>
  <c r="S120" i="40"/>
  <c r="V117" i="40"/>
  <c r="AN117" i="40"/>
  <c r="AN120" i="40" s="1"/>
  <c r="AL120" i="40"/>
  <c r="S139" i="40"/>
  <c r="V133" i="40"/>
  <c r="AN140" i="40"/>
  <c r="AL146" i="40"/>
  <c r="AN154" i="40"/>
  <c r="AL156" i="40"/>
  <c r="AA38" i="40"/>
  <c r="AA45" i="40"/>
  <c r="AA48" i="40"/>
  <c r="AA54" i="40" s="1"/>
  <c r="AA52" i="40"/>
  <c r="AA55" i="40"/>
  <c r="AA56" i="40" s="1"/>
  <c r="AA58" i="40"/>
  <c r="AA65" i="40"/>
  <c r="AA72" i="40"/>
  <c r="AE83" i="40"/>
  <c r="AA79" i="40"/>
  <c r="AN82" i="40"/>
  <c r="AM90" i="40"/>
  <c r="AA88" i="40"/>
  <c r="AA92" i="40"/>
  <c r="Z92" i="40"/>
  <c r="AF92" i="40" s="1"/>
  <c r="AN92" i="40"/>
  <c r="AM103" i="40"/>
  <c r="Y109" i="40"/>
  <c r="AB116" i="40"/>
  <c r="AM116" i="40"/>
  <c r="S146" i="40"/>
  <c r="V140" i="40"/>
  <c r="AN147" i="40"/>
  <c r="AN153" i="40" s="1"/>
  <c r="AL153" i="40"/>
  <c r="S156" i="40"/>
  <c r="V154" i="40"/>
  <c r="Z161" i="40"/>
  <c r="AF161" i="40" s="1"/>
  <c r="AB161" i="40"/>
  <c r="AA161" i="40"/>
  <c r="AB48" i="40"/>
  <c r="AB54" i="40" s="1"/>
  <c r="S90" i="40"/>
  <c r="V84" i="40"/>
  <c r="AB87" i="40"/>
  <c r="AA87" i="40"/>
  <c r="AF87" i="40" s="1"/>
  <c r="S93" i="40"/>
  <c r="V91" i="40"/>
  <c r="AN91" i="40"/>
  <c r="AL93" i="40"/>
  <c r="AA95" i="40"/>
  <c r="Z95" i="40"/>
  <c r="AN95" i="40"/>
  <c r="AN103" i="40"/>
  <c r="AA102" i="40"/>
  <c r="Z102" i="40"/>
  <c r="AN102" i="40"/>
  <c r="Z107" i="40"/>
  <c r="AF107" i="40" s="1"/>
  <c r="AA108" i="40"/>
  <c r="Z110" i="40"/>
  <c r="AN116" i="40"/>
  <c r="AA115" i="40"/>
  <c r="Z115" i="40"/>
  <c r="AN115" i="40"/>
  <c r="AA121" i="40"/>
  <c r="V126" i="40"/>
  <c r="AB121" i="40"/>
  <c r="Z121" i="40"/>
  <c r="S153" i="40"/>
  <c r="V147" i="40"/>
  <c r="Z96" i="40"/>
  <c r="Z106" i="40"/>
  <c r="Z112" i="40"/>
  <c r="V116" i="40"/>
  <c r="AM120" i="40"/>
  <c r="Z119" i="40"/>
  <c r="Z124" i="40"/>
  <c r="AB124" i="40"/>
  <c r="AA128" i="40"/>
  <c r="Z128" i="40"/>
  <c r="AM139" i="40"/>
  <c r="AB135" i="40"/>
  <c r="AA135" i="40"/>
  <c r="Z135" i="40"/>
  <c r="AM146" i="40"/>
  <c r="AB142" i="40"/>
  <c r="AA142" i="40"/>
  <c r="Z142" i="40"/>
  <c r="AM153" i="40"/>
  <c r="AB149" i="40"/>
  <c r="AA149" i="40"/>
  <c r="Z149" i="40"/>
  <c r="AM156" i="40"/>
  <c r="S162" i="40"/>
  <c r="V157" i="40"/>
  <c r="AL162" i="40"/>
  <c r="AN157" i="40"/>
  <c r="AN162" i="40" s="1"/>
  <c r="AN166" i="40"/>
  <c r="AA96" i="40"/>
  <c r="V100" i="40"/>
  <c r="AA106" i="40"/>
  <c r="AA112" i="40"/>
  <c r="AA116" i="40" s="1"/>
  <c r="Y120" i="40"/>
  <c r="AE120" i="40"/>
  <c r="AA119" i="40"/>
  <c r="AM126" i="40"/>
  <c r="S129" i="40"/>
  <c r="V127" i="40"/>
  <c r="AN127" i="40"/>
  <c r="AN129" i="40" s="1"/>
  <c r="AL129" i="40"/>
  <c r="AA131" i="40"/>
  <c r="Z131" i="40"/>
  <c r="AA138" i="40"/>
  <c r="Z138" i="40"/>
  <c r="AF138" i="40" s="1"/>
  <c r="AN138" i="40"/>
  <c r="AA145" i="40"/>
  <c r="Z145" i="40"/>
  <c r="AF145" i="40" s="1"/>
  <c r="AN145" i="40"/>
  <c r="AA152" i="40"/>
  <c r="Z152" i="40"/>
  <c r="AN152" i="40"/>
  <c r="Y162" i="40"/>
  <c r="AM162" i="40"/>
  <c r="AB159" i="40"/>
  <c r="AA159" i="40"/>
  <c r="Z159" i="40"/>
  <c r="AF159" i="40" s="1"/>
  <c r="AA165" i="40"/>
  <c r="Z165" i="40"/>
  <c r="AN165" i="40"/>
  <c r="AB122" i="40"/>
  <c r="AA122" i="40"/>
  <c r="Z122" i="40"/>
  <c r="V130" i="40"/>
  <c r="AN130" i="40"/>
  <c r="AN132" i="40" s="1"/>
  <c r="AL132" i="40"/>
  <c r="AA134" i="40"/>
  <c r="Z134" i="40"/>
  <c r="AF134" i="40" s="1"/>
  <c r="AN134" i="40"/>
  <c r="Z137" i="40"/>
  <c r="AB137" i="40"/>
  <c r="AA141" i="40"/>
  <c r="Z141" i="40"/>
  <c r="AN141" i="40"/>
  <c r="Z144" i="40"/>
  <c r="AB144" i="40"/>
  <c r="AA148" i="40"/>
  <c r="Z148" i="40"/>
  <c r="AN148" i="40"/>
  <c r="Z151" i="40"/>
  <c r="AF151" i="40" s="1"/>
  <c r="AB151" i="40"/>
  <c r="AA155" i="40"/>
  <c r="Z155" i="40"/>
  <c r="AF155" i="40" s="1"/>
  <c r="AN155" i="40"/>
  <c r="Z164" i="40"/>
  <c r="AF164" i="40" s="1"/>
  <c r="AB164" i="40"/>
  <c r="AN121" i="40"/>
  <c r="AN126" i="40" s="1"/>
  <c r="AA123" i="40"/>
  <c r="AF123" i="40" s="1"/>
  <c r="AA136" i="40"/>
  <c r="AF136" i="40" s="1"/>
  <c r="AA143" i="40"/>
  <c r="AF143" i="40" s="1"/>
  <c r="AA150" i="40"/>
  <c r="AF150" i="40" s="1"/>
  <c r="AA160" i="40"/>
  <c r="AF160" i="40" s="1"/>
  <c r="AL166" i="40"/>
  <c r="V163" i="40"/>
  <c r="AV131" i="40"/>
  <c r="AT131" i="40"/>
  <c r="AS131" i="40"/>
  <c r="AH167" i="40"/>
  <c r="X167" i="40"/>
  <c r="Q20" i="45" s="1"/>
  <c r="AD167" i="40"/>
  <c r="W167" i="40"/>
  <c r="AG167" i="40"/>
  <c r="Z20" i="45" s="1"/>
  <c r="AJ167" i="40"/>
  <c r="AI167" i="40"/>
  <c r="AC167" i="40"/>
  <c r="U167" i="40"/>
  <c r="AK167" i="40"/>
  <c r="AD20" i="45" s="1"/>
  <c r="T167" i="40"/>
  <c r="AN36" i="39"/>
  <c r="AN64" i="39"/>
  <c r="AN121" i="39"/>
  <c r="AN106" i="39"/>
  <c r="AN78" i="39"/>
  <c r="AL24" i="39"/>
  <c r="AM30" i="39"/>
  <c r="AM57" i="39"/>
  <c r="AM85" i="39"/>
  <c r="AM113" i="39"/>
  <c r="AL13" i="39"/>
  <c r="AL43" i="39"/>
  <c r="AN46" i="39"/>
  <c r="AN49" i="39" s="1"/>
  <c r="AL64" i="39"/>
  <c r="AN66" i="39"/>
  <c r="AL92" i="39"/>
  <c r="AL106" i="39"/>
  <c r="AL116" i="39"/>
  <c r="AL121" i="39"/>
  <c r="AN14" i="39"/>
  <c r="AN18" i="39" s="1"/>
  <c r="AL41" i="39"/>
  <c r="AN44" i="39"/>
  <c r="AN45" i="39" s="1"/>
  <c r="AN50" i="39"/>
  <c r="AN55" i="39" s="1"/>
  <c r="AN65" i="39"/>
  <c r="AN71" i="39" s="1"/>
  <c r="AN79" i="39"/>
  <c r="AN85" i="39" s="1"/>
  <c r="AN93" i="39"/>
  <c r="AN99" i="39" s="1"/>
  <c r="AN107" i="39"/>
  <c r="AN113" i="39" s="1"/>
  <c r="AM99" i="39"/>
  <c r="AL49" i="39"/>
  <c r="AL78" i="39"/>
  <c r="Z101" i="39"/>
  <c r="AA101" i="39"/>
  <c r="AB101" i="39"/>
  <c r="Z105" i="39"/>
  <c r="AA105" i="39"/>
  <c r="AB105" i="39"/>
  <c r="AF109" i="39"/>
  <c r="Z87" i="39"/>
  <c r="AA87" i="39"/>
  <c r="AB87" i="39"/>
  <c r="AA92" i="39"/>
  <c r="Z91" i="39"/>
  <c r="AF91" i="39" s="1"/>
  <c r="AA91" i="39"/>
  <c r="AB91" i="39"/>
  <c r="Z103" i="39"/>
  <c r="AA103" i="39"/>
  <c r="AB103" i="39"/>
  <c r="AB20" i="39"/>
  <c r="AB21" i="39"/>
  <c r="AB84" i="39"/>
  <c r="AA84" i="39"/>
  <c r="Z84" i="39"/>
  <c r="AF84" i="39" s="1"/>
  <c r="Z89" i="39"/>
  <c r="AF89" i="39" s="1"/>
  <c r="AA89" i="39"/>
  <c r="V106" i="39"/>
  <c r="Z100" i="39"/>
  <c r="AB100" i="39"/>
  <c r="AB106" i="39" s="1"/>
  <c r="AB110" i="39"/>
  <c r="AA110" i="39"/>
  <c r="Z110" i="39"/>
  <c r="AF110" i="39" s="1"/>
  <c r="AE18" i="39"/>
  <c r="AA37" i="39"/>
  <c r="Z37" i="39"/>
  <c r="V41" i="39"/>
  <c r="AE55" i="39"/>
  <c r="Z102" i="39"/>
  <c r="AB102" i="39"/>
  <c r="Y113" i="39"/>
  <c r="Z12" i="39"/>
  <c r="Z19" i="39"/>
  <c r="Z21" i="39"/>
  <c r="AF21" i="39" s="1"/>
  <c r="AA29" i="39"/>
  <c r="Z29" i="39"/>
  <c r="AA54" i="39"/>
  <c r="Z54" i="39"/>
  <c r="AF54" i="39" s="1"/>
  <c r="V71" i="39"/>
  <c r="AE78" i="39"/>
  <c r="AA75" i="39"/>
  <c r="Z75" i="39"/>
  <c r="AF75" i="39" s="1"/>
  <c r="AB80" i="39"/>
  <c r="AA80" i="39"/>
  <c r="Z80" i="39"/>
  <c r="V92" i="39"/>
  <c r="Z86" i="39"/>
  <c r="AB86" i="39"/>
  <c r="AB89" i="39"/>
  <c r="AB98" i="39"/>
  <c r="AA98" i="39"/>
  <c r="Z98" i="39"/>
  <c r="AA100" i="39"/>
  <c r="Z104" i="39"/>
  <c r="AF104" i="39" s="1"/>
  <c r="AB104" i="39"/>
  <c r="V114" i="39"/>
  <c r="Z115" i="39"/>
  <c r="AB115" i="39"/>
  <c r="AB12" i="39"/>
  <c r="AB13" i="39" s="1"/>
  <c r="AB19" i="39"/>
  <c r="AB24" i="39" s="1"/>
  <c r="AB22" i="39"/>
  <c r="AB23" i="39"/>
  <c r="AA40" i="39"/>
  <c r="Z40" i="39"/>
  <c r="AA52" i="39"/>
  <c r="Z52" i="39"/>
  <c r="AA61" i="39"/>
  <c r="Z61" i="39"/>
  <c r="AA73" i="39"/>
  <c r="Z73" i="39"/>
  <c r="AF73" i="39" s="1"/>
  <c r="AA77" i="39"/>
  <c r="Z77" i="39"/>
  <c r="Z90" i="39"/>
  <c r="AB90" i="39"/>
  <c r="AB94" i="39"/>
  <c r="AB99" i="39" s="1"/>
  <c r="AA94" i="39"/>
  <c r="Z94" i="39"/>
  <c r="V99" i="39"/>
  <c r="AB107" i="39"/>
  <c r="AA107" i="39"/>
  <c r="Z107" i="39"/>
  <c r="AB111" i="39"/>
  <c r="AA111" i="39"/>
  <c r="Z111" i="39"/>
  <c r="Y121" i="39"/>
  <c r="AA18" i="39"/>
  <c r="AA25" i="39"/>
  <c r="AA30" i="39" s="1"/>
  <c r="V30" i="39"/>
  <c r="AE30" i="39"/>
  <c r="AA28" i="39"/>
  <c r="Z28" i="39"/>
  <c r="S36" i="39"/>
  <c r="V49" i="39"/>
  <c r="AA53" i="39"/>
  <c r="Z53" i="39"/>
  <c r="AA58" i="39"/>
  <c r="Z58" i="39"/>
  <c r="V64" i="39"/>
  <c r="AA62" i="39"/>
  <c r="Z62" i="39"/>
  <c r="AA74" i="39"/>
  <c r="Z74" i="39"/>
  <c r="AF74" i="39" s="1"/>
  <c r="S85" i="39"/>
  <c r="V79" i="39"/>
  <c r="AB96" i="39"/>
  <c r="AA96" i="39"/>
  <c r="AA99" i="39" s="1"/>
  <c r="Z96" i="39"/>
  <c r="V13" i="39"/>
  <c r="Z15" i="39"/>
  <c r="V18" i="39"/>
  <c r="Z20" i="39"/>
  <c r="AF20" i="39" s="1"/>
  <c r="Z22" i="39"/>
  <c r="AF22" i="39" s="1"/>
  <c r="Z23" i="39"/>
  <c r="AF23" i="39" s="1"/>
  <c r="V24" i="39"/>
  <c r="Z26" i="39"/>
  <c r="AA38" i="39"/>
  <c r="Z38" i="39"/>
  <c r="AF38" i="39" s="1"/>
  <c r="AB40" i="39"/>
  <c r="V43" i="39"/>
  <c r="Z46" i="39"/>
  <c r="Z48" i="39"/>
  <c r="AF48" i="39" s="1"/>
  <c r="S49" i="39"/>
  <c r="AA50" i="39"/>
  <c r="V55" i="39"/>
  <c r="Z50" i="39"/>
  <c r="AB52" i="39"/>
  <c r="AB55" i="39" s="1"/>
  <c r="AA59" i="39"/>
  <c r="Z59" i="39"/>
  <c r="AF59" i="39" s="1"/>
  <c r="AB61" i="39"/>
  <c r="AA63" i="39"/>
  <c r="Z63" i="39"/>
  <c r="Z14" i="39"/>
  <c r="AB15" i="39"/>
  <c r="AB18" i="39" s="1"/>
  <c r="Z25" i="39"/>
  <c r="AB26" i="39"/>
  <c r="AB30" i="39" s="1"/>
  <c r="AA27" i="39"/>
  <c r="Z27" i="39"/>
  <c r="AF27" i="39" s="1"/>
  <c r="AB28" i="39"/>
  <c r="AB36" i="39"/>
  <c r="Z32" i="39"/>
  <c r="AF32" i="39" s="1"/>
  <c r="Z34" i="39"/>
  <c r="AF34" i="39" s="1"/>
  <c r="AB37" i="39"/>
  <c r="AB41" i="39" s="1"/>
  <c r="AA39" i="39"/>
  <c r="Z39" i="39"/>
  <c r="AF39" i="39" s="1"/>
  <c r="Z42" i="39"/>
  <c r="S43" i="39"/>
  <c r="AA44" i="39"/>
  <c r="AA45" i="39" s="1"/>
  <c r="V45" i="39"/>
  <c r="Z44" i="39"/>
  <c r="AA46" i="39"/>
  <c r="AA49" i="39" s="1"/>
  <c r="AA48" i="39"/>
  <c r="AA51" i="39"/>
  <c r="Z51" i="39"/>
  <c r="AF51" i="39" s="1"/>
  <c r="AB53" i="39"/>
  <c r="AB58" i="39"/>
  <c r="AA60" i="39"/>
  <c r="Z60" i="39"/>
  <c r="AF60" i="39" s="1"/>
  <c r="AB62" i="39"/>
  <c r="AB71" i="39"/>
  <c r="Z66" i="39"/>
  <c r="AF66" i="39" s="1"/>
  <c r="Z68" i="39"/>
  <c r="AF68" i="39" s="1"/>
  <c r="Z70" i="39"/>
  <c r="AF70" i="39" s="1"/>
  <c r="AF71" i="39" s="1"/>
  <c r="S71" i="39"/>
  <c r="AA72" i="39"/>
  <c r="V78" i="39"/>
  <c r="Z72" i="39"/>
  <c r="AB74" i="39"/>
  <c r="AB78" i="39" s="1"/>
  <c r="AA76" i="39"/>
  <c r="Z76" i="39"/>
  <c r="AF76" i="39" s="1"/>
  <c r="AB82" i="39"/>
  <c r="AA82" i="39"/>
  <c r="Z82" i="39"/>
  <c r="Y92" i="39"/>
  <c r="Z88" i="39"/>
  <c r="AF88" i="39" s="1"/>
  <c r="AB88" i="39"/>
  <c r="AF97" i="39"/>
  <c r="AA102" i="39"/>
  <c r="AB118" i="39"/>
  <c r="AA118" i="39"/>
  <c r="Z118" i="39"/>
  <c r="AB119" i="39"/>
  <c r="AA119" i="39"/>
  <c r="Z119" i="39"/>
  <c r="S92" i="39"/>
  <c r="S99" i="39"/>
  <c r="S106" i="39"/>
  <c r="AB108" i="39"/>
  <c r="AA108" i="39"/>
  <c r="AF108" i="39" s="1"/>
  <c r="AB112" i="39"/>
  <c r="AF112" i="39" s="1"/>
  <c r="AA112" i="39"/>
  <c r="AE121" i="39"/>
  <c r="AB120" i="39"/>
  <c r="AA120" i="39"/>
  <c r="AF120" i="39" s="1"/>
  <c r="AB109" i="39"/>
  <c r="AA109" i="39"/>
  <c r="AB117" i="39"/>
  <c r="AA117" i="39"/>
  <c r="AA121" i="39" s="1"/>
  <c r="S113" i="39"/>
  <c r="S121" i="39"/>
  <c r="AR15" i="43"/>
  <c r="AL15" i="43"/>
  <c r="AW15" i="43" s="1"/>
  <c r="AM15" i="43"/>
  <c r="AX15" i="43" s="1"/>
  <c r="AE15" i="43"/>
  <c r="AU15" i="43" s="1"/>
  <c r="Y15" i="43"/>
  <c r="V15" i="43"/>
  <c r="AB15" i="43" s="1"/>
  <c r="AT15" i="43" s="1"/>
  <c r="S51" i="29"/>
  <c r="L16" i="45"/>
  <c r="P16" i="45"/>
  <c r="Q16" i="45"/>
  <c r="R16" i="45"/>
  <c r="Z16" i="45"/>
  <c r="AA16" i="45"/>
  <c r="AC16" i="45"/>
  <c r="AD16" i="45"/>
  <c r="AF16" i="45"/>
  <c r="Q17" i="45"/>
  <c r="Z17" i="45"/>
  <c r="AA17" i="45"/>
  <c r="AC17" i="45"/>
  <c r="AD17" i="45"/>
  <c r="AF17" i="45"/>
  <c r="AA20" i="45"/>
  <c r="AF31" i="39" l="1"/>
  <c r="AF36" i="39" s="1"/>
  <c r="Z170" i="42"/>
  <c r="AB170" i="42"/>
  <c r="AB176" i="42" s="1"/>
  <c r="AA170" i="42"/>
  <c r="AA176" i="42" s="1"/>
  <c r="V176" i="42"/>
  <c r="AF155" i="42"/>
  <c r="AB156" i="42"/>
  <c r="AB160" i="42" s="1"/>
  <c r="Z156" i="42"/>
  <c r="Z160" i="42" s="1"/>
  <c r="AA156" i="42"/>
  <c r="AF105" i="42"/>
  <c r="Z111" i="42"/>
  <c r="AF164" i="42"/>
  <c r="Z169" i="42"/>
  <c r="AF134" i="42"/>
  <c r="Z136" i="42"/>
  <c r="AF79" i="42"/>
  <c r="Z58" i="42"/>
  <c r="AF53" i="42"/>
  <c r="Z47" i="42"/>
  <c r="V52" i="42"/>
  <c r="AA47" i="42"/>
  <c r="AA52" i="42" s="1"/>
  <c r="AB47" i="42"/>
  <c r="AB52" i="42" s="1"/>
  <c r="Z177" i="42"/>
  <c r="V182" i="42"/>
  <c r="AA177" i="42"/>
  <c r="AA182" i="42" s="1"/>
  <c r="AB177" i="42"/>
  <c r="AB182" i="42" s="1"/>
  <c r="AA195" i="42"/>
  <c r="AF189" i="42"/>
  <c r="V160" i="42"/>
  <c r="AF184" i="42"/>
  <c r="AF128" i="42"/>
  <c r="AB27" i="42"/>
  <c r="AB30" i="42" s="1"/>
  <c r="V30" i="42"/>
  <c r="AA27" i="42"/>
  <c r="AA30" i="42" s="1"/>
  <c r="Z27" i="42"/>
  <c r="AA111" i="42"/>
  <c r="Z35" i="42"/>
  <c r="V38" i="42"/>
  <c r="AB35" i="42"/>
  <c r="AB38" i="42" s="1"/>
  <c r="AA35" i="42"/>
  <c r="AA38" i="42" s="1"/>
  <c r="Z130" i="42"/>
  <c r="AF125" i="42"/>
  <c r="AF92" i="42"/>
  <c r="AF17" i="42"/>
  <c r="AF75" i="42"/>
  <c r="AF32" i="42"/>
  <c r="AB22" i="42"/>
  <c r="AF81" i="42"/>
  <c r="AF168" i="42"/>
  <c r="AB190" i="42"/>
  <c r="AB195" i="42" s="1"/>
  <c r="Z190" i="42"/>
  <c r="AA190" i="42"/>
  <c r="AB154" i="42"/>
  <c r="AF161" i="42"/>
  <c r="Z163" i="42"/>
  <c r="AB153" i="42"/>
  <c r="Z153" i="42"/>
  <c r="AF153" i="42" s="1"/>
  <c r="AA153" i="42"/>
  <c r="AF145" i="42"/>
  <c r="AA98" i="42"/>
  <c r="AF126" i="42"/>
  <c r="AF115" i="42"/>
  <c r="AF120" i="42" s="1"/>
  <c r="Z120" i="42"/>
  <c r="AF82" i="42"/>
  <c r="AB78" i="42"/>
  <c r="AF77" i="42"/>
  <c r="AF78" i="42" s="1"/>
  <c r="V76" i="42"/>
  <c r="AB70" i="42"/>
  <c r="AB76" i="42" s="1"/>
  <c r="Z70" i="42"/>
  <c r="AA70" i="42"/>
  <c r="AA76" i="42" s="1"/>
  <c r="AF49" i="42"/>
  <c r="AF33" i="42"/>
  <c r="AF42" i="42"/>
  <c r="AF44" i="42" s="1"/>
  <c r="Z44" i="42"/>
  <c r="AA136" i="42"/>
  <c r="AF122" i="42"/>
  <c r="AB87" i="42"/>
  <c r="AB89" i="42" s="1"/>
  <c r="AA87" i="42"/>
  <c r="Z87" i="42"/>
  <c r="AF74" i="42"/>
  <c r="AB31" i="42"/>
  <c r="AB34" i="42" s="1"/>
  <c r="AA31" i="42"/>
  <c r="AA34" i="42" s="1"/>
  <c r="V34" i="42"/>
  <c r="Z31" i="42"/>
  <c r="AF191" i="42"/>
  <c r="AB130" i="42"/>
  <c r="AF39" i="42"/>
  <c r="AF41" i="42" s="1"/>
  <c r="Z41" i="42"/>
  <c r="AA26" i="42"/>
  <c r="Z131" i="42"/>
  <c r="AA131" i="42"/>
  <c r="AA133" i="42" s="1"/>
  <c r="V133" i="42"/>
  <c r="AB131" i="42"/>
  <c r="AB133" i="42" s="1"/>
  <c r="AB58" i="42"/>
  <c r="AF158" i="42"/>
  <c r="AF13" i="42"/>
  <c r="AF54" i="42"/>
  <c r="AF19" i="42"/>
  <c r="Z22" i="42"/>
  <c r="AF121" i="42"/>
  <c r="AF124" i="42" s="1"/>
  <c r="Z124" i="42"/>
  <c r="AF138" i="42"/>
  <c r="Z143" i="42"/>
  <c r="AF112" i="42"/>
  <c r="AF114" i="42" s="1"/>
  <c r="Z114" i="42"/>
  <c r="AA130" i="42"/>
  <c r="AF181" i="42"/>
  <c r="AF152" i="42"/>
  <c r="AF154" i="42" s="1"/>
  <c r="AB163" i="42"/>
  <c r="AA104" i="42"/>
  <c r="AF135" i="42"/>
  <c r="AA114" i="42"/>
  <c r="AA89" i="42"/>
  <c r="AF132" i="42"/>
  <c r="AF45" i="42"/>
  <c r="AF46" i="42" s="1"/>
  <c r="Z46" i="42"/>
  <c r="Z144" i="42"/>
  <c r="V146" i="42"/>
  <c r="AB144" i="42"/>
  <c r="AB146" i="42" s="1"/>
  <c r="AA144" i="42"/>
  <c r="AA146" i="42" s="1"/>
  <c r="Z69" i="42"/>
  <c r="AF65" i="42"/>
  <c r="AF67" i="42"/>
  <c r="Z64" i="42"/>
  <c r="AF59" i="42"/>
  <c r="Z26" i="42"/>
  <c r="AF23" i="42"/>
  <c r="AF26" i="42" s="1"/>
  <c r="AF51" i="42"/>
  <c r="AF14" i="42"/>
  <c r="AF88" i="42"/>
  <c r="AF175" i="42"/>
  <c r="AF185" i="42"/>
  <c r="AF171" i="42"/>
  <c r="AA160" i="42"/>
  <c r="AA154" i="42"/>
  <c r="AF143" i="42"/>
  <c r="V188" i="42"/>
  <c r="AB183" i="42"/>
  <c r="AB188" i="42" s="1"/>
  <c r="Z183" i="42"/>
  <c r="AA183" i="42"/>
  <c r="AA188" i="42" s="1"/>
  <c r="AF150" i="42"/>
  <c r="AB143" i="42"/>
  <c r="AF129" i="42"/>
  <c r="AF147" i="42"/>
  <c r="AF151" i="42" s="1"/>
  <c r="Z151" i="42"/>
  <c r="AF109" i="42"/>
  <c r="AF102" i="42"/>
  <c r="AF104" i="42" s="1"/>
  <c r="AF157" i="42"/>
  <c r="AA169" i="42"/>
  <c r="AA120" i="42"/>
  <c r="AA58" i="42"/>
  <c r="AN52" i="42"/>
  <c r="AF20" i="42"/>
  <c r="AB12" i="42"/>
  <c r="AB18" i="42" s="1"/>
  <c r="Z12" i="42"/>
  <c r="AA12" i="42"/>
  <c r="AA18" i="42" s="1"/>
  <c r="V18" i="42"/>
  <c r="AF72" i="42"/>
  <c r="AA69" i="42"/>
  <c r="AA44" i="42"/>
  <c r="AB136" i="42"/>
  <c r="Z98" i="42"/>
  <c r="AF96" i="42"/>
  <c r="AF98" i="42" s="1"/>
  <c r="AF36" i="42"/>
  <c r="V195" i="42"/>
  <c r="AA41" i="42"/>
  <c r="AF162" i="42"/>
  <c r="AO162" i="42" s="1"/>
  <c r="AB90" i="42"/>
  <c r="AB95" i="42" s="1"/>
  <c r="AA90" i="42"/>
  <c r="AA95" i="42" s="1"/>
  <c r="V95" i="42"/>
  <c r="Z90" i="42"/>
  <c r="AF86" i="42"/>
  <c r="AF61" i="42"/>
  <c r="AA22" i="42"/>
  <c r="Z110" i="41"/>
  <c r="AF104" i="41"/>
  <c r="AB135" i="41"/>
  <c r="AB141" i="41" s="1"/>
  <c r="V141" i="41"/>
  <c r="AA135" i="41"/>
  <c r="AA141" i="41" s="1"/>
  <c r="Z135" i="41"/>
  <c r="AF109" i="41"/>
  <c r="AF79" i="41"/>
  <c r="AF22" i="41"/>
  <c r="Z27" i="41"/>
  <c r="V52" i="41"/>
  <c r="AB46" i="41"/>
  <c r="AB52" i="41" s="1"/>
  <c r="AA46" i="41"/>
  <c r="AA52" i="41" s="1"/>
  <c r="Z46" i="41"/>
  <c r="AA32" i="41"/>
  <c r="AF93" i="41"/>
  <c r="Z74" i="41"/>
  <c r="AF68" i="41"/>
  <c r="AF74" i="41" s="1"/>
  <c r="AF65" i="41"/>
  <c r="AF28" i="41"/>
  <c r="AF29" i="41" s="1"/>
  <c r="Z29" i="41"/>
  <c r="AB89" i="41"/>
  <c r="AF47" i="41"/>
  <c r="AF12" i="41"/>
  <c r="AF132" i="41"/>
  <c r="AF76" i="41"/>
  <c r="Z117" i="41"/>
  <c r="AF111" i="41"/>
  <c r="Z103" i="41"/>
  <c r="AF101" i="41"/>
  <c r="AF103" i="41" s="1"/>
  <c r="Z33" i="41"/>
  <c r="V38" i="41"/>
  <c r="AB33" i="41"/>
  <c r="AB38" i="41" s="1"/>
  <c r="AA33" i="41"/>
  <c r="AA38" i="41" s="1"/>
  <c r="Z75" i="41"/>
  <c r="V81" i="41"/>
  <c r="AA75" i="41"/>
  <c r="AA81" i="41" s="1"/>
  <c r="AB75" i="41"/>
  <c r="AB81" i="41" s="1"/>
  <c r="AA103" i="41"/>
  <c r="AA110" i="41"/>
  <c r="AB32" i="41"/>
  <c r="V45" i="41"/>
  <c r="AB39" i="41"/>
  <c r="AB45" i="41" s="1"/>
  <c r="AA39" i="41"/>
  <c r="AA45" i="41" s="1"/>
  <c r="Z39" i="41"/>
  <c r="V21" i="41"/>
  <c r="Z17" i="41"/>
  <c r="AB17" i="41"/>
  <c r="AB21" i="41" s="1"/>
  <c r="AA17" i="41"/>
  <c r="AA21" i="41" s="1"/>
  <c r="AF30" i="41"/>
  <c r="AF32" i="41" s="1"/>
  <c r="AB125" i="41"/>
  <c r="Z95" i="41"/>
  <c r="AF90" i="41"/>
  <c r="AF95" i="41" s="1"/>
  <c r="Z64" i="41"/>
  <c r="AB64" i="41"/>
  <c r="AB67" i="41" s="1"/>
  <c r="V67" i="41"/>
  <c r="AA64" i="41"/>
  <c r="AA67" i="41" s="1"/>
  <c r="AF40" i="41"/>
  <c r="AF14" i="41"/>
  <c r="Z134" i="41"/>
  <c r="AF130" i="41"/>
  <c r="AF134" i="41" s="1"/>
  <c r="AF121" i="41"/>
  <c r="AF119" i="41"/>
  <c r="AF113" i="41"/>
  <c r="AB129" i="41"/>
  <c r="AB110" i="41"/>
  <c r="AA95" i="41"/>
  <c r="AF131" i="41"/>
  <c r="AF126" i="41"/>
  <c r="AF129" i="41" s="1"/>
  <c r="Z129" i="41"/>
  <c r="AF114" i="41"/>
  <c r="AF98" i="41"/>
  <c r="AF83" i="41"/>
  <c r="AF123" i="41"/>
  <c r="Z61" i="41"/>
  <c r="V63" i="41"/>
  <c r="AA61" i="41"/>
  <c r="AA63" i="41" s="1"/>
  <c r="AB61" i="41"/>
  <c r="AB63" i="41" s="1"/>
  <c r="AF41" i="41"/>
  <c r="AB53" i="41"/>
  <c r="AB60" i="41" s="1"/>
  <c r="V60" i="41"/>
  <c r="AA53" i="41"/>
  <c r="AA60" i="41" s="1"/>
  <c r="Z53" i="41"/>
  <c r="AF18" i="41"/>
  <c r="AF124" i="41"/>
  <c r="AB99" i="41"/>
  <c r="AB100" i="41" s="1"/>
  <c r="Z99" i="41"/>
  <c r="AA99" i="41"/>
  <c r="AA100" i="41" s="1"/>
  <c r="AA74" i="41"/>
  <c r="Z89" i="41"/>
  <c r="AF86" i="41"/>
  <c r="AF89" i="41" s="1"/>
  <c r="Z82" i="41"/>
  <c r="AA82" i="41"/>
  <c r="AA85" i="41" s="1"/>
  <c r="V85" i="41"/>
  <c r="AB82" i="41"/>
  <c r="AB85" i="41" s="1"/>
  <c r="AF31" i="41"/>
  <c r="Z125" i="41"/>
  <c r="AF118" i="41"/>
  <c r="AF24" i="41"/>
  <c r="Z147" i="40"/>
  <c r="V153" i="40"/>
  <c r="AB147" i="40"/>
  <c r="AB153" i="40" s="1"/>
  <c r="AA147" i="40"/>
  <c r="AA153" i="40" s="1"/>
  <c r="Z117" i="40"/>
  <c r="AB117" i="40"/>
  <c r="AB120" i="40" s="1"/>
  <c r="V120" i="40"/>
  <c r="AA117" i="40"/>
  <c r="AA120" i="40" s="1"/>
  <c r="AF144" i="40"/>
  <c r="AF124" i="40"/>
  <c r="Z116" i="40"/>
  <c r="AF112" i="40"/>
  <c r="AA126" i="40"/>
  <c r="AN93" i="40"/>
  <c r="Z154" i="40"/>
  <c r="V156" i="40"/>
  <c r="AB154" i="40"/>
  <c r="AB156" i="40" s="1"/>
  <c r="AA154" i="40"/>
  <c r="AA156" i="40" s="1"/>
  <c r="Z140" i="40"/>
  <c r="V146" i="40"/>
  <c r="AB140" i="40"/>
  <c r="AB146" i="40" s="1"/>
  <c r="AA140" i="40"/>
  <c r="AA146" i="40" s="1"/>
  <c r="Z104" i="40"/>
  <c r="V109" i="40"/>
  <c r="AB104" i="40"/>
  <c r="AB109" i="40" s="1"/>
  <c r="AA104" i="40"/>
  <c r="AA109" i="40" s="1"/>
  <c r="AF72" i="40"/>
  <c r="AF55" i="40"/>
  <c r="AF56" i="40" s="1"/>
  <c r="Z56" i="40"/>
  <c r="AF38" i="40"/>
  <c r="AF118" i="40"/>
  <c r="AF98" i="40"/>
  <c r="AN83" i="40"/>
  <c r="AA19" i="40"/>
  <c r="AF114" i="40"/>
  <c r="AF81" i="40"/>
  <c r="Z70" i="40"/>
  <c r="V76" i="40"/>
  <c r="AB70" i="40"/>
  <c r="AB76" i="40" s="1"/>
  <c r="AA70" i="40"/>
  <c r="AA76" i="40" s="1"/>
  <c r="Z19" i="40"/>
  <c r="AF16" i="40"/>
  <c r="AF158" i="40"/>
  <c r="Z35" i="40"/>
  <c r="AF29" i="40"/>
  <c r="Z22" i="40"/>
  <c r="AF22" i="40" s="1"/>
  <c r="AB22" i="40"/>
  <c r="AB23" i="40" s="1"/>
  <c r="AA22" i="40"/>
  <c r="AF14" i="40"/>
  <c r="AF43" i="40"/>
  <c r="AF21" i="40"/>
  <c r="AF31" i="40"/>
  <c r="Z63" i="40"/>
  <c r="V69" i="40"/>
  <c r="AB63" i="40"/>
  <c r="AB69" i="40" s="1"/>
  <c r="AA63" i="40"/>
  <c r="AA69" i="40" s="1"/>
  <c r="AF64" i="40"/>
  <c r="AB163" i="40"/>
  <c r="AB166" i="40" s="1"/>
  <c r="V166" i="40"/>
  <c r="AA163" i="40"/>
  <c r="AA166" i="40" s="1"/>
  <c r="Z163" i="40"/>
  <c r="AF148" i="40"/>
  <c r="AF137" i="40"/>
  <c r="AF122" i="40"/>
  <c r="AF165" i="40"/>
  <c r="AF152" i="40"/>
  <c r="AF131" i="40"/>
  <c r="Z127" i="40"/>
  <c r="V129" i="40"/>
  <c r="AB127" i="40"/>
  <c r="AB129" i="40" s="1"/>
  <c r="AA127" i="40"/>
  <c r="AA129" i="40" s="1"/>
  <c r="AB100" i="40"/>
  <c r="AB103" i="40" s="1"/>
  <c r="V103" i="40"/>
  <c r="AA100" i="40"/>
  <c r="AA103" i="40" s="1"/>
  <c r="Z100" i="40"/>
  <c r="AF149" i="40"/>
  <c r="AF142" i="40"/>
  <c r="AF135" i="40"/>
  <c r="AF128" i="40"/>
  <c r="AF119" i="40"/>
  <c r="AF106" i="40"/>
  <c r="AF121" i="40"/>
  <c r="Z126" i="40"/>
  <c r="Z111" i="40"/>
  <c r="AF110" i="40"/>
  <c r="AF111" i="40" s="1"/>
  <c r="AF102" i="40"/>
  <c r="AF95" i="40"/>
  <c r="Z91" i="40"/>
  <c r="V93" i="40"/>
  <c r="AB91" i="40"/>
  <c r="AB93" i="40" s="1"/>
  <c r="AA91" i="40"/>
  <c r="AA93" i="40" s="1"/>
  <c r="V90" i="40"/>
  <c r="AB84" i="40"/>
  <c r="AB90" i="40" s="1"/>
  <c r="AA84" i="40"/>
  <c r="AA90" i="40" s="1"/>
  <c r="Z84" i="40"/>
  <c r="AN146" i="40"/>
  <c r="AF65" i="40"/>
  <c r="AF52" i="40"/>
  <c r="AF82" i="40"/>
  <c r="AF61" i="40"/>
  <c r="AF57" i="40"/>
  <c r="AF62" i="40" s="1"/>
  <c r="Z62" i="40"/>
  <c r="AF50" i="40"/>
  <c r="Z47" i="40"/>
  <c r="AF42" i="40"/>
  <c r="AF47" i="40" s="1"/>
  <c r="AF105" i="40"/>
  <c r="AF40" i="40"/>
  <c r="AF24" i="40"/>
  <c r="AF85" i="40"/>
  <c r="Z23" i="40"/>
  <c r="AF20" i="40"/>
  <c r="AF23" i="40" s="1"/>
  <c r="Z12" i="40"/>
  <c r="AA12" i="40"/>
  <c r="AA15" i="40" s="1"/>
  <c r="AB12" i="40"/>
  <c r="AB15" i="40" s="1"/>
  <c r="V15" i="40"/>
  <c r="AF97" i="40"/>
  <c r="AF68" i="40"/>
  <c r="AA47" i="40"/>
  <c r="AF18" i="40"/>
  <c r="Z130" i="40"/>
  <c r="AB130" i="40"/>
  <c r="AB132" i="40" s="1"/>
  <c r="AA130" i="40"/>
  <c r="AA132" i="40" s="1"/>
  <c r="AN156" i="40"/>
  <c r="Z36" i="40"/>
  <c r="V41" i="40"/>
  <c r="AB36" i="40"/>
  <c r="AB41" i="40" s="1"/>
  <c r="AA36" i="40"/>
  <c r="AA41" i="40" s="1"/>
  <c r="AF141" i="40"/>
  <c r="Z157" i="40"/>
  <c r="V162" i="40"/>
  <c r="AB157" i="40"/>
  <c r="AB162" i="40" s="1"/>
  <c r="AA157" i="40"/>
  <c r="AA162" i="40" s="1"/>
  <c r="AF96" i="40"/>
  <c r="AB126" i="40"/>
  <c r="AF115" i="40"/>
  <c r="Z133" i="40"/>
  <c r="V139" i="40"/>
  <c r="AB133" i="40"/>
  <c r="AB139" i="40" s="1"/>
  <c r="AA133" i="40"/>
  <c r="AA139" i="40" s="1"/>
  <c r="Z54" i="40"/>
  <c r="AF48" i="40"/>
  <c r="AF54" i="40" s="1"/>
  <c r="AN139" i="40"/>
  <c r="AF113" i="40"/>
  <c r="AF86" i="40"/>
  <c r="V83" i="40"/>
  <c r="Z77" i="40"/>
  <c r="AB77" i="40"/>
  <c r="AB83" i="40" s="1"/>
  <c r="AA77" i="40"/>
  <c r="AA83" i="40" s="1"/>
  <c r="AA62" i="40"/>
  <c r="AB35" i="40"/>
  <c r="AA23" i="40"/>
  <c r="AF13" i="40"/>
  <c r="AN41" i="40"/>
  <c r="Z94" i="40"/>
  <c r="V99" i="40"/>
  <c r="AB94" i="40"/>
  <c r="AB99" i="40" s="1"/>
  <c r="AA94" i="40"/>
  <c r="AA99" i="40" s="1"/>
  <c r="AF71" i="40"/>
  <c r="AF51" i="40"/>
  <c r="AF33" i="40"/>
  <c r="Z25" i="40"/>
  <c r="AA25" i="40"/>
  <c r="AA26" i="40" s="1"/>
  <c r="AB25" i="40"/>
  <c r="AB26" i="40" s="1"/>
  <c r="AF17" i="40"/>
  <c r="AF60" i="40"/>
  <c r="AB47" i="40"/>
  <c r="AA35" i="40"/>
  <c r="AO131" i="40"/>
  <c r="Y167" i="40"/>
  <c r="AM167" i="40"/>
  <c r="AF20" i="45" s="1"/>
  <c r="AE167" i="40"/>
  <c r="AL167" i="40"/>
  <c r="S167" i="40"/>
  <c r="AF53" i="39"/>
  <c r="AB121" i="39"/>
  <c r="AA106" i="39"/>
  <c r="AF14" i="39"/>
  <c r="AF18" i="39" s="1"/>
  <c r="Z18" i="39"/>
  <c r="Z64" i="39"/>
  <c r="AF58" i="39"/>
  <c r="AF64" i="39" s="1"/>
  <c r="AF107" i="39"/>
  <c r="AF113" i="39" s="1"/>
  <c r="Z113" i="39"/>
  <c r="AF94" i="39"/>
  <c r="Z99" i="39"/>
  <c r="AF90" i="39"/>
  <c r="AF98" i="39"/>
  <c r="AF80" i="39"/>
  <c r="AF19" i="39"/>
  <c r="AF24" i="39" s="1"/>
  <c r="Z24" i="39"/>
  <c r="Z41" i="39"/>
  <c r="AF37" i="39"/>
  <c r="AF87" i="39"/>
  <c r="Z36" i="39"/>
  <c r="AF105" i="39"/>
  <c r="Z78" i="39"/>
  <c r="AF72" i="39"/>
  <c r="AF78" i="39" s="1"/>
  <c r="Z30" i="39"/>
  <c r="AF25" i="39"/>
  <c r="AF28" i="39"/>
  <c r="AB113" i="39"/>
  <c r="V116" i="39"/>
  <c r="Z114" i="39"/>
  <c r="AA114" i="39"/>
  <c r="AA116" i="39" s="1"/>
  <c r="AB114" i="39"/>
  <c r="AB116" i="39" s="1"/>
  <c r="Z92" i="39"/>
  <c r="AF86" i="39"/>
  <c r="AF117" i="39"/>
  <c r="Z45" i="39"/>
  <c r="AF44" i="39"/>
  <c r="AF45" i="39" s="1"/>
  <c r="AF42" i="39"/>
  <c r="AF43" i="39" s="1"/>
  <c r="Z43" i="39"/>
  <c r="Z55" i="39"/>
  <c r="AF50" i="39"/>
  <c r="AF55" i="39" s="1"/>
  <c r="AF15" i="39"/>
  <c r="AF52" i="39"/>
  <c r="Z106" i="39"/>
  <c r="AF100" i="39"/>
  <c r="AF106" i="39" s="1"/>
  <c r="AF103" i="39"/>
  <c r="AF118" i="39"/>
  <c r="AF82" i="39"/>
  <c r="AA78" i="39"/>
  <c r="AF46" i="39"/>
  <c r="AF49" i="39" s="1"/>
  <c r="Z49" i="39"/>
  <c r="AF119" i="39"/>
  <c r="AB64" i="39"/>
  <c r="AF63" i="39"/>
  <c r="AA55" i="39"/>
  <c r="AF26" i="39"/>
  <c r="AF96" i="39"/>
  <c r="AB79" i="39"/>
  <c r="AB85" i="39" s="1"/>
  <c r="Z79" i="39"/>
  <c r="V85" i="39"/>
  <c r="AA79" i="39"/>
  <c r="AA85" i="39" s="1"/>
  <c r="AF62" i="39"/>
  <c r="AA64" i="39"/>
  <c r="AF111" i="39"/>
  <c r="AA113" i="39"/>
  <c r="AF77" i="39"/>
  <c r="AF61" i="39"/>
  <c r="AF40" i="39"/>
  <c r="AF115" i="39"/>
  <c r="AB92" i="39"/>
  <c r="AF29" i="39"/>
  <c r="AF12" i="39"/>
  <c r="AF13" i="39" s="1"/>
  <c r="Z13" i="39"/>
  <c r="AF102" i="39"/>
  <c r="AA41" i="39"/>
  <c r="Z71" i="39"/>
  <c r="Z121" i="39"/>
  <c r="AF101" i="39"/>
  <c r="AA15" i="43"/>
  <c r="AS15" i="43" s="1"/>
  <c r="Z15" i="43"/>
  <c r="AQ15" i="43"/>
  <c r="AF15" i="43"/>
  <c r="AO15" i="43" s="1"/>
  <c r="AP15" i="43"/>
  <c r="AN15" i="43"/>
  <c r="AV15" i="43" s="1"/>
  <c r="AK209" i="42"/>
  <c r="AJ209" i="42"/>
  <c r="AI209" i="42"/>
  <c r="AH209" i="42"/>
  <c r="AG209" i="42"/>
  <c r="AD209" i="42"/>
  <c r="AC209" i="42"/>
  <c r="X209" i="42"/>
  <c r="W209" i="42"/>
  <c r="U209" i="42"/>
  <c r="T209" i="42"/>
  <c r="R209" i="42"/>
  <c r="Q209" i="42"/>
  <c r="P209" i="42"/>
  <c r="O209" i="42"/>
  <c r="N209" i="42"/>
  <c r="M209" i="42"/>
  <c r="L209" i="42"/>
  <c r="K209" i="42"/>
  <c r="J209" i="42"/>
  <c r="I209" i="42"/>
  <c r="AK208" i="42"/>
  <c r="AJ208" i="42"/>
  <c r="AI208" i="42"/>
  <c r="AH208" i="42"/>
  <c r="AG208" i="42"/>
  <c r="AD208" i="42"/>
  <c r="AC208" i="42"/>
  <c r="X208" i="42"/>
  <c r="W208" i="42"/>
  <c r="U208" i="42"/>
  <c r="T208" i="42"/>
  <c r="R208" i="42"/>
  <c r="Q208" i="42"/>
  <c r="P208" i="42"/>
  <c r="O208" i="42"/>
  <c r="N208" i="42"/>
  <c r="M208" i="42"/>
  <c r="L208" i="42"/>
  <c r="K208" i="42"/>
  <c r="J208" i="42"/>
  <c r="I208" i="42"/>
  <c r="AK207" i="42"/>
  <c r="AJ207" i="42"/>
  <c r="AI207" i="42"/>
  <c r="AH207" i="42"/>
  <c r="AG207" i="42"/>
  <c r="AD207" i="42"/>
  <c r="AC207" i="42"/>
  <c r="X207" i="42"/>
  <c r="W207" i="42"/>
  <c r="U207" i="42"/>
  <c r="T207" i="42"/>
  <c r="R207" i="42"/>
  <c r="Q207" i="42"/>
  <c r="P207" i="42"/>
  <c r="O207" i="42"/>
  <c r="N207" i="42"/>
  <c r="M207" i="42"/>
  <c r="L207" i="42"/>
  <c r="K207" i="42"/>
  <c r="J207" i="42"/>
  <c r="I207" i="42"/>
  <c r="AK206" i="42"/>
  <c r="AJ206" i="42"/>
  <c r="AI206" i="42"/>
  <c r="AH206" i="42"/>
  <c r="AG206" i="42"/>
  <c r="AD206" i="42"/>
  <c r="AC206" i="42"/>
  <c r="X206" i="42"/>
  <c r="W206" i="42"/>
  <c r="U206" i="42"/>
  <c r="T206" i="42"/>
  <c r="R206" i="42"/>
  <c r="Q206" i="42"/>
  <c r="P206" i="42"/>
  <c r="O206" i="42"/>
  <c r="N206" i="42"/>
  <c r="M206" i="42"/>
  <c r="L206" i="42"/>
  <c r="K206" i="42"/>
  <c r="J206" i="42"/>
  <c r="I206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AK203" i="42"/>
  <c r="AJ203" i="42"/>
  <c r="AI203" i="42"/>
  <c r="AH203" i="42"/>
  <c r="AG203" i="42"/>
  <c r="AD203" i="42"/>
  <c r="AC203" i="42"/>
  <c r="X203" i="42"/>
  <c r="W203" i="42"/>
  <c r="U203" i="42"/>
  <c r="T203" i="42"/>
  <c r="R203" i="42"/>
  <c r="Q203" i="42"/>
  <c r="P203" i="42"/>
  <c r="O203" i="42"/>
  <c r="N203" i="42"/>
  <c r="M203" i="42"/>
  <c r="L203" i="42"/>
  <c r="K203" i="42"/>
  <c r="J203" i="42"/>
  <c r="I203" i="42"/>
  <c r="AK202" i="42"/>
  <c r="AJ202" i="42"/>
  <c r="AI202" i="42"/>
  <c r="AH202" i="42"/>
  <c r="AG202" i="42"/>
  <c r="AD202" i="42"/>
  <c r="AC202" i="42"/>
  <c r="X202" i="42"/>
  <c r="W202" i="42"/>
  <c r="U202" i="42"/>
  <c r="T202" i="42"/>
  <c r="R202" i="42"/>
  <c r="Q202" i="42"/>
  <c r="P202" i="42"/>
  <c r="O202" i="42"/>
  <c r="N202" i="42"/>
  <c r="M202" i="42"/>
  <c r="L202" i="42"/>
  <c r="K202" i="42"/>
  <c r="J202" i="42"/>
  <c r="I202" i="42"/>
  <c r="AK201" i="42"/>
  <c r="AJ201" i="42"/>
  <c r="AI201" i="42"/>
  <c r="AH201" i="42"/>
  <c r="AG201" i="42"/>
  <c r="AD201" i="42"/>
  <c r="AC201" i="42"/>
  <c r="X201" i="42"/>
  <c r="W201" i="42"/>
  <c r="U201" i="42"/>
  <c r="T201" i="42"/>
  <c r="R201" i="42"/>
  <c r="Q201" i="42"/>
  <c r="P201" i="42"/>
  <c r="O201" i="42"/>
  <c r="N201" i="42"/>
  <c r="M201" i="42"/>
  <c r="L201" i="42"/>
  <c r="K201" i="42"/>
  <c r="J201" i="42"/>
  <c r="I201" i="42"/>
  <c r="AK200" i="42"/>
  <c r="AJ200" i="42"/>
  <c r="AI200" i="42"/>
  <c r="AH200" i="42"/>
  <c r="AG200" i="42"/>
  <c r="AD200" i="42"/>
  <c r="AC200" i="42"/>
  <c r="X200" i="42"/>
  <c r="W200" i="42"/>
  <c r="U200" i="42"/>
  <c r="T200" i="42"/>
  <c r="R200" i="42"/>
  <c r="Q200" i="42"/>
  <c r="P200" i="42"/>
  <c r="O200" i="42"/>
  <c r="N200" i="42"/>
  <c r="M200" i="42"/>
  <c r="L200" i="42"/>
  <c r="K200" i="42"/>
  <c r="J200" i="42"/>
  <c r="I200" i="42"/>
  <c r="R196" i="42"/>
  <c r="K22" i="45" s="1"/>
  <c r="Q196" i="42"/>
  <c r="P196" i="42"/>
  <c r="I22" i="45" s="1"/>
  <c r="O196" i="42"/>
  <c r="H22" i="45" s="1"/>
  <c r="N196" i="42"/>
  <c r="G22" i="45" s="1"/>
  <c r="M196" i="42"/>
  <c r="F22" i="45" s="1"/>
  <c r="L196" i="42"/>
  <c r="E22" i="45" s="1"/>
  <c r="K196" i="42"/>
  <c r="D22" i="45" s="1"/>
  <c r="J196" i="42"/>
  <c r="C22" i="45" s="1"/>
  <c r="I196" i="42"/>
  <c r="B22" i="45" s="1"/>
  <c r="AW194" i="42"/>
  <c r="AR194" i="42"/>
  <c r="AV194" i="42"/>
  <c r="AX194" i="42"/>
  <c r="AU194" i="42"/>
  <c r="AT194" i="42"/>
  <c r="AX193" i="42"/>
  <c r="AW193" i="42"/>
  <c r="AS193" i="42"/>
  <c r="AR193" i="42"/>
  <c r="AV193" i="42"/>
  <c r="AU193" i="42"/>
  <c r="AQ193" i="42"/>
  <c r="AU192" i="42"/>
  <c r="AR192" i="42"/>
  <c r="AQ192" i="42"/>
  <c r="AX192" i="42"/>
  <c r="AS192" i="42"/>
  <c r="AR191" i="42"/>
  <c r="AQ191" i="42"/>
  <c r="AX191" i="42"/>
  <c r="AW191" i="42"/>
  <c r="AU191" i="42"/>
  <c r="AT191" i="42"/>
  <c r="AU190" i="42"/>
  <c r="AR190" i="42"/>
  <c r="AR195" i="42" s="1"/>
  <c r="AV190" i="42"/>
  <c r="AX190" i="42"/>
  <c r="AW190" i="42"/>
  <c r="AQ190" i="42"/>
  <c r="AW189" i="42"/>
  <c r="AU189" i="42"/>
  <c r="AR189" i="42"/>
  <c r="AQ189" i="42"/>
  <c r="AX187" i="42"/>
  <c r="AW187" i="42"/>
  <c r="AR187" i="42"/>
  <c r="AV187" i="42"/>
  <c r="AU187" i="42"/>
  <c r="AQ187" i="42"/>
  <c r="AX186" i="42"/>
  <c r="AU186" i="42"/>
  <c r="AR186" i="42"/>
  <c r="AQ186" i="42"/>
  <c r="AS186" i="42"/>
  <c r="AR185" i="42"/>
  <c r="AR188" i="42" s="1"/>
  <c r="AV185" i="42"/>
  <c r="AW185" i="42"/>
  <c r="AU185" i="42"/>
  <c r="AS185" i="42"/>
  <c r="AQ185" i="42"/>
  <c r="AW184" i="42"/>
  <c r="AR184" i="42"/>
  <c r="AQ184" i="42"/>
  <c r="AU184" i="42"/>
  <c r="AT184" i="42"/>
  <c r="AX183" i="42"/>
  <c r="AR183" i="42"/>
  <c r="AX181" i="42"/>
  <c r="AU181" i="42"/>
  <c r="AR181" i="42"/>
  <c r="AQ181" i="42"/>
  <c r="AS181" i="42"/>
  <c r="AR180" i="42"/>
  <c r="AV180" i="42"/>
  <c r="AX180" i="42"/>
  <c r="AW180" i="42"/>
  <c r="AU180" i="42"/>
  <c r="AT180" i="42"/>
  <c r="AS180" i="42"/>
  <c r="AQ180" i="42"/>
  <c r="AW179" i="42"/>
  <c r="AR179" i="42"/>
  <c r="AQ179" i="42"/>
  <c r="AV179" i="42"/>
  <c r="AX179" i="42"/>
  <c r="AU179" i="42"/>
  <c r="AT179" i="42"/>
  <c r="AX178" i="42"/>
  <c r="AT178" i="42"/>
  <c r="AR178" i="42"/>
  <c r="AP178" i="42"/>
  <c r="AU178" i="42"/>
  <c r="AX177" i="42"/>
  <c r="AW177" i="42"/>
  <c r="AR177" i="42"/>
  <c r="AX175" i="42"/>
  <c r="AU175" i="42"/>
  <c r="AR175" i="42"/>
  <c r="AQ175" i="42"/>
  <c r="AP175" i="42"/>
  <c r="AT175" i="42"/>
  <c r="AR174" i="42"/>
  <c r="AW174" i="42"/>
  <c r="AQ174" i="42"/>
  <c r="AW173" i="42"/>
  <c r="AR173" i="42"/>
  <c r="AV173" i="42"/>
  <c r="AX173" i="42"/>
  <c r="AU173" i="42"/>
  <c r="AQ173" i="42"/>
  <c r="AT173" i="42"/>
  <c r="AX172" i="42"/>
  <c r="AS172" i="42"/>
  <c r="AR172" i="42"/>
  <c r="AP172" i="42"/>
  <c r="AU172" i="42"/>
  <c r="AO172" i="42"/>
  <c r="AQ172" i="42"/>
  <c r="AT172" i="42"/>
  <c r="AU171" i="42"/>
  <c r="AR171" i="42"/>
  <c r="AQ171" i="42"/>
  <c r="AX171" i="42"/>
  <c r="AS171" i="42"/>
  <c r="AR170" i="42"/>
  <c r="AQ170" i="42"/>
  <c r="AX170" i="42"/>
  <c r="AW170" i="42"/>
  <c r="AU170" i="42"/>
  <c r="AW168" i="42"/>
  <c r="AV168" i="42"/>
  <c r="AU168" i="42"/>
  <c r="AR168" i="42"/>
  <c r="AX168" i="42"/>
  <c r="AQ168" i="42"/>
  <c r="AX167" i="42"/>
  <c r="AW167" i="42"/>
  <c r="AR167" i="42"/>
  <c r="AV167" i="42"/>
  <c r="AU167" i="42"/>
  <c r="AQ167" i="42"/>
  <c r="AW166" i="42"/>
  <c r="AU166" i="42"/>
  <c r="AR166" i="42"/>
  <c r="AQ166" i="42"/>
  <c r="AX166" i="42"/>
  <c r="AP166" i="42"/>
  <c r="AU165" i="42"/>
  <c r="AR165" i="42"/>
  <c r="AR169" i="42" s="1"/>
  <c r="AX165" i="42"/>
  <c r="AQ165" i="42"/>
  <c r="AP165" i="42"/>
  <c r="AW164" i="42"/>
  <c r="AU164" i="42"/>
  <c r="AR164" i="42"/>
  <c r="AT164" i="42"/>
  <c r="AX162" i="42"/>
  <c r="AT162" i="42"/>
  <c r="AR162" i="42"/>
  <c r="AP162" i="42"/>
  <c r="AU162" i="42"/>
  <c r="AS162" i="42"/>
  <c r="AQ162" i="42"/>
  <c r="AW161" i="42"/>
  <c r="AU161" i="42"/>
  <c r="AR161" i="42"/>
  <c r="AQ161" i="42"/>
  <c r="AR159" i="42"/>
  <c r="AX159" i="42"/>
  <c r="AU159" i="42"/>
  <c r="AQ159" i="42"/>
  <c r="AW158" i="42"/>
  <c r="AV158" i="42"/>
  <c r="AU158" i="42"/>
  <c r="AR158" i="42"/>
  <c r="AX158" i="42"/>
  <c r="AQ158" i="42"/>
  <c r="AX157" i="42"/>
  <c r="AR157" i="42"/>
  <c r="AV157" i="42"/>
  <c r="AU157" i="42"/>
  <c r="AQ157" i="42"/>
  <c r="AX156" i="42"/>
  <c r="AU156" i="42"/>
  <c r="AR156" i="42"/>
  <c r="AQ156" i="42"/>
  <c r="AW156" i="42"/>
  <c r="AP156" i="42"/>
  <c r="AU155" i="42"/>
  <c r="AR155" i="42"/>
  <c r="AP155" i="42"/>
  <c r="AW153" i="42"/>
  <c r="AR153" i="42"/>
  <c r="AR154" i="42" s="1"/>
  <c r="AQ153" i="42"/>
  <c r="AX152" i="42"/>
  <c r="AR152" i="42"/>
  <c r="AU152" i="42"/>
  <c r="AX150" i="42"/>
  <c r="AU150" i="42"/>
  <c r="AT150" i="42"/>
  <c r="AR150" i="42"/>
  <c r="AQ150" i="42"/>
  <c r="AP150" i="42"/>
  <c r="AS150" i="42"/>
  <c r="AX149" i="42"/>
  <c r="AR149" i="42"/>
  <c r="AQ149" i="42"/>
  <c r="AV149" i="42"/>
  <c r="AW149" i="42"/>
  <c r="AU149" i="42"/>
  <c r="AX148" i="42"/>
  <c r="AR148" i="42"/>
  <c r="AQ148" i="42"/>
  <c r="AW147" i="42"/>
  <c r="AU147" i="42"/>
  <c r="AR147" i="42"/>
  <c r="AQ147" i="42"/>
  <c r="AS147" i="42"/>
  <c r="AU145" i="42"/>
  <c r="AU146" i="42" s="1"/>
  <c r="AR145" i="42"/>
  <c r="AV145" i="42"/>
  <c r="AW145" i="42"/>
  <c r="AQ145" i="42"/>
  <c r="AW144" i="42"/>
  <c r="AU144" i="42"/>
  <c r="AR144" i="42"/>
  <c r="AR146" i="42" s="1"/>
  <c r="AX142" i="42"/>
  <c r="AW142" i="42"/>
  <c r="AT142" i="42"/>
  <c r="AR142" i="42"/>
  <c r="AV142" i="42"/>
  <c r="AU142" i="42"/>
  <c r="AS142" i="42"/>
  <c r="AQ142" i="42"/>
  <c r="AX141" i="42"/>
  <c r="AU141" i="42"/>
  <c r="AS141" i="42"/>
  <c r="AR141" i="42"/>
  <c r="AQ141" i="42"/>
  <c r="AR140" i="42"/>
  <c r="AQ140" i="42"/>
  <c r="AX140" i="42"/>
  <c r="AU140" i="42"/>
  <c r="AW139" i="42"/>
  <c r="AR139" i="42"/>
  <c r="AQ139" i="42"/>
  <c r="AV139" i="42"/>
  <c r="AX139" i="42"/>
  <c r="AU139" i="42"/>
  <c r="AX138" i="42"/>
  <c r="AR138" i="42"/>
  <c r="AW138" i="42"/>
  <c r="AU138" i="42"/>
  <c r="AQ138" i="42"/>
  <c r="AP138" i="42"/>
  <c r="AW137" i="42"/>
  <c r="AU137" i="42"/>
  <c r="AR137" i="42"/>
  <c r="AR143" i="42" s="1"/>
  <c r="AQ137" i="42"/>
  <c r="AO137" i="42"/>
  <c r="AU135" i="42"/>
  <c r="AR135" i="42"/>
  <c r="AW135" i="42"/>
  <c r="AQ135" i="42"/>
  <c r="AP135" i="42"/>
  <c r="AW134" i="42"/>
  <c r="AU134" i="42"/>
  <c r="AR134" i="42"/>
  <c r="AX132" i="42"/>
  <c r="AW132" i="42"/>
  <c r="AT132" i="42"/>
  <c r="AR132" i="42"/>
  <c r="AR133" i="42" s="1"/>
  <c r="AV132" i="42"/>
  <c r="AU132" i="42"/>
  <c r="AS132" i="42"/>
  <c r="AX131" i="42"/>
  <c r="AX133" i="42" s="1"/>
  <c r="AU131" i="42"/>
  <c r="AR131" i="42"/>
  <c r="AQ131" i="42"/>
  <c r="AR129" i="42"/>
  <c r="AX129" i="42"/>
  <c r="AW129" i="42"/>
  <c r="AU129" i="42"/>
  <c r="AQ129" i="42"/>
  <c r="AT129" i="42"/>
  <c r="AW128" i="42"/>
  <c r="AR128" i="42"/>
  <c r="AQ128" i="42"/>
  <c r="AV128" i="42"/>
  <c r="AX128" i="42"/>
  <c r="AU128" i="42"/>
  <c r="AX127" i="42"/>
  <c r="AV127" i="42"/>
  <c r="AR127" i="42"/>
  <c r="AP127" i="42"/>
  <c r="AW127" i="42"/>
  <c r="AU127" i="42"/>
  <c r="AQ127" i="42"/>
  <c r="AW126" i="42"/>
  <c r="AU126" i="42"/>
  <c r="AR126" i="42"/>
  <c r="AQ126" i="42"/>
  <c r="AX126" i="42"/>
  <c r="AR125" i="42"/>
  <c r="AP125" i="42"/>
  <c r="AW125" i="42"/>
  <c r="AW123" i="42"/>
  <c r="AU123" i="42"/>
  <c r="AR123" i="42"/>
  <c r="AQ123" i="42"/>
  <c r="AX123" i="42"/>
  <c r="AT123" i="42"/>
  <c r="AX122" i="42"/>
  <c r="AR122" i="42"/>
  <c r="AU122" i="42"/>
  <c r="AQ122" i="42"/>
  <c r="AW121" i="42"/>
  <c r="AU121" i="42"/>
  <c r="AR121" i="42"/>
  <c r="AR124" i="42" s="1"/>
  <c r="AQ121" i="42"/>
  <c r="AQ124" i="42" s="1"/>
  <c r="AX119" i="42"/>
  <c r="AR119" i="42"/>
  <c r="AW119" i="42"/>
  <c r="AU119" i="42"/>
  <c r="AQ119" i="42"/>
  <c r="AP119" i="42"/>
  <c r="AW118" i="42"/>
  <c r="AU118" i="42"/>
  <c r="AR118" i="42"/>
  <c r="AQ118" i="42"/>
  <c r="AX118" i="42"/>
  <c r="AT118" i="42"/>
  <c r="AX117" i="42"/>
  <c r="AR117" i="42"/>
  <c r="AU117" i="42"/>
  <c r="AQ117" i="42"/>
  <c r="AW116" i="42"/>
  <c r="AU116" i="42"/>
  <c r="AR116" i="42"/>
  <c r="AQ116" i="42"/>
  <c r="AT116" i="42"/>
  <c r="AX115" i="42"/>
  <c r="AR115" i="42"/>
  <c r="AW115" i="42"/>
  <c r="AW113" i="42"/>
  <c r="AU113" i="42"/>
  <c r="AR113" i="42"/>
  <c r="AQ113" i="42"/>
  <c r="AX113" i="42"/>
  <c r="AV113" i="42"/>
  <c r="AR112" i="42"/>
  <c r="AU112" i="42"/>
  <c r="AU114" i="42" s="1"/>
  <c r="AQ112" i="42"/>
  <c r="AW110" i="42"/>
  <c r="AU110" i="42"/>
  <c r="AR110" i="42"/>
  <c r="AV110" i="42"/>
  <c r="AX110" i="42"/>
  <c r="AQ110" i="42"/>
  <c r="AT110" i="42"/>
  <c r="AX109" i="42"/>
  <c r="AW109" i="42"/>
  <c r="AR109" i="42"/>
  <c r="AV109" i="42"/>
  <c r="AU109" i="42"/>
  <c r="AQ109" i="42"/>
  <c r="AX108" i="42"/>
  <c r="AU108" i="42"/>
  <c r="AR108" i="42"/>
  <c r="AQ108" i="42"/>
  <c r="AU107" i="42"/>
  <c r="AR107" i="42"/>
  <c r="AQ107" i="42"/>
  <c r="AX107" i="42"/>
  <c r="AW107" i="42"/>
  <c r="AT107" i="42"/>
  <c r="AW106" i="42"/>
  <c r="AV106" i="42"/>
  <c r="AR106" i="42"/>
  <c r="AX106" i="42"/>
  <c r="AU106" i="42"/>
  <c r="AQ106" i="42"/>
  <c r="AT106" i="42"/>
  <c r="AX105" i="42"/>
  <c r="AW105" i="42"/>
  <c r="AR105" i="42"/>
  <c r="AR111" i="42" s="1"/>
  <c r="AV105" i="42"/>
  <c r="AU105" i="42"/>
  <c r="AU111" i="42" s="1"/>
  <c r="AQ105" i="42"/>
  <c r="AX103" i="42"/>
  <c r="AU103" i="42"/>
  <c r="AR103" i="42"/>
  <c r="AQ103" i="42"/>
  <c r="AP103" i="42"/>
  <c r="AS103" i="42"/>
  <c r="AU102" i="42"/>
  <c r="AR102" i="42"/>
  <c r="AQ102" i="42"/>
  <c r="AX102" i="42"/>
  <c r="AW102" i="42"/>
  <c r="AW101" i="42"/>
  <c r="AR101" i="42"/>
  <c r="AV101" i="42"/>
  <c r="AX101" i="42"/>
  <c r="AU101" i="42"/>
  <c r="AQ101" i="42"/>
  <c r="AT101" i="42"/>
  <c r="AX100" i="42"/>
  <c r="AW100" i="42"/>
  <c r="AR100" i="42"/>
  <c r="AV100" i="42"/>
  <c r="AU100" i="42"/>
  <c r="AX99" i="42"/>
  <c r="AU99" i="42"/>
  <c r="AR99" i="42"/>
  <c r="AQ99" i="42"/>
  <c r="AU97" i="42"/>
  <c r="AR97" i="42"/>
  <c r="AQ97" i="42"/>
  <c r="AX97" i="42"/>
  <c r="AT97" i="42"/>
  <c r="AW96" i="42"/>
  <c r="AV96" i="42"/>
  <c r="AR96" i="42"/>
  <c r="AR98" i="42" s="1"/>
  <c r="AX96" i="42"/>
  <c r="AU96" i="42"/>
  <c r="AX94" i="42"/>
  <c r="AW94" i="42"/>
  <c r="AR94" i="42"/>
  <c r="AV94" i="42"/>
  <c r="AU94" i="42"/>
  <c r="AQ94" i="42"/>
  <c r="AX93" i="42"/>
  <c r="AU93" i="42"/>
  <c r="AR93" i="42"/>
  <c r="AQ93" i="42"/>
  <c r="AU92" i="42"/>
  <c r="AR92" i="42"/>
  <c r="AQ92" i="42"/>
  <c r="AX92" i="42"/>
  <c r="AW92" i="42"/>
  <c r="AT92" i="42"/>
  <c r="AW91" i="42"/>
  <c r="AV91" i="42"/>
  <c r="AR91" i="42"/>
  <c r="AX91" i="42"/>
  <c r="AU91" i="42"/>
  <c r="AQ91" i="42"/>
  <c r="AT91" i="42"/>
  <c r="AX90" i="42"/>
  <c r="AW90" i="42"/>
  <c r="AR90" i="42"/>
  <c r="AR95" i="42" s="1"/>
  <c r="AQ90" i="42"/>
  <c r="AX88" i="42"/>
  <c r="AR88" i="42"/>
  <c r="AU88" i="42"/>
  <c r="AQ88" i="42"/>
  <c r="AP88" i="42"/>
  <c r="AU87" i="42"/>
  <c r="AR87" i="42"/>
  <c r="AQ87" i="42"/>
  <c r="AX87" i="42"/>
  <c r="AW87" i="42"/>
  <c r="AT87" i="42"/>
  <c r="AV86" i="42"/>
  <c r="AR86" i="42"/>
  <c r="AR89" i="42" s="1"/>
  <c r="AX86" i="42"/>
  <c r="AW86" i="42"/>
  <c r="AW84" i="42"/>
  <c r="AR84" i="42"/>
  <c r="AV84" i="42"/>
  <c r="AX84" i="42"/>
  <c r="AU84" i="42"/>
  <c r="AQ84" i="42"/>
  <c r="AX83" i="42"/>
  <c r="AR83" i="42"/>
  <c r="AU83" i="42"/>
  <c r="AQ83" i="42"/>
  <c r="AP83" i="42"/>
  <c r="AU82" i="42"/>
  <c r="AR82" i="42"/>
  <c r="AQ82" i="42"/>
  <c r="AX82" i="42"/>
  <c r="AW82" i="42"/>
  <c r="AT82" i="42"/>
  <c r="AV81" i="42"/>
  <c r="AR81" i="42"/>
  <c r="AX81" i="42"/>
  <c r="AW81" i="42"/>
  <c r="AU81" i="42"/>
  <c r="AQ81" i="42"/>
  <c r="AT81" i="42"/>
  <c r="AW80" i="42"/>
  <c r="AR80" i="42"/>
  <c r="AV80" i="42"/>
  <c r="AX80" i="42"/>
  <c r="AU80" i="42"/>
  <c r="AQ80" i="42"/>
  <c r="AX79" i="42"/>
  <c r="AW79" i="42"/>
  <c r="AR79" i="42"/>
  <c r="AP79" i="42"/>
  <c r="AT79" i="42"/>
  <c r="AS79" i="42"/>
  <c r="AQ79" i="42"/>
  <c r="AX77" i="42"/>
  <c r="AX208" i="42" s="1"/>
  <c r="AW77" i="42"/>
  <c r="AW208" i="42" s="1"/>
  <c r="AR77" i="42"/>
  <c r="AR208" i="42" s="1"/>
  <c r="AM208" i="42"/>
  <c r="AE208" i="42"/>
  <c r="Y208" i="42"/>
  <c r="AX75" i="42"/>
  <c r="AU75" i="42"/>
  <c r="AR75" i="42"/>
  <c r="AQ75" i="42"/>
  <c r="AU74" i="42"/>
  <c r="AR74" i="42"/>
  <c r="AX74" i="42"/>
  <c r="AW74" i="42"/>
  <c r="AQ74" i="42"/>
  <c r="AW73" i="42"/>
  <c r="AR73" i="42"/>
  <c r="AV73" i="42"/>
  <c r="AX73" i="42"/>
  <c r="AU73" i="42"/>
  <c r="AQ73" i="42"/>
  <c r="AT73" i="42"/>
  <c r="AX72" i="42"/>
  <c r="AR72" i="42"/>
  <c r="AV72" i="42"/>
  <c r="AU72" i="42"/>
  <c r="AS72" i="42"/>
  <c r="AO72" i="42"/>
  <c r="AQ72" i="42"/>
  <c r="AT72" i="42"/>
  <c r="AX71" i="42"/>
  <c r="AU71" i="42"/>
  <c r="AR71" i="42"/>
  <c r="AQ71" i="42"/>
  <c r="AR70" i="42"/>
  <c r="AX70" i="42"/>
  <c r="AW70" i="42"/>
  <c r="AQ70" i="42"/>
  <c r="AW68" i="42"/>
  <c r="AR68" i="42"/>
  <c r="AV68" i="42"/>
  <c r="AX68" i="42"/>
  <c r="AU68" i="42"/>
  <c r="AQ68" i="42"/>
  <c r="AT68" i="42"/>
  <c r="AX67" i="42"/>
  <c r="AW67" i="42"/>
  <c r="AR67" i="42"/>
  <c r="AP67" i="42"/>
  <c r="AV67" i="42"/>
  <c r="AO67" i="42"/>
  <c r="AU67" i="42"/>
  <c r="AS67" i="42"/>
  <c r="AQ67" i="42"/>
  <c r="AT67" i="42"/>
  <c r="AU66" i="42"/>
  <c r="AR66" i="42"/>
  <c r="AQ66" i="42"/>
  <c r="AX66" i="42"/>
  <c r="AR65" i="42"/>
  <c r="AQ65" i="42"/>
  <c r="AT65" i="42"/>
  <c r="AW63" i="42"/>
  <c r="AR63" i="42"/>
  <c r="AR64" i="42" s="1"/>
  <c r="AV63" i="42"/>
  <c r="AX63" i="42"/>
  <c r="AU63" i="42"/>
  <c r="AQ63" i="42"/>
  <c r="AT63" i="42"/>
  <c r="AX62" i="42"/>
  <c r="AW62" i="42"/>
  <c r="AR62" i="42"/>
  <c r="AV62" i="42"/>
  <c r="AU62" i="42"/>
  <c r="AQ62" i="42"/>
  <c r="AT62" i="42"/>
  <c r="AU61" i="42"/>
  <c r="AR61" i="42"/>
  <c r="AQ61" i="42"/>
  <c r="AX61" i="42"/>
  <c r="AU60" i="42"/>
  <c r="AR60" i="42"/>
  <c r="AX60" i="42"/>
  <c r="AW60" i="42"/>
  <c r="AT60" i="42"/>
  <c r="AQ60" i="42"/>
  <c r="AW59" i="42"/>
  <c r="AR59" i="42"/>
  <c r="AV59" i="42"/>
  <c r="AX59" i="42"/>
  <c r="AX57" i="42"/>
  <c r="AW57" i="42"/>
  <c r="AR57" i="42"/>
  <c r="AV57" i="42"/>
  <c r="AU57" i="42"/>
  <c r="AQ57" i="42"/>
  <c r="AT57" i="42"/>
  <c r="AU56" i="42"/>
  <c r="AR56" i="42"/>
  <c r="AQ56" i="42"/>
  <c r="AX56" i="42"/>
  <c r="AU55" i="42"/>
  <c r="AR55" i="42"/>
  <c r="AX55" i="42"/>
  <c r="AW55" i="42"/>
  <c r="AQ55" i="42"/>
  <c r="AW54" i="42"/>
  <c r="AR54" i="42"/>
  <c r="AQ54" i="42"/>
  <c r="AX54" i="42"/>
  <c r="AU54" i="42"/>
  <c r="AT54" i="42"/>
  <c r="AX53" i="42"/>
  <c r="AR53" i="42"/>
  <c r="AW53" i="42"/>
  <c r="AQ53" i="42"/>
  <c r="AX51" i="42"/>
  <c r="AU51" i="42"/>
  <c r="AR51" i="42"/>
  <c r="AQ51" i="42"/>
  <c r="AV51" i="42"/>
  <c r="AR50" i="42"/>
  <c r="Y207" i="42"/>
  <c r="AW49" i="42"/>
  <c r="AR49" i="42"/>
  <c r="AQ49" i="42"/>
  <c r="AX49" i="42"/>
  <c r="AU49" i="42"/>
  <c r="AT49" i="42"/>
  <c r="AX48" i="42"/>
  <c r="AR48" i="42"/>
  <c r="AV48" i="42"/>
  <c r="AW48" i="42"/>
  <c r="AU48" i="42"/>
  <c r="AQ48" i="42"/>
  <c r="AT48" i="42"/>
  <c r="AU47" i="42"/>
  <c r="AR47" i="42"/>
  <c r="AQ47" i="42"/>
  <c r="AX45" i="42"/>
  <c r="AX209" i="42" s="1"/>
  <c r="AU45" i="42"/>
  <c r="AU209" i="42" s="1"/>
  <c r="AR45" i="42"/>
  <c r="AR209" i="42" s="1"/>
  <c r="AQ45" i="42"/>
  <c r="AQ209" i="42" s="1"/>
  <c r="AM209" i="42"/>
  <c r="AL209" i="42"/>
  <c r="AE209" i="42"/>
  <c r="Y209" i="42"/>
  <c r="S209" i="42"/>
  <c r="AW43" i="42"/>
  <c r="AU43" i="42"/>
  <c r="AR43" i="42"/>
  <c r="AQ43" i="42"/>
  <c r="AX43" i="42"/>
  <c r="AP43" i="42"/>
  <c r="AX42" i="42"/>
  <c r="AW42" i="42"/>
  <c r="AW44" i="42" s="1"/>
  <c r="AR42" i="42"/>
  <c r="AR44" i="42" s="1"/>
  <c r="AV42" i="42"/>
  <c r="AU42" i="42"/>
  <c r="AU44" i="42" s="1"/>
  <c r="AQ42" i="42"/>
  <c r="AX40" i="42"/>
  <c r="AW40" i="42"/>
  <c r="AU40" i="42"/>
  <c r="AR40" i="42"/>
  <c r="AQ40" i="42"/>
  <c r="AV40" i="42"/>
  <c r="AX39" i="42"/>
  <c r="AU39" i="42"/>
  <c r="AR39" i="42"/>
  <c r="AR41" i="42" s="1"/>
  <c r="AQ39" i="42"/>
  <c r="AW39" i="42"/>
  <c r="AW37" i="42"/>
  <c r="AU37" i="42"/>
  <c r="AR37" i="42"/>
  <c r="AQ37" i="42"/>
  <c r="AX37" i="42"/>
  <c r="AP37" i="42"/>
  <c r="AX36" i="42"/>
  <c r="AW36" i="42"/>
  <c r="AR36" i="42"/>
  <c r="AV36" i="42"/>
  <c r="AU36" i="42"/>
  <c r="AQ36" i="42"/>
  <c r="AQ38" i="42" s="1"/>
  <c r="AX35" i="42"/>
  <c r="AW35" i="42"/>
  <c r="AU35" i="42"/>
  <c r="AR35" i="42"/>
  <c r="AQ35" i="42"/>
  <c r="AX33" i="42"/>
  <c r="AU33" i="42"/>
  <c r="AR33" i="42"/>
  <c r="AQ33" i="42"/>
  <c r="AW33" i="42"/>
  <c r="AW32" i="42"/>
  <c r="AU32" i="42"/>
  <c r="AR32" i="42"/>
  <c r="AQ32" i="42"/>
  <c r="AX32" i="42"/>
  <c r="AX34" i="42" s="1"/>
  <c r="AP32" i="42"/>
  <c r="AX31" i="42"/>
  <c r="AW31" i="42"/>
  <c r="AR31" i="42"/>
  <c r="AR34" i="42" s="1"/>
  <c r="AU31" i="42"/>
  <c r="AU34" i="42" s="1"/>
  <c r="AX29" i="42"/>
  <c r="AW29" i="42"/>
  <c r="AU29" i="42"/>
  <c r="AR29" i="42"/>
  <c r="AQ29" i="42"/>
  <c r="AV29" i="42"/>
  <c r="AX28" i="42"/>
  <c r="AU28" i="42"/>
  <c r="AR28" i="42"/>
  <c r="AQ28" i="42"/>
  <c r="AW28" i="42"/>
  <c r="AW27" i="42"/>
  <c r="AR27" i="42"/>
  <c r="AR30" i="42" s="1"/>
  <c r="AQ27" i="42"/>
  <c r="AX27" i="42"/>
  <c r="AP27" i="42"/>
  <c r="AX25" i="42"/>
  <c r="AW25" i="42"/>
  <c r="AR25" i="42"/>
  <c r="AV25" i="42"/>
  <c r="AU25" i="42"/>
  <c r="AQ25" i="42"/>
  <c r="AX24" i="42"/>
  <c r="AW24" i="42"/>
  <c r="AU24" i="42"/>
  <c r="AR24" i="42"/>
  <c r="AQ24" i="42"/>
  <c r="AV24" i="42"/>
  <c r="AX23" i="42"/>
  <c r="AU23" i="42"/>
  <c r="AR23" i="42"/>
  <c r="AQ23" i="42"/>
  <c r="AW23" i="42"/>
  <c r="AW21" i="42"/>
  <c r="AU21" i="42"/>
  <c r="AR21" i="42"/>
  <c r="AQ21" i="42"/>
  <c r="AX21" i="42"/>
  <c r="AP21" i="42"/>
  <c r="AX20" i="42"/>
  <c r="AR20" i="42"/>
  <c r="AV20" i="42"/>
  <c r="AW20" i="42"/>
  <c r="AU20" i="42"/>
  <c r="AQ20" i="42"/>
  <c r="AQ22" i="42" s="1"/>
  <c r="AX19" i="42"/>
  <c r="AW19" i="42"/>
  <c r="AU19" i="42"/>
  <c r="AR19" i="42"/>
  <c r="AQ19" i="42"/>
  <c r="AX17" i="42"/>
  <c r="AU17" i="42"/>
  <c r="AR17" i="42"/>
  <c r="AQ17" i="42"/>
  <c r="AW16" i="42"/>
  <c r="AU16" i="42"/>
  <c r="AR16" i="42"/>
  <c r="AQ16" i="42"/>
  <c r="AX15" i="42"/>
  <c r="AW15" i="42"/>
  <c r="AV15" i="42"/>
  <c r="AR15" i="42"/>
  <c r="AU15" i="42"/>
  <c r="AQ15" i="42"/>
  <c r="AX14" i="42"/>
  <c r="AW14" i="42"/>
  <c r="AU14" i="42"/>
  <c r="AR14" i="42"/>
  <c r="AQ14" i="42"/>
  <c r="AL202" i="42"/>
  <c r="S202" i="42"/>
  <c r="AX13" i="42"/>
  <c r="AU13" i="42"/>
  <c r="AR13" i="42"/>
  <c r="AQ13" i="42"/>
  <c r="AW12" i="42"/>
  <c r="AU12" i="42"/>
  <c r="AR12" i="42"/>
  <c r="AQ12" i="42"/>
  <c r="AK155" i="41"/>
  <c r="AJ155" i="41"/>
  <c r="AI155" i="41"/>
  <c r="AH155" i="41"/>
  <c r="AG155" i="41"/>
  <c r="AD155" i="41"/>
  <c r="AC155" i="41"/>
  <c r="AA155" i="41"/>
  <c r="X155" i="41"/>
  <c r="W155" i="41"/>
  <c r="U155" i="41"/>
  <c r="T155" i="41"/>
  <c r="R155" i="41"/>
  <c r="Q155" i="41"/>
  <c r="P155" i="41"/>
  <c r="O155" i="41"/>
  <c r="N155" i="41"/>
  <c r="M155" i="41"/>
  <c r="L155" i="41"/>
  <c r="K155" i="41"/>
  <c r="J155" i="41"/>
  <c r="I155" i="41"/>
  <c r="AK154" i="41"/>
  <c r="AJ154" i="41"/>
  <c r="AI154" i="41"/>
  <c r="AH154" i="41"/>
  <c r="AG154" i="41"/>
  <c r="AD154" i="41"/>
  <c r="AC154" i="41"/>
  <c r="X154" i="41"/>
  <c r="W154" i="41"/>
  <c r="U154" i="41"/>
  <c r="T154" i="41"/>
  <c r="R154" i="41"/>
  <c r="Q154" i="41"/>
  <c r="P154" i="41"/>
  <c r="O154" i="41"/>
  <c r="N154" i="41"/>
  <c r="M154" i="41"/>
  <c r="L154" i="41"/>
  <c r="K154" i="41"/>
  <c r="J154" i="41"/>
  <c r="I154" i="41"/>
  <c r="AK153" i="41"/>
  <c r="AJ153" i="41"/>
  <c r="AI153" i="41"/>
  <c r="AH153" i="41"/>
  <c r="AG153" i="41"/>
  <c r="AD153" i="41"/>
  <c r="AC153" i="41"/>
  <c r="X153" i="41"/>
  <c r="W153" i="41"/>
  <c r="U153" i="41"/>
  <c r="T153" i="41"/>
  <c r="R153" i="41"/>
  <c r="Q153" i="41"/>
  <c r="P153" i="41"/>
  <c r="O153" i="41"/>
  <c r="N153" i="41"/>
  <c r="M153" i="41"/>
  <c r="L153" i="41"/>
  <c r="K153" i="41"/>
  <c r="J153" i="41"/>
  <c r="I153" i="41"/>
  <c r="AK152" i="41"/>
  <c r="AJ152" i="41"/>
  <c r="AI152" i="41"/>
  <c r="AH152" i="41"/>
  <c r="AG152" i="41"/>
  <c r="AD152" i="41"/>
  <c r="AC152" i="41"/>
  <c r="X152" i="41"/>
  <c r="W152" i="41"/>
  <c r="U152" i="41"/>
  <c r="T152" i="41"/>
  <c r="R152" i="41"/>
  <c r="Q152" i="41"/>
  <c r="P152" i="41"/>
  <c r="O152" i="41"/>
  <c r="N152" i="41"/>
  <c r="M152" i="41"/>
  <c r="L152" i="41"/>
  <c r="K152" i="41"/>
  <c r="J152" i="41"/>
  <c r="I152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AK149" i="41"/>
  <c r="AJ149" i="41"/>
  <c r="AI149" i="41"/>
  <c r="AH149" i="41"/>
  <c r="AG149" i="41"/>
  <c r="AD149" i="41"/>
  <c r="AC149" i="41"/>
  <c r="X149" i="41"/>
  <c r="W149" i="41"/>
  <c r="U149" i="41"/>
  <c r="T149" i="41"/>
  <c r="R149" i="41"/>
  <c r="Q149" i="41"/>
  <c r="P149" i="41"/>
  <c r="O149" i="41"/>
  <c r="N149" i="41"/>
  <c r="M149" i="41"/>
  <c r="L149" i="41"/>
  <c r="K149" i="41"/>
  <c r="J149" i="41"/>
  <c r="I149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AK147" i="41"/>
  <c r="AJ147" i="41"/>
  <c r="AI147" i="41"/>
  <c r="AH147" i="41"/>
  <c r="AG147" i="41"/>
  <c r="AD147" i="41"/>
  <c r="AC147" i="41"/>
  <c r="X147" i="41"/>
  <c r="W147" i="41"/>
  <c r="U147" i="41"/>
  <c r="T147" i="41"/>
  <c r="R147" i="41"/>
  <c r="Q147" i="41"/>
  <c r="P147" i="41"/>
  <c r="O147" i="41"/>
  <c r="N147" i="41"/>
  <c r="M147" i="41"/>
  <c r="L147" i="41"/>
  <c r="K147" i="41"/>
  <c r="J147" i="41"/>
  <c r="I147" i="41"/>
  <c r="AK146" i="41"/>
  <c r="AJ146" i="41"/>
  <c r="AI146" i="41"/>
  <c r="AH146" i="41"/>
  <c r="AG146" i="41"/>
  <c r="AD146" i="41"/>
  <c r="AC146" i="41"/>
  <c r="X146" i="41"/>
  <c r="W146" i="41"/>
  <c r="U146" i="41"/>
  <c r="T146" i="41"/>
  <c r="R146" i="41"/>
  <c r="Q146" i="41"/>
  <c r="P146" i="41"/>
  <c r="O146" i="41"/>
  <c r="O145" i="41" s="1"/>
  <c r="N146" i="41"/>
  <c r="M146" i="41"/>
  <c r="L146" i="41"/>
  <c r="K146" i="41"/>
  <c r="J146" i="41"/>
  <c r="I146" i="41"/>
  <c r="R142" i="41"/>
  <c r="Q142" i="41"/>
  <c r="J21" i="45" s="1"/>
  <c r="P142" i="41"/>
  <c r="I21" i="45" s="1"/>
  <c r="O142" i="41"/>
  <c r="H21" i="45" s="1"/>
  <c r="N142" i="41"/>
  <c r="G21" i="45" s="1"/>
  <c r="M142" i="41"/>
  <c r="F21" i="45" s="1"/>
  <c r="L142" i="41"/>
  <c r="E21" i="45" s="1"/>
  <c r="K142" i="41"/>
  <c r="D21" i="45" s="1"/>
  <c r="J142" i="41"/>
  <c r="I142" i="41"/>
  <c r="B21" i="45" s="1"/>
  <c r="AX140" i="41"/>
  <c r="AR140" i="41"/>
  <c r="AU140" i="41"/>
  <c r="AQ140" i="41"/>
  <c r="AW139" i="41"/>
  <c r="AU139" i="41"/>
  <c r="AR139" i="41"/>
  <c r="AQ139" i="41"/>
  <c r="AT139" i="41"/>
  <c r="AX138" i="41"/>
  <c r="AR138" i="41"/>
  <c r="AU138" i="41"/>
  <c r="AQ138" i="41"/>
  <c r="AW137" i="41"/>
  <c r="AU137" i="41"/>
  <c r="AR137" i="41"/>
  <c r="AQ137" i="41"/>
  <c r="AX137" i="41"/>
  <c r="AV137" i="41"/>
  <c r="AW136" i="41"/>
  <c r="AR136" i="41"/>
  <c r="AQ136" i="41"/>
  <c r="AX136" i="41"/>
  <c r="AU136" i="41"/>
  <c r="AT136" i="41"/>
  <c r="AR135" i="41"/>
  <c r="AW133" i="41"/>
  <c r="AU133" i="41"/>
  <c r="AR133" i="41"/>
  <c r="AQ133" i="41"/>
  <c r="AX133" i="41"/>
  <c r="AU132" i="41"/>
  <c r="AR132" i="41"/>
  <c r="AV132" i="41"/>
  <c r="AX132" i="41"/>
  <c r="AW132" i="41"/>
  <c r="AT132" i="41"/>
  <c r="AQ132" i="41"/>
  <c r="AR131" i="41"/>
  <c r="AX131" i="41"/>
  <c r="AV131" i="41"/>
  <c r="AU131" i="41"/>
  <c r="AX130" i="41"/>
  <c r="AW130" i="41"/>
  <c r="AR130" i="41"/>
  <c r="AR134" i="41" s="1"/>
  <c r="AP130" i="41"/>
  <c r="AU130" i="41"/>
  <c r="AQ130" i="41"/>
  <c r="AU128" i="41"/>
  <c r="AR128" i="41"/>
  <c r="AQ128" i="41"/>
  <c r="AX128" i="41"/>
  <c r="AT128" i="41"/>
  <c r="AR127" i="41"/>
  <c r="AV127" i="41"/>
  <c r="AX127" i="41"/>
  <c r="AW127" i="41"/>
  <c r="AU127" i="41"/>
  <c r="AQ127" i="41"/>
  <c r="AW126" i="41"/>
  <c r="AR126" i="41"/>
  <c r="AR129" i="41" s="1"/>
  <c r="AX126" i="41"/>
  <c r="AQ126" i="41"/>
  <c r="AQ129" i="41" s="1"/>
  <c r="AX124" i="41"/>
  <c r="AR124" i="41"/>
  <c r="AV124" i="41"/>
  <c r="AW124" i="41"/>
  <c r="AU124" i="41"/>
  <c r="AQ124" i="41"/>
  <c r="AU123" i="41"/>
  <c r="AT123" i="41"/>
  <c r="AR123" i="41"/>
  <c r="AQ123" i="41"/>
  <c r="AX123" i="41"/>
  <c r="AO123" i="41"/>
  <c r="AS123" i="41"/>
  <c r="AR122" i="41"/>
  <c r="AW122" i="41"/>
  <c r="AU122" i="41"/>
  <c r="AS122" i="41"/>
  <c r="AQ122" i="41"/>
  <c r="AW121" i="41"/>
  <c r="AR121" i="41"/>
  <c r="AV121" i="41"/>
  <c r="AX121" i="41"/>
  <c r="AU121" i="41"/>
  <c r="AQ121" i="41"/>
  <c r="AR120" i="41"/>
  <c r="AX120" i="41"/>
  <c r="AU120" i="41"/>
  <c r="AQ120" i="41"/>
  <c r="AU119" i="41"/>
  <c r="AR119" i="41"/>
  <c r="AQ119" i="41"/>
  <c r="AP119" i="41"/>
  <c r="AX119" i="41"/>
  <c r="AT119" i="41"/>
  <c r="AS119" i="41"/>
  <c r="AU118" i="41"/>
  <c r="AR118" i="41"/>
  <c r="AQ118" i="41"/>
  <c r="AU116" i="41"/>
  <c r="AR116" i="41"/>
  <c r="AV116" i="41"/>
  <c r="AX116" i="41"/>
  <c r="AW116" i="41"/>
  <c r="AT116" i="41"/>
  <c r="AQ116" i="41"/>
  <c r="AW115" i="41"/>
  <c r="AR115" i="41"/>
  <c r="AV115" i="41"/>
  <c r="AX115" i="41"/>
  <c r="AU115" i="41"/>
  <c r="AQ115" i="41"/>
  <c r="AT115" i="41"/>
  <c r="AX114" i="41"/>
  <c r="AR114" i="41"/>
  <c r="AU114" i="41"/>
  <c r="AQ114" i="41"/>
  <c r="AX113" i="41"/>
  <c r="AU113" i="41"/>
  <c r="AR113" i="41"/>
  <c r="AQ113" i="41"/>
  <c r="AP113" i="41"/>
  <c r="AT113" i="41"/>
  <c r="AS113" i="41"/>
  <c r="AR112" i="41"/>
  <c r="AP112" i="41"/>
  <c r="AX112" i="41"/>
  <c r="AW112" i="41"/>
  <c r="AS112" i="41"/>
  <c r="AQ112" i="41"/>
  <c r="AW111" i="41"/>
  <c r="AU111" i="41"/>
  <c r="AR111" i="41"/>
  <c r="AQ111" i="41"/>
  <c r="AX109" i="41"/>
  <c r="AR109" i="41"/>
  <c r="AP109" i="41"/>
  <c r="AU109" i="41"/>
  <c r="AQ109" i="41"/>
  <c r="AW108" i="41"/>
  <c r="AU108" i="41"/>
  <c r="AR108" i="41"/>
  <c r="AQ108" i="41"/>
  <c r="AX108" i="41"/>
  <c r="AV108" i="41"/>
  <c r="AT108" i="41"/>
  <c r="AX107" i="41"/>
  <c r="AR107" i="41"/>
  <c r="AP107" i="41"/>
  <c r="AV107" i="41"/>
  <c r="AW107" i="41"/>
  <c r="AU107" i="41"/>
  <c r="AS107" i="41"/>
  <c r="AQ107" i="41"/>
  <c r="AW106" i="41"/>
  <c r="AU106" i="41"/>
  <c r="AR106" i="41"/>
  <c r="AQ106" i="41"/>
  <c r="AX105" i="41"/>
  <c r="AR105" i="41"/>
  <c r="AP105" i="41"/>
  <c r="AV105" i="41"/>
  <c r="AW105" i="41"/>
  <c r="AU105" i="41"/>
  <c r="AS105" i="41"/>
  <c r="AW104" i="41"/>
  <c r="AU104" i="41"/>
  <c r="AR104" i="41"/>
  <c r="AQ104" i="41"/>
  <c r="AR103" i="41"/>
  <c r="AX102" i="41"/>
  <c r="AR102" i="41"/>
  <c r="AV102" i="41"/>
  <c r="AW102" i="41"/>
  <c r="AU102" i="41"/>
  <c r="AQ102" i="41"/>
  <c r="AW101" i="41"/>
  <c r="AW103" i="41" s="1"/>
  <c r="AU101" i="41"/>
  <c r="AR101" i="41"/>
  <c r="AQ101" i="41"/>
  <c r="AQ103" i="41" s="1"/>
  <c r="AX99" i="41"/>
  <c r="AR99" i="41"/>
  <c r="AP99" i="41"/>
  <c r="AU99" i="41"/>
  <c r="AW98" i="41"/>
  <c r="AU98" i="41"/>
  <c r="AR98" i="41"/>
  <c r="AQ98" i="41"/>
  <c r="AT98" i="41"/>
  <c r="AX96" i="41"/>
  <c r="AX155" i="41" s="1"/>
  <c r="AR96" i="41"/>
  <c r="AM155" i="41"/>
  <c r="AW94" i="41"/>
  <c r="AR94" i="41"/>
  <c r="AV94" i="41"/>
  <c r="AX94" i="41"/>
  <c r="AU94" i="41"/>
  <c r="AQ94" i="41"/>
  <c r="AX93" i="41"/>
  <c r="AT93" i="41"/>
  <c r="AR93" i="41"/>
  <c r="AP93" i="41"/>
  <c r="AU93" i="41"/>
  <c r="AS93" i="41"/>
  <c r="AO93" i="41"/>
  <c r="AQ93" i="41"/>
  <c r="AW92" i="41"/>
  <c r="AU92" i="41"/>
  <c r="AR92" i="41"/>
  <c r="AQ92" i="41"/>
  <c r="AT92" i="41"/>
  <c r="AR91" i="41"/>
  <c r="AR95" i="41" s="1"/>
  <c r="AP91" i="41"/>
  <c r="AX91" i="41"/>
  <c r="AU91" i="41"/>
  <c r="AQ91" i="41"/>
  <c r="AW90" i="41"/>
  <c r="AV90" i="41"/>
  <c r="AU90" i="41"/>
  <c r="AR90" i="41"/>
  <c r="AX90" i="41"/>
  <c r="AQ90" i="41"/>
  <c r="AX88" i="41"/>
  <c r="AT88" i="41"/>
  <c r="AR88" i="41"/>
  <c r="AP88" i="41"/>
  <c r="AU88" i="41"/>
  <c r="AU87" i="41"/>
  <c r="AR87" i="41"/>
  <c r="AR89" i="41" s="1"/>
  <c r="AQ87" i="41"/>
  <c r="AX87" i="41"/>
  <c r="AV87" i="41"/>
  <c r="AR86" i="41"/>
  <c r="AV86" i="41"/>
  <c r="AW86" i="41"/>
  <c r="AQ86" i="41"/>
  <c r="AW84" i="41"/>
  <c r="AU84" i="41"/>
  <c r="AR84" i="41"/>
  <c r="AQ84" i="41"/>
  <c r="AT84" i="41"/>
  <c r="AX83" i="41"/>
  <c r="AW83" i="41"/>
  <c r="AR83" i="41"/>
  <c r="AV83" i="41"/>
  <c r="AU83" i="41"/>
  <c r="AX82" i="41"/>
  <c r="AU82" i="41"/>
  <c r="AU85" i="41" s="1"/>
  <c r="AR82" i="41"/>
  <c r="AQ82" i="41"/>
  <c r="AX80" i="41"/>
  <c r="AR80" i="41"/>
  <c r="AU80" i="41"/>
  <c r="AS80" i="41"/>
  <c r="AQ80" i="41"/>
  <c r="AX79" i="41"/>
  <c r="AU79" i="41"/>
  <c r="AR79" i="41"/>
  <c r="AQ79" i="41"/>
  <c r="AU78" i="41"/>
  <c r="AR78" i="41"/>
  <c r="AW78" i="41"/>
  <c r="AQ78" i="41"/>
  <c r="AW77" i="41"/>
  <c r="AV77" i="41"/>
  <c r="AR77" i="41"/>
  <c r="AX77" i="41"/>
  <c r="AU77" i="41"/>
  <c r="AQ77" i="41"/>
  <c r="AT77" i="41"/>
  <c r="AX76" i="41"/>
  <c r="AS76" i="41"/>
  <c r="AR76" i="41"/>
  <c r="AU76" i="41"/>
  <c r="AO76" i="41"/>
  <c r="AQ76" i="41"/>
  <c r="AT76" i="41"/>
  <c r="AX75" i="41"/>
  <c r="AU75" i="41"/>
  <c r="AR75" i="41"/>
  <c r="AQ75" i="41"/>
  <c r="AU73" i="41"/>
  <c r="AR73" i="41"/>
  <c r="AX73" i="41"/>
  <c r="AW73" i="41"/>
  <c r="AT73" i="41"/>
  <c r="AQ73" i="41"/>
  <c r="AW72" i="41"/>
  <c r="AV72" i="41"/>
  <c r="AR72" i="41"/>
  <c r="AX72" i="41"/>
  <c r="AU72" i="41"/>
  <c r="AQ72" i="41"/>
  <c r="AT72" i="41"/>
  <c r="AX71" i="41"/>
  <c r="AW71" i="41"/>
  <c r="AR71" i="41"/>
  <c r="AV71" i="41"/>
  <c r="AU71" i="41"/>
  <c r="AQ71" i="41"/>
  <c r="AX70" i="41"/>
  <c r="AU70" i="41"/>
  <c r="AR70" i="41"/>
  <c r="AQ70" i="41"/>
  <c r="AU69" i="41"/>
  <c r="AR69" i="41"/>
  <c r="AW69" i="41"/>
  <c r="AQ69" i="41"/>
  <c r="AW68" i="41"/>
  <c r="AV68" i="41"/>
  <c r="AR68" i="41"/>
  <c r="AX68" i="41"/>
  <c r="AX66" i="41"/>
  <c r="AW66" i="41"/>
  <c r="AR66" i="41"/>
  <c r="AV66" i="41"/>
  <c r="AU66" i="41"/>
  <c r="AQ66" i="41"/>
  <c r="AS66" i="41"/>
  <c r="AX65" i="41"/>
  <c r="AU65" i="41"/>
  <c r="AR65" i="41"/>
  <c r="AQ65" i="41"/>
  <c r="AU64" i="41"/>
  <c r="AU67" i="41" s="1"/>
  <c r="AR64" i="41"/>
  <c r="AR67" i="41" s="1"/>
  <c r="AW64" i="41"/>
  <c r="AQ64" i="41"/>
  <c r="AQ67" i="41" s="1"/>
  <c r="AW62" i="41"/>
  <c r="AV62" i="41"/>
  <c r="AU62" i="41"/>
  <c r="AR62" i="41"/>
  <c r="AX62" i="41"/>
  <c r="AT62" i="41"/>
  <c r="AX61" i="41"/>
  <c r="AW61" i="41"/>
  <c r="AR61" i="41"/>
  <c r="AV61" i="41"/>
  <c r="AV63" i="41" s="1"/>
  <c r="AU61" i="41"/>
  <c r="AQ61" i="41"/>
  <c r="AX59" i="41"/>
  <c r="AU59" i="41"/>
  <c r="AR59" i="41"/>
  <c r="AQ59" i="41"/>
  <c r="AU58" i="41"/>
  <c r="AR58" i="41"/>
  <c r="AX58" i="41"/>
  <c r="AW58" i="41"/>
  <c r="AQ58" i="41"/>
  <c r="AT58" i="41"/>
  <c r="AW57" i="41"/>
  <c r="AR57" i="41"/>
  <c r="AV57" i="41"/>
  <c r="AX57" i="41"/>
  <c r="AU57" i="41"/>
  <c r="AQ57" i="41"/>
  <c r="AT57" i="41"/>
  <c r="AX56" i="41"/>
  <c r="AW56" i="41"/>
  <c r="AR56" i="41"/>
  <c r="AP56" i="41"/>
  <c r="AV56" i="41"/>
  <c r="AU56" i="41"/>
  <c r="AS56" i="41"/>
  <c r="AQ56" i="41"/>
  <c r="AT56" i="41"/>
  <c r="AX55" i="41"/>
  <c r="AU55" i="41"/>
  <c r="AR55" i="41"/>
  <c r="AQ55" i="41"/>
  <c r="AR54" i="41"/>
  <c r="AQ54" i="41"/>
  <c r="AV54" i="41"/>
  <c r="AX54" i="41"/>
  <c r="AW54" i="41"/>
  <c r="AU54" i="41"/>
  <c r="AW53" i="41"/>
  <c r="AR53" i="41"/>
  <c r="AX53" i="41"/>
  <c r="AU53" i="41"/>
  <c r="AX51" i="41"/>
  <c r="AW51" i="41"/>
  <c r="AR51" i="41"/>
  <c r="AP51" i="41"/>
  <c r="AV51" i="41"/>
  <c r="AU51" i="41"/>
  <c r="AO51" i="41"/>
  <c r="AQ51" i="41"/>
  <c r="AT51" i="41"/>
  <c r="AX50" i="41"/>
  <c r="AU50" i="41"/>
  <c r="AR50" i="41"/>
  <c r="AQ50" i="41"/>
  <c r="AR49" i="41"/>
  <c r="AV49" i="41"/>
  <c r="AX49" i="41"/>
  <c r="AW49" i="41"/>
  <c r="AU49" i="41"/>
  <c r="AQ49" i="41"/>
  <c r="AW48" i="41"/>
  <c r="AR48" i="41"/>
  <c r="AV48" i="41"/>
  <c r="AX48" i="41"/>
  <c r="AU48" i="41"/>
  <c r="AQ48" i="41"/>
  <c r="AT48" i="41"/>
  <c r="AX47" i="41"/>
  <c r="AR47" i="41"/>
  <c r="AV47" i="41"/>
  <c r="AU47" i="41"/>
  <c r="AQ47" i="41"/>
  <c r="AT47" i="41"/>
  <c r="AU46" i="41"/>
  <c r="AR46" i="41"/>
  <c r="AQ46" i="41"/>
  <c r="AX46" i="41"/>
  <c r="AU44" i="41"/>
  <c r="AR44" i="41"/>
  <c r="AX44" i="41"/>
  <c r="AW44" i="41"/>
  <c r="AQ44" i="41"/>
  <c r="AT44" i="41"/>
  <c r="AW43" i="41"/>
  <c r="AR43" i="41"/>
  <c r="AV43" i="41"/>
  <c r="AX43" i="41"/>
  <c r="AU43" i="41"/>
  <c r="AQ43" i="41"/>
  <c r="AT43" i="41"/>
  <c r="AX42" i="41"/>
  <c r="AW42" i="41"/>
  <c r="AR42" i="41"/>
  <c r="AP42" i="41"/>
  <c r="AV42" i="41"/>
  <c r="AU42" i="41"/>
  <c r="AO42" i="41"/>
  <c r="AQ42" i="41"/>
  <c r="AT42" i="41"/>
  <c r="AX41" i="41"/>
  <c r="AU41" i="41"/>
  <c r="AR41" i="41"/>
  <c r="AQ41" i="41"/>
  <c r="AR40" i="41"/>
  <c r="AV40" i="41"/>
  <c r="AX40" i="41"/>
  <c r="AW40" i="41"/>
  <c r="AU40" i="41"/>
  <c r="AQ40" i="41"/>
  <c r="AT40" i="41"/>
  <c r="AW39" i="41"/>
  <c r="AR39" i="41"/>
  <c r="AR45" i="41" s="1"/>
  <c r="AX39" i="41"/>
  <c r="AU39" i="41"/>
  <c r="AX37" i="41"/>
  <c r="AR37" i="41"/>
  <c r="AV37" i="41"/>
  <c r="AU37" i="41"/>
  <c r="AQ37" i="41"/>
  <c r="AT37" i="41"/>
  <c r="AX36" i="41"/>
  <c r="AR36" i="41"/>
  <c r="AW36" i="41"/>
  <c r="AU36" i="41"/>
  <c r="AQ36" i="41"/>
  <c r="AW35" i="41"/>
  <c r="AU35" i="41"/>
  <c r="AR35" i="41"/>
  <c r="AQ35" i="41"/>
  <c r="AX35" i="41"/>
  <c r="AV35" i="41"/>
  <c r="AP35" i="41"/>
  <c r="AX34" i="41"/>
  <c r="AR34" i="41"/>
  <c r="AV34" i="41"/>
  <c r="AW34" i="41"/>
  <c r="AU34" i="41"/>
  <c r="AQ34" i="41"/>
  <c r="AW33" i="41"/>
  <c r="AU33" i="41"/>
  <c r="AR33" i="41"/>
  <c r="AQ33" i="41"/>
  <c r="AX33" i="41"/>
  <c r="AP33" i="41"/>
  <c r="AX31" i="41"/>
  <c r="AR31" i="41"/>
  <c r="AW31" i="41"/>
  <c r="AU31" i="41"/>
  <c r="AQ31" i="41"/>
  <c r="AW30" i="41"/>
  <c r="AW32" i="41" s="1"/>
  <c r="AU30" i="41"/>
  <c r="AU32" i="41" s="1"/>
  <c r="AR30" i="41"/>
  <c r="AQ30" i="41"/>
  <c r="AQ32" i="41" s="1"/>
  <c r="AX30" i="41"/>
  <c r="AP30" i="41"/>
  <c r="AX28" i="41"/>
  <c r="AR28" i="41"/>
  <c r="AR154" i="41" s="1"/>
  <c r="AM154" i="41"/>
  <c r="AW28" i="41"/>
  <c r="AE154" i="41"/>
  <c r="Y154" i="41"/>
  <c r="S154" i="41"/>
  <c r="AW26" i="41"/>
  <c r="AU26" i="41"/>
  <c r="AR26" i="41"/>
  <c r="AQ26" i="41"/>
  <c r="AV26" i="41"/>
  <c r="AT26" i="41"/>
  <c r="AX25" i="41"/>
  <c r="AR25" i="41"/>
  <c r="AW25" i="41"/>
  <c r="AU25" i="41"/>
  <c r="AQ25" i="41"/>
  <c r="AW24" i="41"/>
  <c r="AU24" i="41"/>
  <c r="AR24" i="41"/>
  <c r="AQ24" i="41"/>
  <c r="AX24" i="41"/>
  <c r="AV24" i="41"/>
  <c r="AP24" i="41"/>
  <c r="AX23" i="41"/>
  <c r="AR23" i="41"/>
  <c r="AV23" i="41"/>
  <c r="AW23" i="41"/>
  <c r="AU23" i="41"/>
  <c r="AQ23" i="41"/>
  <c r="AW22" i="41"/>
  <c r="AU22" i="41"/>
  <c r="AR22" i="41"/>
  <c r="AR27" i="41" s="1"/>
  <c r="AQ22" i="41"/>
  <c r="AQ27" i="41" s="1"/>
  <c r="AX20" i="41"/>
  <c r="AR20" i="41"/>
  <c r="AW20" i="41"/>
  <c r="AU20" i="41"/>
  <c r="AQ20" i="41"/>
  <c r="AW19" i="41"/>
  <c r="AU19" i="41"/>
  <c r="AR19" i="41"/>
  <c r="AQ19" i="41"/>
  <c r="AM153" i="41"/>
  <c r="AX18" i="41"/>
  <c r="AR18" i="41"/>
  <c r="AV18" i="41"/>
  <c r="AW18" i="41"/>
  <c r="AU18" i="41"/>
  <c r="AQ18" i="41"/>
  <c r="AW17" i="41"/>
  <c r="AU17" i="41"/>
  <c r="AR17" i="41"/>
  <c r="AQ17" i="41"/>
  <c r="AM147" i="41"/>
  <c r="AP17" i="41"/>
  <c r="AX15" i="41"/>
  <c r="AR15" i="41"/>
  <c r="AL152" i="41"/>
  <c r="AU15" i="41"/>
  <c r="Y152" i="41"/>
  <c r="S152" i="41"/>
  <c r="AW14" i="41"/>
  <c r="AU14" i="41"/>
  <c r="AR14" i="41"/>
  <c r="AQ14" i="41"/>
  <c r="AX14" i="41"/>
  <c r="AV14" i="41"/>
  <c r="AP14" i="41"/>
  <c r="AX13" i="41"/>
  <c r="AR13" i="41"/>
  <c r="AR16" i="41" s="1"/>
  <c r="AV13" i="41"/>
  <c r="AW13" i="41"/>
  <c r="AU13" i="41"/>
  <c r="AQ13" i="41"/>
  <c r="AW12" i="41"/>
  <c r="AR12" i="41"/>
  <c r="AQ12" i="41"/>
  <c r="AP12" i="41"/>
  <c r="AK180" i="40"/>
  <c r="AJ180" i="40"/>
  <c r="AI180" i="40"/>
  <c r="AH180" i="40"/>
  <c r="AG180" i="40"/>
  <c r="AD180" i="40"/>
  <c r="AC180" i="40"/>
  <c r="X180" i="40"/>
  <c r="W180" i="40"/>
  <c r="U180" i="40"/>
  <c r="T180" i="40"/>
  <c r="R180" i="40"/>
  <c r="Q180" i="40"/>
  <c r="P180" i="40"/>
  <c r="O180" i="40"/>
  <c r="N180" i="40"/>
  <c r="M180" i="40"/>
  <c r="L180" i="40"/>
  <c r="K180" i="40"/>
  <c r="J180" i="40"/>
  <c r="I180" i="40"/>
  <c r="AK179" i="40"/>
  <c r="AJ179" i="40"/>
  <c r="AI179" i="40"/>
  <c r="AH179" i="40"/>
  <c r="AG179" i="40"/>
  <c r="AD179" i="40"/>
  <c r="AC179" i="40"/>
  <c r="X179" i="40"/>
  <c r="W179" i="40"/>
  <c r="U179" i="40"/>
  <c r="T179" i="40"/>
  <c r="R179" i="40"/>
  <c r="Q179" i="40"/>
  <c r="P179" i="40"/>
  <c r="O179" i="40"/>
  <c r="N179" i="40"/>
  <c r="M179" i="40"/>
  <c r="L179" i="40"/>
  <c r="K179" i="40"/>
  <c r="J179" i="40"/>
  <c r="I179" i="40"/>
  <c r="AK178" i="40"/>
  <c r="AJ178" i="40"/>
  <c r="AI178" i="40"/>
  <c r="AH178" i="40"/>
  <c r="AG178" i="40"/>
  <c r="AD178" i="40"/>
  <c r="AC178" i="40"/>
  <c r="X178" i="40"/>
  <c r="W178" i="40"/>
  <c r="U178" i="40"/>
  <c r="T178" i="40"/>
  <c r="R178" i="40"/>
  <c r="Q178" i="40"/>
  <c r="P178" i="40"/>
  <c r="O178" i="40"/>
  <c r="N178" i="40"/>
  <c r="M178" i="40"/>
  <c r="L178" i="40"/>
  <c r="K178" i="40"/>
  <c r="J178" i="40"/>
  <c r="I178" i="40"/>
  <c r="AK177" i="40"/>
  <c r="AJ177" i="40"/>
  <c r="AI177" i="40"/>
  <c r="AH177" i="40"/>
  <c r="AG177" i="40"/>
  <c r="AD177" i="40"/>
  <c r="AC177" i="40"/>
  <c r="X177" i="40"/>
  <c r="W177" i="40"/>
  <c r="U177" i="40"/>
  <c r="T177" i="40"/>
  <c r="R177" i="40"/>
  <c r="Q177" i="40"/>
  <c r="P177" i="40"/>
  <c r="O177" i="40"/>
  <c r="N177" i="40"/>
  <c r="M177" i="40"/>
  <c r="L177" i="40"/>
  <c r="K177" i="40"/>
  <c r="J177" i="40"/>
  <c r="I177" i="40"/>
  <c r="AX176" i="40"/>
  <c r="AW176" i="40"/>
  <c r="AV176" i="40"/>
  <c r="AU176" i="40"/>
  <c r="AT176" i="40"/>
  <c r="AS176" i="40"/>
  <c r="AR176" i="40"/>
  <c r="AQ176" i="40"/>
  <c r="AP176" i="40"/>
  <c r="AO176" i="40"/>
  <c r="AN176" i="40"/>
  <c r="AM176" i="40"/>
  <c r="AL176" i="40"/>
  <c r="AK176" i="40"/>
  <c r="AJ176" i="40"/>
  <c r="AI176" i="40"/>
  <c r="AH176" i="40"/>
  <c r="AG176" i="40"/>
  <c r="AF176" i="40"/>
  <c r="AE176" i="40"/>
  <c r="AD176" i="40"/>
  <c r="AC176" i="40"/>
  <c r="AB176" i="40"/>
  <c r="AA176" i="40"/>
  <c r="Z176" i="40"/>
  <c r="Y176" i="40"/>
  <c r="X176" i="40"/>
  <c r="W176" i="40"/>
  <c r="V176" i="40"/>
  <c r="U176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AK175" i="40"/>
  <c r="AJ175" i="40"/>
  <c r="AI175" i="40"/>
  <c r="AH175" i="40"/>
  <c r="AG175" i="40"/>
  <c r="AD175" i="40"/>
  <c r="AC175" i="40"/>
  <c r="X175" i="40"/>
  <c r="W175" i="40"/>
  <c r="U175" i="40"/>
  <c r="T175" i="40"/>
  <c r="R175" i="40"/>
  <c r="Q175" i="40"/>
  <c r="P175" i="40"/>
  <c r="O175" i="40"/>
  <c r="N175" i="40"/>
  <c r="M175" i="40"/>
  <c r="L175" i="40"/>
  <c r="K175" i="40"/>
  <c r="J175" i="40"/>
  <c r="I175" i="40"/>
  <c r="AK174" i="40"/>
  <c r="AJ174" i="40"/>
  <c r="AI174" i="40"/>
  <c r="AH174" i="40"/>
  <c r="AG174" i="40"/>
  <c r="AD174" i="40"/>
  <c r="AC174" i="40"/>
  <c r="X174" i="40"/>
  <c r="W174" i="40"/>
  <c r="U174" i="40"/>
  <c r="T174" i="40"/>
  <c r="R174" i="40"/>
  <c r="Q174" i="40"/>
  <c r="P174" i="40"/>
  <c r="O174" i="40"/>
  <c r="N174" i="40"/>
  <c r="M174" i="40"/>
  <c r="L174" i="40"/>
  <c r="K174" i="40"/>
  <c r="J174" i="40"/>
  <c r="I174" i="40"/>
  <c r="AK173" i="40"/>
  <c r="AJ173" i="40"/>
  <c r="AI173" i="40"/>
  <c r="AH173" i="40"/>
  <c r="AG173" i="40"/>
  <c r="AD173" i="40"/>
  <c r="AC173" i="40"/>
  <c r="X173" i="40"/>
  <c r="W173" i="40"/>
  <c r="U173" i="40"/>
  <c r="T173" i="40"/>
  <c r="R173" i="40"/>
  <c r="Q173" i="40"/>
  <c r="P173" i="40"/>
  <c r="O173" i="40"/>
  <c r="N173" i="40"/>
  <c r="M173" i="40"/>
  <c r="L173" i="40"/>
  <c r="K173" i="40"/>
  <c r="J173" i="40"/>
  <c r="I173" i="40"/>
  <c r="AK172" i="40"/>
  <c r="AJ172" i="40"/>
  <c r="AI172" i="40"/>
  <c r="AH172" i="40"/>
  <c r="AG172" i="40"/>
  <c r="AD172" i="40"/>
  <c r="AC172" i="40"/>
  <c r="X172" i="40"/>
  <c r="W172" i="40"/>
  <c r="U172" i="40"/>
  <c r="T172" i="40"/>
  <c r="R172" i="40"/>
  <c r="Q172" i="40"/>
  <c r="P172" i="40"/>
  <c r="O172" i="40"/>
  <c r="N172" i="40"/>
  <c r="M172" i="40"/>
  <c r="L172" i="40"/>
  <c r="K172" i="40"/>
  <c r="J172" i="40"/>
  <c r="I172" i="40"/>
  <c r="AK171" i="40"/>
  <c r="AJ171" i="40"/>
  <c r="AI171" i="40"/>
  <c r="AH171" i="40"/>
  <c r="AG171" i="40"/>
  <c r="AD171" i="40"/>
  <c r="AC171" i="40"/>
  <c r="X171" i="40"/>
  <c r="W171" i="40"/>
  <c r="U171" i="40"/>
  <c r="T171" i="40"/>
  <c r="R171" i="40"/>
  <c r="Q171" i="40"/>
  <c r="P171" i="40"/>
  <c r="O171" i="40"/>
  <c r="N171" i="40"/>
  <c r="M171" i="40"/>
  <c r="L171" i="40"/>
  <c r="K171" i="40"/>
  <c r="J171" i="40"/>
  <c r="I171" i="40"/>
  <c r="R167" i="40"/>
  <c r="K20" i="45" s="1"/>
  <c r="Q167" i="40"/>
  <c r="J20" i="45" s="1"/>
  <c r="P167" i="40"/>
  <c r="I20" i="45" s="1"/>
  <c r="O167" i="40"/>
  <c r="H20" i="45" s="1"/>
  <c r="N167" i="40"/>
  <c r="G20" i="45" s="1"/>
  <c r="M167" i="40"/>
  <c r="F20" i="45" s="1"/>
  <c r="L167" i="40"/>
  <c r="E20" i="45" s="1"/>
  <c r="K167" i="40"/>
  <c r="D20" i="45" s="1"/>
  <c r="J167" i="40"/>
  <c r="I167" i="40"/>
  <c r="B20" i="45" s="1"/>
  <c r="AW165" i="40"/>
  <c r="AR165" i="40"/>
  <c r="AV165" i="40"/>
  <c r="AX165" i="40"/>
  <c r="AU165" i="40"/>
  <c r="AQ165" i="40"/>
  <c r="AX164" i="40"/>
  <c r="AR164" i="40"/>
  <c r="AP164" i="40"/>
  <c r="AU164" i="40"/>
  <c r="AS164" i="40"/>
  <c r="AQ164" i="40"/>
  <c r="AT164" i="40"/>
  <c r="AV163" i="40"/>
  <c r="AR163" i="40"/>
  <c r="AX161" i="40"/>
  <c r="AW161" i="40"/>
  <c r="AR161" i="40"/>
  <c r="AV161" i="40"/>
  <c r="AU161" i="40"/>
  <c r="AQ161" i="40"/>
  <c r="AX160" i="40"/>
  <c r="AU160" i="40"/>
  <c r="AR160" i="40"/>
  <c r="AQ160" i="40"/>
  <c r="AP160" i="40"/>
  <c r="AU159" i="40"/>
  <c r="AR159" i="40"/>
  <c r="AQ159" i="40"/>
  <c r="AX159" i="40"/>
  <c r="AW159" i="40"/>
  <c r="AW158" i="40"/>
  <c r="AV158" i="40"/>
  <c r="AR158" i="40"/>
  <c r="AX158" i="40"/>
  <c r="AU158" i="40"/>
  <c r="AQ158" i="40"/>
  <c r="AT158" i="40"/>
  <c r="AX157" i="40"/>
  <c r="AW157" i="40"/>
  <c r="AR157" i="40"/>
  <c r="AQ157" i="40"/>
  <c r="AX155" i="40"/>
  <c r="AU155" i="40"/>
  <c r="AR155" i="40"/>
  <c r="AQ155" i="40"/>
  <c r="AU154" i="40"/>
  <c r="AR154" i="40"/>
  <c r="AQ154" i="40"/>
  <c r="AW154" i="40"/>
  <c r="AW152" i="40"/>
  <c r="AV152" i="40"/>
  <c r="AR152" i="40"/>
  <c r="AX152" i="40"/>
  <c r="AU152" i="40"/>
  <c r="AQ152" i="40"/>
  <c r="AT152" i="40"/>
  <c r="AX151" i="40"/>
  <c r="AW151" i="40"/>
  <c r="AR151" i="40"/>
  <c r="AV151" i="40"/>
  <c r="AU151" i="40"/>
  <c r="AQ151" i="40"/>
  <c r="AX150" i="40"/>
  <c r="AU150" i="40"/>
  <c r="AR150" i="40"/>
  <c r="AQ150" i="40"/>
  <c r="AP150" i="40"/>
  <c r="AU149" i="40"/>
  <c r="AR149" i="40"/>
  <c r="AQ149" i="40"/>
  <c r="AX149" i="40"/>
  <c r="AW149" i="40"/>
  <c r="AW148" i="40"/>
  <c r="AV148" i="40"/>
  <c r="AR148" i="40"/>
  <c r="AU148" i="40"/>
  <c r="AQ148" i="40"/>
  <c r="AX147" i="40"/>
  <c r="AW147" i="40"/>
  <c r="AR147" i="40"/>
  <c r="AX145" i="40"/>
  <c r="AW145" i="40"/>
  <c r="AU145" i="40"/>
  <c r="AR145" i="40"/>
  <c r="AQ145" i="40"/>
  <c r="AP145" i="40"/>
  <c r="AV145" i="40"/>
  <c r="AX144" i="40"/>
  <c r="AR144" i="40"/>
  <c r="AW144" i="40"/>
  <c r="AU144" i="40"/>
  <c r="AQ144" i="40"/>
  <c r="AW143" i="40"/>
  <c r="AU143" i="40"/>
  <c r="AR143" i="40"/>
  <c r="AT143" i="40"/>
  <c r="AX142" i="40"/>
  <c r="AR142" i="40"/>
  <c r="AV142" i="40"/>
  <c r="AU142" i="40"/>
  <c r="AS142" i="40"/>
  <c r="AQ142" i="40"/>
  <c r="AT142" i="40"/>
  <c r="AX141" i="40"/>
  <c r="AU141" i="40"/>
  <c r="AR141" i="40"/>
  <c r="AQ141" i="40"/>
  <c r="AR140" i="40"/>
  <c r="AW140" i="40"/>
  <c r="AW138" i="40"/>
  <c r="AV138" i="40"/>
  <c r="AR138" i="40"/>
  <c r="AQ138" i="40"/>
  <c r="AX138" i="40"/>
  <c r="AU138" i="40"/>
  <c r="AX137" i="40"/>
  <c r="AR137" i="40"/>
  <c r="AU137" i="40"/>
  <c r="AQ137" i="40"/>
  <c r="AX136" i="40"/>
  <c r="AR136" i="40"/>
  <c r="AU136" i="40"/>
  <c r="AQ136" i="40"/>
  <c r="AW135" i="40"/>
  <c r="AU135" i="40"/>
  <c r="AR135" i="40"/>
  <c r="AQ135" i="40"/>
  <c r="AX135" i="40"/>
  <c r="AV135" i="40"/>
  <c r="AT135" i="40"/>
  <c r="AX134" i="40"/>
  <c r="AV134" i="40"/>
  <c r="AR134" i="40"/>
  <c r="AW134" i="40"/>
  <c r="AU134" i="40"/>
  <c r="AQ134" i="40"/>
  <c r="AP134" i="40"/>
  <c r="AW133" i="40"/>
  <c r="AU133" i="40"/>
  <c r="AR133" i="40"/>
  <c r="AQ133" i="40"/>
  <c r="AX130" i="40"/>
  <c r="AR130" i="40"/>
  <c r="AQ130" i="40"/>
  <c r="AX128" i="40"/>
  <c r="AW128" i="40"/>
  <c r="AT128" i="40"/>
  <c r="AR128" i="40"/>
  <c r="AP128" i="40"/>
  <c r="AV128" i="40"/>
  <c r="AU128" i="40"/>
  <c r="AS128" i="40"/>
  <c r="AQ128" i="40"/>
  <c r="AX127" i="40"/>
  <c r="AW127" i="40"/>
  <c r="AU127" i="40"/>
  <c r="AR127" i="40"/>
  <c r="AQ127" i="40"/>
  <c r="AU125" i="40"/>
  <c r="AR125" i="40"/>
  <c r="AQ125" i="40"/>
  <c r="AX125" i="40"/>
  <c r="AW124" i="40"/>
  <c r="AV124" i="40"/>
  <c r="AU124" i="40"/>
  <c r="AR124" i="40"/>
  <c r="AX124" i="40"/>
  <c r="AT124" i="40"/>
  <c r="AX123" i="40"/>
  <c r="AW123" i="40"/>
  <c r="AR123" i="40"/>
  <c r="AV123" i="40"/>
  <c r="AU123" i="40"/>
  <c r="AQ123" i="40"/>
  <c r="AX122" i="40"/>
  <c r="AW122" i="40"/>
  <c r="AU122" i="40"/>
  <c r="AR122" i="40"/>
  <c r="AQ122" i="40"/>
  <c r="AP122" i="40"/>
  <c r="AT122" i="40"/>
  <c r="AR121" i="40"/>
  <c r="AQ121" i="40"/>
  <c r="AU121" i="40"/>
  <c r="AW119" i="40"/>
  <c r="AR119" i="40"/>
  <c r="AV119" i="40"/>
  <c r="AX119" i="40"/>
  <c r="AU119" i="40"/>
  <c r="AQ119" i="40"/>
  <c r="AX118" i="40"/>
  <c r="AW118" i="40"/>
  <c r="AT118" i="40"/>
  <c r="AR118" i="40"/>
  <c r="AP118" i="40"/>
  <c r="AV118" i="40"/>
  <c r="AU118" i="40"/>
  <c r="AS118" i="40"/>
  <c r="AQ118" i="40"/>
  <c r="AX117" i="40"/>
  <c r="AX120" i="40" s="1"/>
  <c r="AW117" i="40"/>
  <c r="AU117" i="40"/>
  <c r="AR117" i="40"/>
  <c r="AQ117" i="40"/>
  <c r="AU115" i="40"/>
  <c r="AR115" i="40"/>
  <c r="AQ115" i="40"/>
  <c r="AX115" i="40"/>
  <c r="AW114" i="40"/>
  <c r="AV114" i="40"/>
  <c r="AU114" i="40"/>
  <c r="AR114" i="40"/>
  <c r="AX114" i="40"/>
  <c r="AT114" i="40"/>
  <c r="AX113" i="40"/>
  <c r="AW113" i="40"/>
  <c r="AR113" i="40"/>
  <c r="AV113" i="40"/>
  <c r="AQ113" i="40"/>
  <c r="AX112" i="40"/>
  <c r="AW112" i="40"/>
  <c r="AU112" i="40"/>
  <c r="AR112" i="40"/>
  <c r="AQ112" i="40"/>
  <c r="AP112" i="40"/>
  <c r="AR110" i="40"/>
  <c r="AR111" i="40" s="1"/>
  <c r="AU110" i="40"/>
  <c r="AU111" i="40" s="1"/>
  <c r="AS110" i="40"/>
  <c r="AS111" i="40" s="1"/>
  <c r="AW108" i="40"/>
  <c r="AU108" i="40"/>
  <c r="AR108" i="40"/>
  <c r="AV108" i="40"/>
  <c r="AX108" i="40"/>
  <c r="AQ108" i="40"/>
  <c r="AX107" i="40"/>
  <c r="AV107" i="40"/>
  <c r="AT107" i="40"/>
  <c r="AR107" i="40"/>
  <c r="AP107" i="40"/>
  <c r="AU107" i="40"/>
  <c r="AS107" i="40"/>
  <c r="AO107" i="40"/>
  <c r="AQ107" i="40"/>
  <c r="AW106" i="40"/>
  <c r="AU106" i="40"/>
  <c r="AR106" i="40"/>
  <c r="AQ106" i="40"/>
  <c r="AT106" i="40"/>
  <c r="AU105" i="40"/>
  <c r="AR105" i="40"/>
  <c r="AQ105" i="40"/>
  <c r="AX105" i="40"/>
  <c r="AW104" i="40"/>
  <c r="AV104" i="40"/>
  <c r="AU104" i="40"/>
  <c r="AR104" i="40"/>
  <c r="AX104" i="40"/>
  <c r="AX102" i="40"/>
  <c r="AT102" i="40"/>
  <c r="AR102" i="40"/>
  <c r="AP102" i="40"/>
  <c r="AU102" i="40"/>
  <c r="AQ102" i="40"/>
  <c r="AW101" i="40"/>
  <c r="AU101" i="40"/>
  <c r="AR101" i="40"/>
  <c r="AQ101" i="40"/>
  <c r="AX101" i="40"/>
  <c r="AS101" i="40"/>
  <c r="AT101" i="40"/>
  <c r="AU100" i="40"/>
  <c r="AR100" i="40"/>
  <c r="AR103" i="40" s="1"/>
  <c r="AW100" i="40"/>
  <c r="AQ100" i="40"/>
  <c r="AP100" i="40"/>
  <c r="AW98" i="40"/>
  <c r="AU98" i="40"/>
  <c r="AR98" i="40"/>
  <c r="AQ98" i="40"/>
  <c r="AT98" i="40"/>
  <c r="AX97" i="40"/>
  <c r="AW97" i="40"/>
  <c r="AT97" i="40"/>
  <c r="AR97" i="40"/>
  <c r="AV97" i="40"/>
  <c r="AU97" i="40"/>
  <c r="AX96" i="40"/>
  <c r="AW96" i="40"/>
  <c r="AR96" i="40"/>
  <c r="AP96" i="40"/>
  <c r="AV96" i="40"/>
  <c r="AO96" i="40"/>
  <c r="AU96" i="40"/>
  <c r="AS96" i="40"/>
  <c r="AQ96" i="40"/>
  <c r="AT96" i="40"/>
  <c r="AU95" i="40"/>
  <c r="AR95" i="40"/>
  <c r="AQ95" i="40"/>
  <c r="AX95" i="40"/>
  <c r="AS95" i="40"/>
  <c r="AV94" i="40"/>
  <c r="AR94" i="40"/>
  <c r="AQ94" i="40"/>
  <c r="AW94" i="40"/>
  <c r="AU94" i="40"/>
  <c r="AW92" i="40"/>
  <c r="AU92" i="40"/>
  <c r="AR92" i="40"/>
  <c r="AT92" i="40"/>
  <c r="AQ92" i="40"/>
  <c r="AX91" i="40"/>
  <c r="AW91" i="40"/>
  <c r="AR91" i="40"/>
  <c r="AP91" i="40"/>
  <c r="AU91" i="40"/>
  <c r="AW89" i="40"/>
  <c r="AU89" i="40"/>
  <c r="AR89" i="40"/>
  <c r="AQ89" i="40"/>
  <c r="AP89" i="40"/>
  <c r="AX89" i="40"/>
  <c r="AT89" i="40"/>
  <c r="AR88" i="40"/>
  <c r="AV88" i="40"/>
  <c r="AW88" i="40"/>
  <c r="AU88" i="40"/>
  <c r="AS88" i="40"/>
  <c r="AQ88" i="40"/>
  <c r="AW87" i="40"/>
  <c r="AU87" i="40"/>
  <c r="AR87" i="40"/>
  <c r="AT87" i="40"/>
  <c r="AQ87" i="40"/>
  <c r="AX86" i="40"/>
  <c r="AR86" i="40"/>
  <c r="AP86" i="40"/>
  <c r="AV86" i="40"/>
  <c r="AU86" i="40"/>
  <c r="AS86" i="40"/>
  <c r="AT86" i="40"/>
  <c r="AX85" i="40"/>
  <c r="AU85" i="40"/>
  <c r="AR85" i="40"/>
  <c r="AQ85" i="40"/>
  <c r="AS85" i="40"/>
  <c r="AR84" i="40"/>
  <c r="AX84" i="40"/>
  <c r="AW84" i="40"/>
  <c r="AW82" i="40"/>
  <c r="AU82" i="40"/>
  <c r="AR82" i="40"/>
  <c r="AQ82" i="40"/>
  <c r="AT82" i="40"/>
  <c r="AX81" i="40"/>
  <c r="AV81" i="40"/>
  <c r="AR81" i="40"/>
  <c r="AW81" i="40"/>
  <c r="AU81" i="40"/>
  <c r="AQ81" i="40"/>
  <c r="AW80" i="40"/>
  <c r="AU80" i="40"/>
  <c r="AR80" i="40"/>
  <c r="AQ80" i="40"/>
  <c r="AX80" i="40"/>
  <c r="AV80" i="40"/>
  <c r="AT80" i="40"/>
  <c r="AX79" i="40"/>
  <c r="AR79" i="40"/>
  <c r="AU79" i="40"/>
  <c r="AQ79" i="40"/>
  <c r="AW78" i="40"/>
  <c r="AU78" i="40"/>
  <c r="AR78" i="40"/>
  <c r="AQ78" i="40"/>
  <c r="AT78" i="40"/>
  <c r="AX77" i="40"/>
  <c r="AV77" i="40"/>
  <c r="AR77" i="40"/>
  <c r="AW77" i="40"/>
  <c r="AU77" i="40"/>
  <c r="AW75" i="40"/>
  <c r="AU75" i="40"/>
  <c r="AR75" i="40"/>
  <c r="AQ75" i="40"/>
  <c r="AX75" i="40"/>
  <c r="AV75" i="40"/>
  <c r="AT75" i="40"/>
  <c r="AX74" i="40"/>
  <c r="AR74" i="40"/>
  <c r="AP74" i="40"/>
  <c r="AU74" i="40"/>
  <c r="AS74" i="40"/>
  <c r="AQ74" i="40"/>
  <c r="AW73" i="40"/>
  <c r="AU73" i="40"/>
  <c r="AR73" i="40"/>
  <c r="AQ73" i="40"/>
  <c r="AT73" i="40"/>
  <c r="AX72" i="40"/>
  <c r="AV72" i="40"/>
  <c r="AR72" i="40"/>
  <c r="AW72" i="40"/>
  <c r="AU72" i="40"/>
  <c r="AQ72" i="40"/>
  <c r="AW71" i="40"/>
  <c r="AU71" i="40"/>
  <c r="AR71" i="40"/>
  <c r="AQ71" i="40"/>
  <c r="AV71" i="40"/>
  <c r="AT71" i="40"/>
  <c r="AX70" i="40"/>
  <c r="AR70" i="40"/>
  <c r="AQ70" i="40"/>
  <c r="AW68" i="40"/>
  <c r="AU68" i="40"/>
  <c r="AR68" i="40"/>
  <c r="AQ68" i="40"/>
  <c r="AT68" i="40"/>
  <c r="AX67" i="40"/>
  <c r="AV67" i="40"/>
  <c r="AR67" i="40"/>
  <c r="AW67" i="40"/>
  <c r="AU67" i="40"/>
  <c r="AQ67" i="40"/>
  <c r="AW66" i="40"/>
  <c r="AU66" i="40"/>
  <c r="AR66" i="40"/>
  <c r="AQ66" i="40"/>
  <c r="AX66" i="40"/>
  <c r="AV66" i="40"/>
  <c r="AT66" i="40"/>
  <c r="AX65" i="40"/>
  <c r="AR65" i="40"/>
  <c r="AU65" i="40"/>
  <c r="AQ65" i="40"/>
  <c r="AW64" i="40"/>
  <c r="AU64" i="40"/>
  <c r="AR64" i="40"/>
  <c r="AQ64" i="40"/>
  <c r="AT64" i="40"/>
  <c r="AX63" i="40"/>
  <c r="AV63" i="40"/>
  <c r="AR63" i="40"/>
  <c r="AU63" i="40"/>
  <c r="AW61" i="40"/>
  <c r="AU61" i="40"/>
  <c r="AR61" i="40"/>
  <c r="AQ61" i="40"/>
  <c r="AX61" i="40"/>
  <c r="AV61" i="40"/>
  <c r="AT61" i="40"/>
  <c r="AX60" i="40"/>
  <c r="AR60" i="40"/>
  <c r="AP60" i="40"/>
  <c r="AU60" i="40"/>
  <c r="AS60" i="40"/>
  <c r="AQ60" i="40"/>
  <c r="AW59" i="40"/>
  <c r="AU59" i="40"/>
  <c r="AR59" i="40"/>
  <c r="AQ59" i="40"/>
  <c r="AX58" i="40"/>
  <c r="AV58" i="40"/>
  <c r="AR58" i="40"/>
  <c r="AW58" i="40"/>
  <c r="AW57" i="40"/>
  <c r="AU57" i="40"/>
  <c r="AR57" i="40"/>
  <c r="AQ57" i="40"/>
  <c r="AX55" i="40"/>
  <c r="AR55" i="40"/>
  <c r="AR179" i="40" s="1"/>
  <c r="AM179" i="40"/>
  <c r="AE179" i="40"/>
  <c r="Y179" i="40"/>
  <c r="AW53" i="40"/>
  <c r="AU53" i="40"/>
  <c r="AR53" i="40"/>
  <c r="AQ53" i="40"/>
  <c r="AT53" i="40"/>
  <c r="AX52" i="40"/>
  <c r="AR52" i="40"/>
  <c r="AV52" i="40"/>
  <c r="AW52" i="40"/>
  <c r="AU52" i="40"/>
  <c r="AQ52" i="40"/>
  <c r="AW51" i="40"/>
  <c r="AU51" i="40"/>
  <c r="AR51" i="40"/>
  <c r="AQ51" i="40"/>
  <c r="AX51" i="40"/>
  <c r="AV51" i="40"/>
  <c r="AT51" i="40"/>
  <c r="AX50" i="40"/>
  <c r="AR50" i="40"/>
  <c r="AU50" i="40"/>
  <c r="AQ50" i="40"/>
  <c r="AP50" i="40"/>
  <c r="AW49" i="40"/>
  <c r="AU49" i="40"/>
  <c r="AR49" i="40"/>
  <c r="AQ49" i="40"/>
  <c r="AT49" i="40"/>
  <c r="AX48" i="40"/>
  <c r="AR48" i="40"/>
  <c r="AU48" i="40"/>
  <c r="AW46" i="40"/>
  <c r="AU46" i="40"/>
  <c r="AR46" i="40"/>
  <c r="AQ46" i="40"/>
  <c r="AX46" i="40"/>
  <c r="AT46" i="40"/>
  <c r="AX45" i="40"/>
  <c r="AR45" i="40"/>
  <c r="AW45" i="40"/>
  <c r="AU45" i="40"/>
  <c r="AQ45" i="40"/>
  <c r="AW44" i="40"/>
  <c r="AU44" i="40"/>
  <c r="AR44" i="40"/>
  <c r="AQ44" i="40"/>
  <c r="AT44" i="40"/>
  <c r="AX43" i="40"/>
  <c r="AR43" i="40"/>
  <c r="AP43" i="40"/>
  <c r="AW43" i="40"/>
  <c r="AQ43" i="40"/>
  <c r="AW42" i="40"/>
  <c r="AR42" i="40"/>
  <c r="AQ42" i="40"/>
  <c r="AU42" i="40"/>
  <c r="AX40" i="40"/>
  <c r="AR40" i="40"/>
  <c r="AW40" i="40"/>
  <c r="AU40" i="40"/>
  <c r="AQ40" i="40"/>
  <c r="AS40" i="40"/>
  <c r="AW39" i="40"/>
  <c r="AU39" i="40"/>
  <c r="AR39" i="40"/>
  <c r="AQ39" i="40"/>
  <c r="AT39" i="40"/>
  <c r="AX38" i="40"/>
  <c r="AR38" i="40"/>
  <c r="AP38" i="40"/>
  <c r="AW38" i="40"/>
  <c r="AU38" i="40"/>
  <c r="AQ38" i="40"/>
  <c r="AW37" i="40"/>
  <c r="AU37" i="40"/>
  <c r="AR37" i="40"/>
  <c r="AQ37" i="40"/>
  <c r="AX37" i="40"/>
  <c r="AT37" i="40"/>
  <c r="AX36" i="40"/>
  <c r="AR36" i="40"/>
  <c r="AV36" i="40"/>
  <c r="AW34" i="40"/>
  <c r="AU34" i="40"/>
  <c r="AR34" i="40"/>
  <c r="AQ34" i="40"/>
  <c r="AT34" i="40"/>
  <c r="AX33" i="40"/>
  <c r="AR33" i="40"/>
  <c r="AW32" i="40"/>
  <c r="AU32" i="40"/>
  <c r="AR32" i="40"/>
  <c r="AQ32" i="40"/>
  <c r="AX32" i="40"/>
  <c r="AV32" i="40"/>
  <c r="AX31" i="40"/>
  <c r="AX175" i="40" s="1"/>
  <c r="AR31" i="40"/>
  <c r="AR175" i="40" s="1"/>
  <c r="AN175" i="40"/>
  <c r="AM175" i="40"/>
  <c r="AW30" i="40"/>
  <c r="AU30" i="40"/>
  <c r="AR30" i="40"/>
  <c r="AQ30" i="40"/>
  <c r="AT30" i="40"/>
  <c r="AX29" i="40"/>
  <c r="AR29" i="40"/>
  <c r="AW27" i="40"/>
  <c r="AU27" i="40"/>
  <c r="AU180" i="40" s="1"/>
  <c r="AR27" i="40"/>
  <c r="AQ27" i="40"/>
  <c r="AQ28" i="40" s="1"/>
  <c r="AL180" i="40"/>
  <c r="AE180" i="40"/>
  <c r="Y180" i="40"/>
  <c r="S180" i="40"/>
  <c r="AR25" i="40"/>
  <c r="AV25" i="40"/>
  <c r="AW25" i="40"/>
  <c r="AU25" i="40"/>
  <c r="AS25" i="40"/>
  <c r="AQ25" i="40"/>
  <c r="AW24" i="40"/>
  <c r="AW26" i="40" s="1"/>
  <c r="AU24" i="40"/>
  <c r="AR24" i="40"/>
  <c r="AT24" i="40"/>
  <c r="AX22" i="40"/>
  <c r="AR22" i="40"/>
  <c r="AW22" i="40"/>
  <c r="AU22" i="40"/>
  <c r="AQ22" i="40"/>
  <c r="AU21" i="40"/>
  <c r="AR21" i="40"/>
  <c r="AQ21" i="40"/>
  <c r="AX21" i="40"/>
  <c r="AW21" i="40"/>
  <c r="AP21" i="40"/>
  <c r="AX20" i="40"/>
  <c r="AR20" i="40"/>
  <c r="AW18" i="40"/>
  <c r="AU18" i="40"/>
  <c r="AR18" i="40"/>
  <c r="AQ18" i="40"/>
  <c r="AX18" i="40"/>
  <c r="AV18" i="40"/>
  <c r="AT18" i="40"/>
  <c r="AX17" i="40"/>
  <c r="AR17" i="40"/>
  <c r="AW17" i="40"/>
  <c r="AQ17" i="40"/>
  <c r="AW16" i="40"/>
  <c r="AU16" i="40"/>
  <c r="AR16" i="40"/>
  <c r="AQ16" i="40"/>
  <c r="AX16" i="40"/>
  <c r="AP16" i="40"/>
  <c r="AX14" i="40"/>
  <c r="AR14" i="40"/>
  <c r="AW14" i="40"/>
  <c r="AE177" i="40"/>
  <c r="Y177" i="40"/>
  <c r="AW13" i="40"/>
  <c r="AU13" i="40"/>
  <c r="AR13" i="40"/>
  <c r="AQ13" i="40"/>
  <c r="AX13" i="40"/>
  <c r="AV13" i="40"/>
  <c r="AT13" i="40"/>
  <c r="AX12" i="40"/>
  <c r="AR12" i="40"/>
  <c r="AL171" i="40"/>
  <c r="AU12" i="40"/>
  <c r="S171" i="40"/>
  <c r="AK135" i="39"/>
  <c r="AJ135" i="39"/>
  <c r="AI135" i="39"/>
  <c r="AH135" i="39"/>
  <c r="AG135" i="39"/>
  <c r="AD135" i="39"/>
  <c r="AC135" i="39"/>
  <c r="X135" i="39"/>
  <c r="W135" i="39"/>
  <c r="U135" i="39"/>
  <c r="T135" i="39"/>
  <c r="R135" i="39"/>
  <c r="Q135" i="39"/>
  <c r="P135" i="39"/>
  <c r="O135" i="39"/>
  <c r="N135" i="39"/>
  <c r="M135" i="39"/>
  <c r="L135" i="39"/>
  <c r="K135" i="39"/>
  <c r="J135" i="39"/>
  <c r="I135" i="39"/>
  <c r="AK134" i="39"/>
  <c r="AJ134" i="39"/>
  <c r="AI134" i="39"/>
  <c r="AH134" i="39"/>
  <c r="AG134" i="39"/>
  <c r="AD134" i="39"/>
  <c r="AC134" i="39"/>
  <c r="X134" i="39"/>
  <c r="W134" i="39"/>
  <c r="U134" i="39"/>
  <c r="T134" i="39"/>
  <c r="R134" i="39"/>
  <c r="Q134" i="39"/>
  <c r="P134" i="39"/>
  <c r="O134" i="39"/>
  <c r="N134" i="39"/>
  <c r="M134" i="39"/>
  <c r="L134" i="39"/>
  <c r="K134" i="39"/>
  <c r="J134" i="39"/>
  <c r="I134" i="39"/>
  <c r="AK133" i="39"/>
  <c r="AJ133" i="39"/>
  <c r="AI133" i="39"/>
  <c r="AH133" i="39"/>
  <c r="AG133" i="39"/>
  <c r="AD133" i="39"/>
  <c r="AC133" i="39"/>
  <c r="X133" i="39"/>
  <c r="W133" i="39"/>
  <c r="U133" i="39"/>
  <c r="T133" i="39"/>
  <c r="R133" i="39"/>
  <c r="Q133" i="39"/>
  <c r="P133" i="39"/>
  <c r="O133" i="39"/>
  <c r="N133" i="39"/>
  <c r="M133" i="39"/>
  <c r="L133" i="39"/>
  <c r="K133" i="39"/>
  <c r="J133" i="39"/>
  <c r="I133" i="39"/>
  <c r="AK132" i="39"/>
  <c r="AJ132" i="39"/>
  <c r="AI132" i="39"/>
  <c r="AH132" i="39"/>
  <c r="AG132" i="39"/>
  <c r="AD132" i="39"/>
  <c r="AC132" i="39"/>
  <c r="X132" i="39"/>
  <c r="W132" i="39"/>
  <c r="U132" i="39"/>
  <c r="T132" i="39"/>
  <c r="R132" i="39"/>
  <c r="Q132" i="39"/>
  <c r="P132" i="39"/>
  <c r="O132" i="39"/>
  <c r="N132" i="39"/>
  <c r="M132" i="39"/>
  <c r="L132" i="39"/>
  <c r="K132" i="39"/>
  <c r="J132" i="39"/>
  <c r="I132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AK129" i="39"/>
  <c r="AJ129" i="39"/>
  <c r="AI129" i="39"/>
  <c r="AH129" i="39"/>
  <c r="AG129" i="39"/>
  <c r="AD129" i="39"/>
  <c r="AC129" i="39"/>
  <c r="X129" i="39"/>
  <c r="W129" i="39"/>
  <c r="U129" i="39"/>
  <c r="T129" i="39"/>
  <c r="R129" i="39"/>
  <c r="Q129" i="39"/>
  <c r="P129" i="39"/>
  <c r="O129" i="39"/>
  <c r="N129" i="39"/>
  <c r="M129" i="39"/>
  <c r="L129" i="39"/>
  <c r="K129" i="39"/>
  <c r="J129" i="39"/>
  <c r="I129" i="39"/>
  <c r="AK128" i="39"/>
  <c r="AJ128" i="39"/>
  <c r="AI128" i="39"/>
  <c r="AH128" i="39"/>
  <c r="AG128" i="39"/>
  <c r="AD128" i="39"/>
  <c r="AC128" i="39"/>
  <c r="X128" i="39"/>
  <c r="W128" i="39"/>
  <c r="U128" i="39"/>
  <c r="T128" i="39"/>
  <c r="R128" i="39"/>
  <c r="Q128" i="39"/>
  <c r="P128" i="39"/>
  <c r="O128" i="39"/>
  <c r="N128" i="39"/>
  <c r="M128" i="39"/>
  <c r="L128" i="39"/>
  <c r="K128" i="39"/>
  <c r="J128" i="39"/>
  <c r="I128" i="39"/>
  <c r="AK127" i="39"/>
  <c r="AJ127" i="39"/>
  <c r="AI127" i="39"/>
  <c r="AH127" i="39"/>
  <c r="AG127" i="39"/>
  <c r="AD127" i="39"/>
  <c r="AC127" i="39"/>
  <c r="X127" i="39"/>
  <c r="W127" i="39"/>
  <c r="U127" i="39"/>
  <c r="T127" i="39"/>
  <c r="R127" i="39"/>
  <c r="Q127" i="39"/>
  <c r="P127" i="39"/>
  <c r="O127" i="39"/>
  <c r="N127" i="39"/>
  <c r="M127" i="39"/>
  <c r="L127" i="39"/>
  <c r="K127" i="39"/>
  <c r="J127" i="39"/>
  <c r="I127" i="39"/>
  <c r="AK126" i="39"/>
  <c r="AJ126" i="39"/>
  <c r="AI126" i="39"/>
  <c r="AH126" i="39"/>
  <c r="AH125" i="39" s="1"/>
  <c r="AG126" i="39"/>
  <c r="AD126" i="39"/>
  <c r="AC126" i="39"/>
  <c r="X126" i="39"/>
  <c r="W126" i="39"/>
  <c r="U126" i="39"/>
  <c r="T126" i="39"/>
  <c r="R126" i="39"/>
  <c r="R125" i="39" s="1"/>
  <c r="Q126" i="39"/>
  <c r="P126" i="39"/>
  <c r="O126" i="39"/>
  <c r="N126" i="39"/>
  <c r="N125" i="39" s="1"/>
  <c r="M126" i="39"/>
  <c r="L126" i="39"/>
  <c r="K126" i="39"/>
  <c r="J126" i="39"/>
  <c r="J125" i="39" s="1"/>
  <c r="I126" i="39"/>
  <c r="R122" i="39"/>
  <c r="Q122" i="39"/>
  <c r="J19" i="45" s="1"/>
  <c r="P122" i="39"/>
  <c r="I19" i="45" s="1"/>
  <c r="O122" i="39"/>
  <c r="H19" i="45" s="1"/>
  <c r="N122" i="39"/>
  <c r="G19" i="45" s="1"/>
  <c r="M122" i="39"/>
  <c r="F19" i="45" s="1"/>
  <c r="L122" i="39"/>
  <c r="E19" i="45" s="1"/>
  <c r="K122" i="39"/>
  <c r="D19" i="45" s="1"/>
  <c r="J122" i="39"/>
  <c r="I122" i="39"/>
  <c r="B19" i="45" s="1"/>
  <c r="AX120" i="39"/>
  <c r="AR120" i="39"/>
  <c r="AP120" i="39"/>
  <c r="AW120" i="39"/>
  <c r="AU120" i="39"/>
  <c r="AQ120" i="39"/>
  <c r="AW119" i="39"/>
  <c r="AU119" i="39"/>
  <c r="AR119" i="39"/>
  <c r="AQ119" i="39"/>
  <c r="AT119" i="39"/>
  <c r="AX118" i="39"/>
  <c r="AR118" i="39"/>
  <c r="AW118" i="39"/>
  <c r="AU118" i="39"/>
  <c r="AQ118" i="39"/>
  <c r="AS118" i="39"/>
  <c r="AW117" i="39"/>
  <c r="AU117" i="39"/>
  <c r="AU121" i="39" s="1"/>
  <c r="AR117" i="39"/>
  <c r="AQ117" i="39"/>
  <c r="AW115" i="39"/>
  <c r="AU115" i="39"/>
  <c r="AR115" i="39"/>
  <c r="AQ115" i="39"/>
  <c r="AX114" i="39"/>
  <c r="AR114" i="39"/>
  <c r="AR116" i="39" s="1"/>
  <c r="AP114" i="39"/>
  <c r="AS114" i="39"/>
  <c r="AW112" i="39"/>
  <c r="AU112" i="39"/>
  <c r="AR112" i="39"/>
  <c r="AQ112" i="39"/>
  <c r="AX112" i="39"/>
  <c r="AV112" i="39"/>
  <c r="AX111" i="39"/>
  <c r="AR111" i="39"/>
  <c r="AP111" i="39"/>
  <c r="AW111" i="39"/>
  <c r="AU111" i="39"/>
  <c r="AQ111" i="39"/>
  <c r="AS111" i="39"/>
  <c r="AW110" i="39"/>
  <c r="AU110" i="39"/>
  <c r="AR110" i="39"/>
  <c r="AQ110" i="39"/>
  <c r="AT110" i="39"/>
  <c r="AX109" i="39"/>
  <c r="AR109" i="39"/>
  <c r="AV109" i="39"/>
  <c r="AW109" i="39"/>
  <c r="AU109" i="39"/>
  <c r="AS109" i="39"/>
  <c r="AQ109" i="39"/>
  <c r="AW108" i="39"/>
  <c r="AU108" i="39"/>
  <c r="AR108" i="39"/>
  <c r="AQ108" i="39"/>
  <c r="AX108" i="39"/>
  <c r="AV108" i="39"/>
  <c r="AX107" i="39"/>
  <c r="AR107" i="39"/>
  <c r="AP107" i="39"/>
  <c r="AS107" i="39"/>
  <c r="AW105" i="39"/>
  <c r="AU105" i="39"/>
  <c r="AR105" i="39"/>
  <c r="AQ105" i="39"/>
  <c r="AX105" i="39"/>
  <c r="AV105" i="39"/>
  <c r="AX104" i="39"/>
  <c r="AR104" i="39"/>
  <c r="AV104" i="39"/>
  <c r="AW104" i="39"/>
  <c r="AU104" i="39"/>
  <c r="AQ104" i="39"/>
  <c r="AW103" i="39"/>
  <c r="AU103" i="39"/>
  <c r="AR103" i="39"/>
  <c r="AQ103" i="39"/>
  <c r="AT103" i="39"/>
  <c r="AX102" i="39"/>
  <c r="AR102" i="39"/>
  <c r="AP102" i="39"/>
  <c r="AW102" i="39"/>
  <c r="AU102" i="39"/>
  <c r="AQ102" i="39"/>
  <c r="AW101" i="39"/>
  <c r="AU101" i="39"/>
  <c r="AR101" i="39"/>
  <c r="AQ101" i="39"/>
  <c r="AX101" i="39"/>
  <c r="AT101" i="39"/>
  <c r="AX100" i="39"/>
  <c r="AV100" i="39"/>
  <c r="AR100" i="39"/>
  <c r="AR106" i="39" s="1"/>
  <c r="AS100" i="39"/>
  <c r="AP100" i="39"/>
  <c r="AW98" i="39"/>
  <c r="AR98" i="39"/>
  <c r="AQ98" i="39"/>
  <c r="AV98" i="39"/>
  <c r="AX98" i="39"/>
  <c r="AU98" i="39"/>
  <c r="AX97" i="39"/>
  <c r="AR97" i="39"/>
  <c r="AP97" i="39"/>
  <c r="AU97" i="39"/>
  <c r="AQ97" i="39"/>
  <c r="AT97" i="39"/>
  <c r="AW96" i="39"/>
  <c r="AU96" i="39"/>
  <c r="AR96" i="39"/>
  <c r="AQ96" i="39"/>
  <c r="AX96" i="39"/>
  <c r="AT96" i="39"/>
  <c r="AR95" i="39"/>
  <c r="AP95" i="39"/>
  <c r="AX95" i="39"/>
  <c r="AW95" i="39"/>
  <c r="AQ95" i="39"/>
  <c r="AW94" i="39"/>
  <c r="AU94" i="39"/>
  <c r="AR94" i="39"/>
  <c r="AX94" i="39"/>
  <c r="AT94" i="39"/>
  <c r="AX93" i="39"/>
  <c r="AW93" i="39"/>
  <c r="AR93" i="39"/>
  <c r="AU93" i="39"/>
  <c r="AQ93" i="39"/>
  <c r="AW91" i="39"/>
  <c r="AU91" i="39"/>
  <c r="AR91" i="39"/>
  <c r="AQ91" i="39"/>
  <c r="AX91" i="39"/>
  <c r="AT91" i="39"/>
  <c r="AU90" i="39"/>
  <c r="AR90" i="39"/>
  <c r="AP90" i="39"/>
  <c r="AX90" i="39"/>
  <c r="AW90" i="39"/>
  <c r="AQ90" i="39"/>
  <c r="AW89" i="39"/>
  <c r="AU89" i="39"/>
  <c r="AR89" i="39"/>
  <c r="AX89" i="39"/>
  <c r="AT89" i="39"/>
  <c r="AX88" i="39"/>
  <c r="AW88" i="39"/>
  <c r="AT88" i="39"/>
  <c r="AR88" i="39"/>
  <c r="AV88" i="39"/>
  <c r="AU88" i="39"/>
  <c r="AS88" i="39"/>
  <c r="AQ88" i="39"/>
  <c r="AX87" i="39"/>
  <c r="AU87" i="39"/>
  <c r="AR87" i="39"/>
  <c r="AQ87" i="39"/>
  <c r="AV87" i="39"/>
  <c r="AR86" i="39"/>
  <c r="AX86" i="39"/>
  <c r="AU86" i="39"/>
  <c r="AQ86" i="39"/>
  <c r="AW84" i="39"/>
  <c r="AR84" i="39"/>
  <c r="AQ84" i="39"/>
  <c r="AV84" i="39"/>
  <c r="AX84" i="39"/>
  <c r="AU84" i="39"/>
  <c r="AX83" i="39"/>
  <c r="AR83" i="39"/>
  <c r="AP83" i="39"/>
  <c r="AU83" i="39"/>
  <c r="AQ83" i="39"/>
  <c r="AT83" i="39"/>
  <c r="AW82" i="39"/>
  <c r="AU82" i="39"/>
  <c r="AR82" i="39"/>
  <c r="AQ82" i="39"/>
  <c r="AX82" i="39"/>
  <c r="AT82" i="39"/>
  <c r="AU81" i="39"/>
  <c r="AR81" i="39"/>
  <c r="AX81" i="39"/>
  <c r="AW81" i="39"/>
  <c r="AQ81" i="39"/>
  <c r="AW80" i="39"/>
  <c r="AU80" i="39"/>
  <c r="AR80" i="39"/>
  <c r="AX80" i="39"/>
  <c r="AT80" i="39"/>
  <c r="AX79" i="39"/>
  <c r="AW79" i="39"/>
  <c r="AR79" i="39"/>
  <c r="AR85" i="39" s="1"/>
  <c r="AV79" i="39"/>
  <c r="AU79" i="39"/>
  <c r="AQ79" i="39"/>
  <c r="AW77" i="39"/>
  <c r="AU77" i="39"/>
  <c r="AR77" i="39"/>
  <c r="AQ77" i="39"/>
  <c r="AX77" i="39"/>
  <c r="AU76" i="39"/>
  <c r="AR76" i="39"/>
  <c r="AP76" i="39"/>
  <c r="AX76" i="39"/>
  <c r="AW76" i="39"/>
  <c r="AQ76" i="39"/>
  <c r="AW75" i="39"/>
  <c r="AU75" i="39"/>
  <c r="AR75" i="39"/>
  <c r="AX75" i="39"/>
  <c r="AT75" i="39"/>
  <c r="AX74" i="39"/>
  <c r="AW74" i="39"/>
  <c r="AT74" i="39"/>
  <c r="AR74" i="39"/>
  <c r="AV74" i="39"/>
  <c r="AU74" i="39"/>
  <c r="AS74" i="39"/>
  <c r="AQ74" i="39"/>
  <c r="AX73" i="39"/>
  <c r="AU73" i="39"/>
  <c r="AR73" i="39"/>
  <c r="AQ73" i="39"/>
  <c r="AS73" i="39"/>
  <c r="AR72" i="39"/>
  <c r="AQ72" i="39"/>
  <c r="AX72" i="39"/>
  <c r="AU72" i="39"/>
  <c r="AX70" i="39"/>
  <c r="AR70" i="39"/>
  <c r="AW70" i="39"/>
  <c r="AU70" i="39"/>
  <c r="AQ70" i="39"/>
  <c r="AP70" i="39"/>
  <c r="AW69" i="39"/>
  <c r="AU69" i="39"/>
  <c r="AR69" i="39"/>
  <c r="AQ69" i="39"/>
  <c r="AX69" i="39"/>
  <c r="AT69" i="39"/>
  <c r="AX68" i="39"/>
  <c r="AR68" i="39"/>
  <c r="AU68" i="39"/>
  <c r="AQ68" i="39"/>
  <c r="AU67" i="39"/>
  <c r="AR67" i="39"/>
  <c r="AQ67" i="39"/>
  <c r="AW67" i="39"/>
  <c r="AT67" i="39"/>
  <c r="AX66" i="39"/>
  <c r="AR66" i="39"/>
  <c r="AP66" i="39"/>
  <c r="AW66" i="39"/>
  <c r="AU66" i="39"/>
  <c r="AS66" i="39"/>
  <c r="AQ66" i="39"/>
  <c r="AW65" i="39"/>
  <c r="AU65" i="39"/>
  <c r="AR65" i="39"/>
  <c r="AQ65" i="39"/>
  <c r="AV65" i="39"/>
  <c r="AX63" i="39"/>
  <c r="AR63" i="39"/>
  <c r="AU63" i="39"/>
  <c r="AQ63" i="39"/>
  <c r="AW62" i="39"/>
  <c r="AU62" i="39"/>
  <c r="AR62" i="39"/>
  <c r="AQ62" i="39"/>
  <c r="AT62" i="39"/>
  <c r="AX61" i="39"/>
  <c r="AR61" i="39"/>
  <c r="AP61" i="39"/>
  <c r="AV61" i="39"/>
  <c r="AW61" i="39"/>
  <c r="AU61" i="39"/>
  <c r="AS61" i="39"/>
  <c r="AQ61" i="39"/>
  <c r="AW60" i="39"/>
  <c r="AU60" i="39"/>
  <c r="AR60" i="39"/>
  <c r="AQ60" i="39"/>
  <c r="AX60" i="39"/>
  <c r="AV60" i="39"/>
  <c r="AT60" i="39"/>
  <c r="AX59" i="39"/>
  <c r="AV59" i="39"/>
  <c r="AR59" i="39"/>
  <c r="AP59" i="39"/>
  <c r="AW59" i="39"/>
  <c r="AU59" i="39"/>
  <c r="AS59" i="39"/>
  <c r="AQ59" i="39"/>
  <c r="AW58" i="39"/>
  <c r="AU58" i="39"/>
  <c r="AR58" i="39"/>
  <c r="AQ58" i="39"/>
  <c r="AR57" i="39"/>
  <c r="AX56" i="39"/>
  <c r="AX57" i="39" s="1"/>
  <c r="AR56" i="39"/>
  <c r="AV56" i="39"/>
  <c r="AV57" i="39" s="1"/>
  <c r="AW56" i="39"/>
  <c r="AW57" i="39" s="1"/>
  <c r="AX54" i="39"/>
  <c r="AW54" i="39"/>
  <c r="AR54" i="39"/>
  <c r="AV54" i="39"/>
  <c r="AU54" i="39"/>
  <c r="AQ54" i="39"/>
  <c r="AX53" i="39"/>
  <c r="AU53" i="39"/>
  <c r="AR53" i="39"/>
  <c r="AQ53" i="39"/>
  <c r="AP53" i="39"/>
  <c r="AS53" i="39"/>
  <c r="AU52" i="39"/>
  <c r="AR52" i="39"/>
  <c r="AQ52" i="39"/>
  <c r="AX52" i="39"/>
  <c r="AW52" i="39"/>
  <c r="AT52" i="39"/>
  <c r="AW51" i="39"/>
  <c r="AR51" i="39"/>
  <c r="AV51" i="39"/>
  <c r="AX51" i="39"/>
  <c r="AU51" i="39"/>
  <c r="AT51" i="39"/>
  <c r="AX50" i="39"/>
  <c r="AW50" i="39"/>
  <c r="AR50" i="39"/>
  <c r="AQ50" i="39"/>
  <c r="AX48" i="39"/>
  <c r="AU48" i="39"/>
  <c r="AR48" i="39"/>
  <c r="AQ48" i="39"/>
  <c r="AU47" i="39"/>
  <c r="AR47" i="39"/>
  <c r="AQ47" i="39"/>
  <c r="AX47" i="39"/>
  <c r="AW47" i="39"/>
  <c r="AT47" i="39"/>
  <c r="AW46" i="39"/>
  <c r="AV46" i="39"/>
  <c r="AR46" i="39"/>
  <c r="AR49" i="39" s="1"/>
  <c r="AX46" i="39"/>
  <c r="AX44" i="39"/>
  <c r="AX45" i="39" s="1"/>
  <c r="AW44" i="39"/>
  <c r="AW45" i="39" s="1"/>
  <c r="AR44" i="39"/>
  <c r="AR45" i="39" s="1"/>
  <c r="AQ44" i="39"/>
  <c r="AQ45" i="39" s="1"/>
  <c r="AX42" i="39"/>
  <c r="AR42" i="39"/>
  <c r="AR134" i="39" s="1"/>
  <c r="AM134" i="39"/>
  <c r="Y134" i="39"/>
  <c r="AU40" i="39"/>
  <c r="AR40" i="39"/>
  <c r="AQ40" i="39"/>
  <c r="AW40" i="39"/>
  <c r="AT40" i="39"/>
  <c r="AV39" i="39"/>
  <c r="AR39" i="39"/>
  <c r="AX39" i="39"/>
  <c r="AW39" i="39"/>
  <c r="AU39" i="39"/>
  <c r="AQ39" i="39"/>
  <c r="AT39" i="39"/>
  <c r="AW38" i="39"/>
  <c r="AR38" i="39"/>
  <c r="AV38" i="39"/>
  <c r="AX38" i="39"/>
  <c r="AU38" i="39"/>
  <c r="AQ38" i="39"/>
  <c r="AT38" i="39"/>
  <c r="AX37" i="39"/>
  <c r="AR37" i="39"/>
  <c r="AU37" i="39"/>
  <c r="AQ37" i="39"/>
  <c r="AU35" i="39"/>
  <c r="AR35" i="39"/>
  <c r="AQ35" i="39"/>
  <c r="AX35" i="39"/>
  <c r="AW35" i="39"/>
  <c r="AR34" i="39"/>
  <c r="AV34" i="39"/>
  <c r="AX34" i="39"/>
  <c r="AW34" i="39"/>
  <c r="AU34" i="39"/>
  <c r="AQ34" i="39"/>
  <c r="AT34" i="39"/>
  <c r="AW33" i="39"/>
  <c r="AR33" i="39"/>
  <c r="AV33" i="39"/>
  <c r="AX33" i="39"/>
  <c r="AU33" i="39"/>
  <c r="AQ33" i="39"/>
  <c r="AT33" i="39"/>
  <c r="AX32" i="39"/>
  <c r="AR32" i="39"/>
  <c r="AP32" i="39"/>
  <c r="AU32" i="39"/>
  <c r="AS32" i="39"/>
  <c r="AU31" i="39"/>
  <c r="AR31" i="39"/>
  <c r="AX31" i="39"/>
  <c r="AQ31" i="39"/>
  <c r="AU29" i="39"/>
  <c r="AR29" i="39"/>
  <c r="AW29" i="39"/>
  <c r="AT29" i="39"/>
  <c r="AQ29" i="39"/>
  <c r="AW28" i="39"/>
  <c r="AV28" i="39"/>
  <c r="AR28" i="39"/>
  <c r="AX28" i="39"/>
  <c r="AU28" i="39"/>
  <c r="AQ28" i="39"/>
  <c r="AT28" i="39"/>
  <c r="AX27" i="39"/>
  <c r="AW27" i="39"/>
  <c r="AR27" i="39"/>
  <c r="AV27" i="39"/>
  <c r="AU27" i="39"/>
  <c r="AS27" i="39"/>
  <c r="AQ27" i="39"/>
  <c r="AT27" i="39"/>
  <c r="AX26" i="39"/>
  <c r="AR26" i="39"/>
  <c r="AQ26" i="39"/>
  <c r="AU26" i="39"/>
  <c r="AR25" i="39"/>
  <c r="AR129" i="39" s="1"/>
  <c r="AQ25" i="39"/>
  <c r="AM129" i="39"/>
  <c r="AE129" i="39"/>
  <c r="S129" i="39"/>
  <c r="AW23" i="39"/>
  <c r="AR23" i="39"/>
  <c r="AV23" i="39"/>
  <c r="AX23" i="39"/>
  <c r="AU23" i="39"/>
  <c r="AQ23" i="39"/>
  <c r="AX22" i="39"/>
  <c r="AW22" i="39"/>
  <c r="AR22" i="39"/>
  <c r="AR133" i="39" s="1"/>
  <c r="AW21" i="39"/>
  <c r="AU21" i="39"/>
  <c r="AR21" i="39"/>
  <c r="AQ21" i="39"/>
  <c r="AX21" i="39"/>
  <c r="AT21" i="39"/>
  <c r="AU20" i="39"/>
  <c r="AR20" i="39"/>
  <c r="AQ20" i="39"/>
  <c r="AX20" i="39"/>
  <c r="AW19" i="39"/>
  <c r="AU19" i="39"/>
  <c r="AR19" i="39"/>
  <c r="AX17" i="39"/>
  <c r="AW17" i="39"/>
  <c r="AR17" i="39"/>
  <c r="AX16" i="39"/>
  <c r="AW16" i="39"/>
  <c r="AU16" i="39"/>
  <c r="AR16" i="39"/>
  <c r="AQ16" i="39"/>
  <c r="AP16" i="39"/>
  <c r="AV16" i="39"/>
  <c r="AS16" i="39"/>
  <c r="AT16" i="39"/>
  <c r="AX15" i="39"/>
  <c r="AU15" i="39"/>
  <c r="AR15" i="39"/>
  <c r="AR18" i="39" s="1"/>
  <c r="AQ15" i="39"/>
  <c r="AW14" i="39"/>
  <c r="AR14" i="39"/>
  <c r="AU14" i="39"/>
  <c r="Y126" i="39"/>
  <c r="AX12" i="39"/>
  <c r="AW12" i="39"/>
  <c r="AW135" i="39" s="1"/>
  <c r="AR12" i="39"/>
  <c r="AR135" i="39" s="1"/>
  <c r="AN135" i="39"/>
  <c r="AM135" i="39"/>
  <c r="Z18" i="42" l="1"/>
  <c r="AF12" i="42"/>
  <c r="AF18" i="42" s="1"/>
  <c r="Z76" i="42"/>
  <c r="AF70" i="42"/>
  <c r="AF76" i="42" s="1"/>
  <c r="AF47" i="42"/>
  <c r="AF52" i="42" s="1"/>
  <c r="Z52" i="42"/>
  <c r="Z95" i="42"/>
  <c r="AF90" i="42"/>
  <c r="AF95" i="42" s="1"/>
  <c r="Z188" i="42"/>
  <c r="AF183" i="42"/>
  <c r="AF188" i="42" s="1"/>
  <c r="AF130" i="42"/>
  <c r="AF177" i="42"/>
  <c r="AF182" i="42" s="1"/>
  <c r="Z182" i="42"/>
  <c r="Z154" i="42"/>
  <c r="AF31" i="42"/>
  <c r="AF34" i="42" s="1"/>
  <c r="Z34" i="42"/>
  <c r="AF35" i="42"/>
  <c r="AF38" i="42" s="1"/>
  <c r="Z38" i="42"/>
  <c r="AF58" i="42"/>
  <c r="AF136" i="42"/>
  <c r="AF111" i="42"/>
  <c r="AW38" i="42"/>
  <c r="AU98" i="42"/>
  <c r="AU124" i="42"/>
  <c r="AW136" i="42"/>
  <c r="AF69" i="42"/>
  <c r="AF87" i="42"/>
  <c r="AF89" i="42" s="1"/>
  <c r="Z89" i="42"/>
  <c r="AF170" i="42"/>
  <c r="AF176" i="42" s="1"/>
  <c r="Z176" i="42"/>
  <c r="AU41" i="42"/>
  <c r="AX76" i="42"/>
  <c r="AU163" i="42"/>
  <c r="X199" i="42"/>
  <c r="AH199" i="42"/>
  <c r="AF64" i="42"/>
  <c r="AF144" i="42"/>
  <c r="AF146" i="42" s="1"/>
  <c r="Z146" i="42"/>
  <c r="AF22" i="42"/>
  <c r="AF131" i="42"/>
  <c r="AF133" i="42" s="1"/>
  <c r="Z133" i="42"/>
  <c r="AF163" i="42"/>
  <c r="AF190" i="42"/>
  <c r="AF195" i="42" s="1"/>
  <c r="Z30" i="42"/>
  <c r="AF27" i="42"/>
  <c r="AF30" i="42" s="1"/>
  <c r="Z195" i="42"/>
  <c r="AF85" i="42"/>
  <c r="AF169" i="42"/>
  <c r="AF156" i="42"/>
  <c r="AF160" i="42" s="1"/>
  <c r="AW63" i="41"/>
  <c r="AH145" i="41"/>
  <c r="AF82" i="41"/>
  <c r="AF85" i="41" s="1"/>
  <c r="Z85" i="41"/>
  <c r="Z45" i="41"/>
  <c r="AF39" i="41"/>
  <c r="AF45" i="41" s="1"/>
  <c r="Z52" i="41"/>
  <c r="AF46" i="41"/>
  <c r="AF52" i="41" s="1"/>
  <c r="Z141" i="41"/>
  <c r="AF135" i="41"/>
  <c r="AF141" i="41" s="1"/>
  <c r="AF75" i="41"/>
  <c r="AF81" i="41" s="1"/>
  <c r="Z81" i="41"/>
  <c r="AX63" i="41"/>
  <c r="AU103" i="41"/>
  <c r="T145" i="41"/>
  <c r="AF99" i="41"/>
  <c r="AF100" i="41" s="1"/>
  <c r="AF53" i="41"/>
  <c r="AF60" i="41" s="1"/>
  <c r="Z60" i="41"/>
  <c r="AF61" i="41"/>
  <c r="AF63" i="41" s="1"/>
  <c r="Z63" i="41"/>
  <c r="Z100" i="41"/>
  <c r="AF27" i="41"/>
  <c r="AF110" i="41"/>
  <c r="AF64" i="41"/>
  <c r="AF67" i="41" s="1"/>
  <c r="Z67" i="41"/>
  <c r="AF33" i="41"/>
  <c r="AF38" i="41" s="1"/>
  <c r="Z38" i="41"/>
  <c r="X145" i="41"/>
  <c r="AQ81" i="41"/>
  <c r="AJ145" i="41"/>
  <c r="AF125" i="41"/>
  <c r="Z21" i="41"/>
  <c r="AF17" i="41"/>
  <c r="AF21" i="41" s="1"/>
  <c r="AF117" i="41"/>
  <c r="AF16" i="41"/>
  <c r="Z166" i="40"/>
  <c r="AF163" i="40"/>
  <c r="AF166" i="40" s="1"/>
  <c r="AF63" i="40"/>
  <c r="AF69" i="40" s="1"/>
  <c r="Z69" i="40"/>
  <c r="AF130" i="40"/>
  <c r="AF132" i="40" s="1"/>
  <c r="AF12" i="40"/>
  <c r="AF15" i="40" s="1"/>
  <c r="Z15" i="40"/>
  <c r="AF91" i="40"/>
  <c r="AF93" i="40" s="1"/>
  <c r="Z93" i="40"/>
  <c r="AF127" i="40"/>
  <c r="AF129" i="40" s="1"/>
  <c r="Z129" i="40"/>
  <c r="AF70" i="40"/>
  <c r="AF76" i="40" s="1"/>
  <c r="Z76" i="40"/>
  <c r="AF133" i="40"/>
  <c r="AF139" i="40" s="1"/>
  <c r="Z139" i="40"/>
  <c r="AF36" i="40"/>
  <c r="AF41" i="40" s="1"/>
  <c r="Z41" i="40"/>
  <c r="AF94" i="40"/>
  <c r="AF99" i="40" s="1"/>
  <c r="Z99" i="40"/>
  <c r="Z83" i="40"/>
  <c r="AF77" i="40"/>
  <c r="AF83" i="40" s="1"/>
  <c r="Z90" i="40"/>
  <c r="AF84" i="40"/>
  <c r="AF90" i="40" s="1"/>
  <c r="Z103" i="40"/>
  <c r="AF100" i="40"/>
  <c r="AF103" i="40" s="1"/>
  <c r="AF116" i="40"/>
  <c r="Z120" i="40"/>
  <c r="AF117" i="40"/>
  <c r="AF120" i="40" s="1"/>
  <c r="AF147" i="40"/>
  <c r="AF153" i="40" s="1"/>
  <c r="Z153" i="40"/>
  <c r="AF35" i="40"/>
  <c r="AF25" i="40"/>
  <c r="AF26" i="40" s="1"/>
  <c r="Z26" i="40"/>
  <c r="AF157" i="40"/>
  <c r="AF162" i="40" s="1"/>
  <c r="Z162" i="40"/>
  <c r="AF126" i="40"/>
  <c r="AF19" i="40"/>
  <c r="AF104" i="40"/>
  <c r="AF109" i="40" s="1"/>
  <c r="Z109" i="40"/>
  <c r="AF140" i="40"/>
  <c r="AF146" i="40" s="1"/>
  <c r="Z146" i="40"/>
  <c r="AF154" i="40"/>
  <c r="AF156" i="40" s="1"/>
  <c r="Z156" i="40"/>
  <c r="AU103" i="40"/>
  <c r="AR156" i="40"/>
  <c r="AR139" i="40"/>
  <c r="AQ156" i="40"/>
  <c r="AW19" i="40"/>
  <c r="AU99" i="40"/>
  <c r="AG170" i="40"/>
  <c r="AR174" i="40"/>
  <c r="V167" i="40"/>
  <c r="AR23" i="40"/>
  <c r="AR69" i="40"/>
  <c r="AR116" i="40"/>
  <c r="AN167" i="40"/>
  <c r="AB167" i="40"/>
  <c r="AU54" i="40"/>
  <c r="AA167" i="40"/>
  <c r="AH170" i="40"/>
  <c r="AK170" i="40"/>
  <c r="AJ125" i="39"/>
  <c r="AS141" i="40"/>
  <c r="AU156" i="40"/>
  <c r="AX162" i="40"/>
  <c r="AO164" i="40"/>
  <c r="AQ139" i="40"/>
  <c r="X170" i="40"/>
  <c r="AQ120" i="40"/>
  <c r="AQ129" i="40"/>
  <c r="AX129" i="40"/>
  <c r="AS134" i="40"/>
  <c r="AX49" i="39"/>
  <c r="AX78" i="39"/>
  <c r="AX134" i="39"/>
  <c r="X125" i="39"/>
  <c r="AD125" i="39"/>
  <c r="AF79" i="39"/>
  <c r="AF85" i="39" s="1"/>
  <c r="Z85" i="39"/>
  <c r="AF121" i="39"/>
  <c r="AF41" i="39"/>
  <c r="AF99" i="39"/>
  <c r="AF92" i="39"/>
  <c r="Z116" i="39"/>
  <c r="AF114" i="39"/>
  <c r="AF116" i="39" s="1"/>
  <c r="AF30" i="39"/>
  <c r="AV191" i="42"/>
  <c r="AJ199" i="42"/>
  <c r="AW22" i="42"/>
  <c r="AS191" i="42"/>
  <c r="AS165" i="42"/>
  <c r="AU27" i="42"/>
  <c r="AD199" i="42"/>
  <c r="U199" i="42"/>
  <c r="T199" i="42"/>
  <c r="AU22" i="42"/>
  <c r="AR22" i="42"/>
  <c r="AW26" i="42"/>
  <c r="AU26" i="42"/>
  <c r="AU30" i="42"/>
  <c r="AU38" i="42"/>
  <c r="AR38" i="42"/>
  <c r="AW41" i="42"/>
  <c r="AX44" i="42"/>
  <c r="AQ76" i="42"/>
  <c r="AR104" i="42"/>
  <c r="AQ114" i="42"/>
  <c r="AR114" i="42"/>
  <c r="P197" i="42"/>
  <c r="J22" i="45"/>
  <c r="J199" i="42"/>
  <c r="N199" i="42"/>
  <c r="R199" i="42"/>
  <c r="AX22" i="42"/>
  <c r="AX26" i="42"/>
  <c r="AX30" i="42"/>
  <c r="AW30" i="42"/>
  <c r="AX38" i="42"/>
  <c r="AX41" i="42"/>
  <c r="AQ44" i="42"/>
  <c r="AR69" i="42"/>
  <c r="AQ85" i="42"/>
  <c r="AX89" i="42"/>
  <c r="AQ111" i="42"/>
  <c r="AR120" i="42"/>
  <c r="AR130" i="42"/>
  <c r="AU133" i="42"/>
  <c r="AR136" i="42"/>
  <c r="AU160" i="42"/>
  <c r="AQ163" i="42"/>
  <c r="AR163" i="42"/>
  <c r="AR26" i="42"/>
  <c r="AQ30" i="42"/>
  <c r="AQ41" i="42"/>
  <c r="AQ95" i="42"/>
  <c r="AX104" i="42"/>
  <c r="AU136" i="42"/>
  <c r="AW146" i="42"/>
  <c r="AQ151" i="42"/>
  <c r="I197" i="42"/>
  <c r="L199" i="42"/>
  <c r="P199" i="42"/>
  <c r="AW131" i="41"/>
  <c r="AU12" i="41"/>
  <c r="AD145" i="41"/>
  <c r="AJ170" i="40"/>
  <c r="AX60" i="41"/>
  <c r="AR74" i="41"/>
  <c r="AR100" i="41"/>
  <c r="L145" i="41"/>
  <c r="I143" i="41"/>
  <c r="C21" i="45"/>
  <c r="P143" i="41"/>
  <c r="K21" i="45"/>
  <c r="AR32" i="41"/>
  <c r="AX52" i="41"/>
  <c r="AQ95" i="41"/>
  <c r="P145" i="41"/>
  <c r="AU152" i="41"/>
  <c r="AU27" i="41"/>
  <c r="AX154" i="41"/>
  <c r="AU45" i="41"/>
  <c r="AU81" i="41"/>
  <c r="AR81" i="41"/>
  <c r="AX97" i="41"/>
  <c r="AU110" i="41"/>
  <c r="AQ125" i="41"/>
  <c r="AR125" i="41"/>
  <c r="AR21" i="41"/>
  <c r="AX32" i="41"/>
  <c r="AX45" i="41"/>
  <c r="AU63" i="41"/>
  <c r="AR63" i="41"/>
  <c r="AQ117" i="41"/>
  <c r="AR117" i="41"/>
  <c r="AX129" i="41"/>
  <c r="AX134" i="41"/>
  <c r="J145" i="41"/>
  <c r="N145" i="41"/>
  <c r="R145" i="41"/>
  <c r="AW142" i="40"/>
  <c r="AW86" i="40"/>
  <c r="T170" i="40"/>
  <c r="AD170" i="40"/>
  <c r="U170" i="40"/>
  <c r="AW47" i="40"/>
  <c r="AR99" i="40"/>
  <c r="AU109" i="40"/>
  <c r="AX116" i="40"/>
  <c r="J170" i="40"/>
  <c r="AU69" i="40"/>
  <c r="AW120" i="40"/>
  <c r="AU139" i="40"/>
  <c r="I168" i="40"/>
  <c r="C20" i="45"/>
  <c r="AR109" i="40"/>
  <c r="AU28" i="40"/>
  <c r="AR54" i="40"/>
  <c r="AR166" i="40"/>
  <c r="N170" i="40"/>
  <c r="R170" i="40"/>
  <c r="AQ47" i="40"/>
  <c r="AR120" i="40"/>
  <c r="AU129" i="40"/>
  <c r="AR177" i="40"/>
  <c r="AR19" i="40"/>
  <c r="AX23" i="40"/>
  <c r="AR26" i="40"/>
  <c r="AR173" i="40"/>
  <c r="AX179" i="40"/>
  <c r="AR83" i="40"/>
  <c r="AR93" i="40"/>
  <c r="AW93" i="40"/>
  <c r="AW129" i="40"/>
  <c r="AR153" i="40"/>
  <c r="L170" i="40"/>
  <c r="P170" i="40"/>
  <c r="AI125" i="39"/>
  <c r="AC125" i="39"/>
  <c r="Y127" i="39"/>
  <c r="U125" i="39"/>
  <c r="T125" i="39"/>
  <c r="AO16" i="39"/>
  <c r="AR127" i="39"/>
  <c r="P123" i="39"/>
  <c r="K19" i="45"/>
  <c r="P125" i="39"/>
  <c r="AU92" i="39"/>
  <c r="I123" i="39"/>
  <c r="C19" i="45"/>
  <c r="K125" i="39"/>
  <c r="O125" i="39"/>
  <c r="AR126" i="39"/>
  <c r="AX55" i="39"/>
  <c r="L125" i="39"/>
  <c r="AR132" i="39"/>
  <c r="AQ30" i="39"/>
  <c r="AR36" i="39"/>
  <c r="AU41" i="39"/>
  <c r="AR64" i="39"/>
  <c r="AX92" i="39"/>
  <c r="AR99" i="39"/>
  <c r="AR121" i="39"/>
  <c r="AR122" i="39" s="1"/>
  <c r="AK19" i="45" s="1"/>
  <c r="I125" i="39"/>
  <c r="M125" i="39"/>
  <c r="Q125" i="39"/>
  <c r="P124" i="39" s="1"/>
  <c r="AI199" i="42"/>
  <c r="K199" i="42"/>
  <c r="O199" i="42"/>
  <c r="AP16" i="42"/>
  <c r="AS16" i="42"/>
  <c r="AO29" i="42"/>
  <c r="AT29" i="42"/>
  <c r="AP29" i="42"/>
  <c r="AS29" i="42"/>
  <c r="AO56" i="42"/>
  <c r="AP56" i="42"/>
  <c r="AT56" i="42"/>
  <c r="AS56" i="42"/>
  <c r="AP12" i="42"/>
  <c r="AU18" i="42"/>
  <c r="AT15" i="42"/>
  <c r="AP15" i="42"/>
  <c r="AS15" i="42"/>
  <c r="AX16" i="42"/>
  <c r="AV16" i="42"/>
  <c r="AP19" i="42"/>
  <c r="AT25" i="42"/>
  <c r="AP25" i="42"/>
  <c r="AS25" i="42"/>
  <c r="AW34" i="42"/>
  <c r="AP35" i="42"/>
  <c r="AP42" i="42"/>
  <c r="AP44" i="42" s="1"/>
  <c r="AP47" i="42"/>
  <c r="AX58" i="42"/>
  <c r="AP55" i="42"/>
  <c r="AS55" i="42"/>
  <c r="AO55" i="42"/>
  <c r="AT55" i="42"/>
  <c r="AP61" i="42"/>
  <c r="AT61" i="42"/>
  <c r="AS61" i="42"/>
  <c r="AM200" i="42"/>
  <c r="AX12" i="42"/>
  <c r="AT16" i="42"/>
  <c r="S206" i="42"/>
  <c r="AL206" i="42"/>
  <c r="AW17" i="42"/>
  <c r="AP31" i="42"/>
  <c r="AT51" i="42"/>
  <c r="AS51" i="42"/>
  <c r="AP51" i="42"/>
  <c r="AO51" i="42"/>
  <c r="AO109" i="42"/>
  <c r="AQ18" i="42"/>
  <c r="V200" i="42"/>
  <c r="AW13" i="42"/>
  <c r="AV13" i="42"/>
  <c r="AT20" i="42"/>
  <c r="AP20" i="42"/>
  <c r="AS20" i="42"/>
  <c r="AQ26" i="42"/>
  <c r="AT24" i="42"/>
  <c r="AP24" i="42"/>
  <c r="AS24" i="42"/>
  <c r="AT36" i="42"/>
  <c r="AP36" i="42"/>
  <c r="AS36" i="42"/>
  <c r="AT40" i="42"/>
  <c r="AP40" i="42"/>
  <c r="AS40" i="42"/>
  <c r="AO66" i="42"/>
  <c r="AS66" i="42"/>
  <c r="AP66" i="42"/>
  <c r="AT66" i="42"/>
  <c r="AT69" i="42" s="1"/>
  <c r="AQ50" i="42"/>
  <c r="AE203" i="42"/>
  <c r="AU59" i="42"/>
  <c r="AV65" i="42"/>
  <c r="AP80" i="42"/>
  <c r="AS80" i="42"/>
  <c r="AW83" i="42"/>
  <c r="AW85" i="42" s="1"/>
  <c r="AV83" i="42"/>
  <c r="AU86" i="42"/>
  <c r="AU89" i="42" s="1"/>
  <c r="AW88" i="42"/>
  <c r="AW89" i="42" s="1"/>
  <c r="AV88" i="42"/>
  <c r="AT93" i="42"/>
  <c r="AW108" i="42"/>
  <c r="AW111" i="42" s="1"/>
  <c r="AV108" i="42"/>
  <c r="AP112" i="42"/>
  <c r="AX137" i="42"/>
  <c r="AX143" i="42" s="1"/>
  <c r="AO140" i="42"/>
  <c r="AP140" i="42"/>
  <c r="AS140" i="42"/>
  <c r="AT140" i="42"/>
  <c r="AO159" i="42"/>
  <c r="AS159" i="42"/>
  <c r="AP159" i="42"/>
  <c r="AT159" i="42"/>
  <c r="AU174" i="42"/>
  <c r="Y200" i="42"/>
  <c r="AE200" i="42"/>
  <c r="AR200" i="42"/>
  <c r="AM206" i="42"/>
  <c r="AV21" i="42"/>
  <c r="AV32" i="42"/>
  <c r="AV37" i="42"/>
  <c r="AV43" i="42"/>
  <c r="AV44" i="42" s="1"/>
  <c r="AQ46" i="42"/>
  <c r="AU46" i="42"/>
  <c r="AL201" i="42"/>
  <c r="AM207" i="42"/>
  <c r="AR207" i="42"/>
  <c r="AX50" i="42"/>
  <c r="AQ58" i="42"/>
  <c r="AV55" i="42"/>
  <c r="AP57" i="42"/>
  <c r="AV60" i="42"/>
  <c r="AP62" i="42"/>
  <c r="AQ69" i="42"/>
  <c r="AP70" i="42"/>
  <c r="AR76" i="42"/>
  <c r="AW75" i="42"/>
  <c r="AV75" i="42"/>
  <c r="AR85" i="42"/>
  <c r="AX98" i="42"/>
  <c r="AW99" i="42"/>
  <c r="AT100" i="42"/>
  <c r="AP100" i="42"/>
  <c r="AS100" i="42"/>
  <c r="AP102" i="42"/>
  <c r="AS102" i="42"/>
  <c r="AW117" i="42"/>
  <c r="AW120" i="42" s="1"/>
  <c r="AV117" i="42"/>
  <c r="AS126" i="42"/>
  <c r="AT126" i="42"/>
  <c r="AO127" i="42"/>
  <c r="AT145" i="42"/>
  <c r="AP145" i="42"/>
  <c r="AS145" i="42"/>
  <c r="AW148" i="42"/>
  <c r="AV148" i="42"/>
  <c r="AU153" i="42"/>
  <c r="AU206" i="42" s="1"/>
  <c r="AQ155" i="42"/>
  <c r="AQ160" i="42" s="1"/>
  <c r="AX155" i="42"/>
  <c r="AX160" i="42" s="1"/>
  <c r="AP189" i="42"/>
  <c r="S201" i="42"/>
  <c r="AT21" i="42"/>
  <c r="AV31" i="42"/>
  <c r="AT32" i="42"/>
  <c r="AT43" i="42"/>
  <c r="AX46" i="42"/>
  <c r="AL207" i="42"/>
  <c r="AW50" i="42"/>
  <c r="AU53" i="42"/>
  <c r="AU58" i="42" s="1"/>
  <c r="AW56" i="42"/>
  <c r="AW58" i="42" s="1"/>
  <c r="AV56" i="42"/>
  <c r="AW61" i="42"/>
  <c r="AW64" i="42" s="1"/>
  <c r="AV61" i="42"/>
  <c r="AP74" i="42"/>
  <c r="AS74" i="42"/>
  <c r="AW93" i="42"/>
  <c r="AW95" i="42" s="1"/>
  <c r="AV93" i="42"/>
  <c r="AO108" i="42"/>
  <c r="AT108" i="42"/>
  <c r="AP113" i="42"/>
  <c r="AS113" i="42"/>
  <c r="AT113" i="42"/>
  <c r="AW122" i="42"/>
  <c r="AW124" i="42" s="1"/>
  <c r="AV122" i="42"/>
  <c r="AM202" i="42"/>
  <c r="AQ202" i="42"/>
  <c r="Y206" i="42"/>
  <c r="AE206" i="42"/>
  <c r="AR206" i="42"/>
  <c r="AR18" i="42"/>
  <c r="AV28" i="42"/>
  <c r="AO32" i="42"/>
  <c r="AV33" i="42"/>
  <c r="AR46" i="42"/>
  <c r="AM201" i="42"/>
  <c r="AW47" i="42"/>
  <c r="AP48" i="42"/>
  <c r="AP49" i="42"/>
  <c r="AS49" i="42"/>
  <c r="AV49" i="42"/>
  <c r="S207" i="42"/>
  <c r="AV53" i="42"/>
  <c r="AP54" i="42"/>
  <c r="AS54" i="42"/>
  <c r="AV54" i="42"/>
  <c r="AO57" i="42"/>
  <c r="Y203" i="42"/>
  <c r="AQ59" i="42"/>
  <c r="AR203" i="42"/>
  <c r="AP65" i="42"/>
  <c r="AU70" i="42"/>
  <c r="AU76" i="42" s="1"/>
  <c r="AW71" i="42"/>
  <c r="AW76" i="42" s="1"/>
  <c r="AV71" i="42"/>
  <c r="AT74" i="42"/>
  <c r="AV74" i="42"/>
  <c r="AS75" i="42"/>
  <c r="AL208" i="42"/>
  <c r="AW78" i="42"/>
  <c r="AS83" i="42"/>
  <c r="AT84" i="42"/>
  <c r="AP84" i="42"/>
  <c r="AS84" i="42"/>
  <c r="AT86" i="42"/>
  <c r="AS88" i="42"/>
  <c r="AS93" i="42"/>
  <c r="AP93" i="42"/>
  <c r="AQ96" i="42"/>
  <c r="AQ98" i="42" s="1"/>
  <c r="AT103" i="42"/>
  <c r="AW103" i="42"/>
  <c r="AV103" i="42"/>
  <c r="AS108" i="42"/>
  <c r="AP108" i="42"/>
  <c r="AO113" i="42"/>
  <c r="AO117" i="42"/>
  <c r="AT117" i="42"/>
  <c r="AP117" i="42"/>
  <c r="AS117" i="42"/>
  <c r="AP126" i="42"/>
  <c r="AT148" i="42"/>
  <c r="AS148" i="42"/>
  <c r="AP148" i="42"/>
  <c r="AT37" i="42"/>
  <c r="S208" i="42"/>
  <c r="AT83" i="42"/>
  <c r="AT88" i="42"/>
  <c r="AT94" i="42"/>
  <c r="AP94" i="42"/>
  <c r="AS94" i="42"/>
  <c r="AT109" i="42"/>
  <c r="AP109" i="42"/>
  <c r="AS109" i="42"/>
  <c r="AV112" i="42"/>
  <c r="AV114" i="42" s="1"/>
  <c r="AV135" i="42"/>
  <c r="S200" i="42"/>
  <c r="AL200" i="42"/>
  <c r="Y202" i="42"/>
  <c r="AE202" i="42"/>
  <c r="AR202" i="42"/>
  <c r="AS21" i="42"/>
  <c r="AQ31" i="42"/>
  <c r="AQ34" i="42" s="1"/>
  <c r="AS32" i="42"/>
  <c r="AS37" i="42"/>
  <c r="AS43" i="42"/>
  <c r="AW45" i="42"/>
  <c r="AX47" i="42"/>
  <c r="AS48" i="42"/>
  <c r="AE207" i="42"/>
  <c r="AU50" i="42"/>
  <c r="AU207" i="42" s="1"/>
  <c r="AW51" i="42"/>
  <c r="AR58" i="42"/>
  <c r="AS57" i="42"/>
  <c r="AX64" i="42"/>
  <c r="AP60" i="42"/>
  <c r="AS60" i="42"/>
  <c r="AO60" i="42"/>
  <c r="AS62" i="42"/>
  <c r="AX65" i="42"/>
  <c r="AX69" i="42" s="1"/>
  <c r="AU65" i="42"/>
  <c r="AU69" i="42" s="1"/>
  <c r="AW66" i="42"/>
  <c r="AV66" i="42"/>
  <c r="AP72" i="42"/>
  <c r="AW72" i="42"/>
  <c r="AT75" i="42"/>
  <c r="AP75" i="42"/>
  <c r="AX78" i="42"/>
  <c r="AX85" i="42"/>
  <c r="AP82" i="42"/>
  <c r="AS82" i="42"/>
  <c r="AQ86" i="42"/>
  <c r="AQ89" i="42" s="1"/>
  <c r="AP87" i="42"/>
  <c r="AS87" i="42"/>
  <c r="AO87" i="42"/>
  <c r="AX95" i="42"/>
  <c r="AP92" i="42"/>
  <c r="AS92" i="42"/>
  <c r="AP97" i="42"/>
  <c r="AS97" i="42"/>
  <c r="AO97" i="42"/>
  <c r="AU104" i="42"/>
  <c r="AT102" i="42"/>
  <c r="AP105" i="42"/>
  <c r="AP107" i="42"/>
  <c r="AS107" i="42"/>
  <c r="AO107" i="42"/>
  <c r="AX112" i="42"/>
  <c r="AX114" i="42" s="1"/>
  <c r="AU115" i="42"/>
  <c r="AU120" i="42" s="1"/>
  <c r="AO123" i="42"/>
  <c r="AU125" i="42"/>
  <c r="AU130" i="42" s="1"/>
  <c r="AQ134" i="42"/>
  <c r="AQ136" i="42" s="1"/>
  <c r="AX135" i="42"/>
  <c r="AT137" i="42"/>
  <c r="AP139" i="42"/>
  <c r="AS139" i="42"/>
  <c r="AT139" i="42"/>
  <c r="AO139" i="42"/>
  <c r="AW140" i="42"/>
  <c r="AW143" i="42" s="1"/>
  <c r="AV140" i="42"/>
  <c r="AW159" i="42"/>
  <c r="AV159" i="42"/>
  <c r="AQ183" i="42"/>
  <c r="AQ188" i="42" s="1"/>
  <c r="Y201" i="42"/>
  <c r="AE201" i="42"/>
  <c r="AR201" i="42"/>
  <c r="AR52" i="42"/>
  <c r="S203" i="42"/>
  <c r="AL203" i="42"/>
  <c r="AP59" i="42"/>
  <c r="AS63" i="42"/>
  <c r="AP63" i="42"/>
  <c r="AW65" i="42"/>
  <c r="AS68" i="42"/>
  <c r="AP68" i="42"/>
  <c r="AS73" i="42"/>
  <c r="AP73" i="42"/>
  <c r="AQ77" i="42"/>
  <c r="AU77" i="42"/>
  <c r="AU79" i="42"/>
  <c r="AU85" i="42" s="1"/>
  <c r="AV82" i="42"/>
  <c r="AV87" i="42"/>
  <c r="AV89" i="42" s="1"/>
  <c r="AV92" i="42"/>
  <c r="AV97" i="42"/>
  <c r="AV98" i="42" s="1"/>
  <c r="AV102" i="42"/>
  <c r="AX111" i="42"/>
  <c r="AV107" i="42"/>
  <c r="AO110" i="42"/>
  <c r="AX116" i="42"/>
  <c r="AX120" i="42" s="1"/>
  <c r="AV116" i="42"/>
  <c r="AP118" i="42"/>
  <c r="AS118" i="42"/>
  <c r="AS119" i="42"/>
  <c r="AV119" i="42"/>
  <c r="AT121" i="42"/>
  <c r="AX121" i="42"/>
  <c r="AX124" i="42" s="1"/>
  <c r="AP123" i="42"/>
  <c r="AS123" i="42"/>
  <c r="AV129" i="42"/>
  <c r="AT134" i="42"/>
  <c r="AX134" i="42"/>
  <c r="AS135" i="42"/>
  <c r="AS137" i="42"/>
  <c r="AP137" i="42"/>
  <c r="AV138" i="42"/>
  <c r="AQ144" i="42"/>
  <c r="AQ146" i="42" s="1"/>
  <c r="AX145" i="42"/>
  <c r="AX147" i="42"/>
  <c r="AX151" i="42" s="1"/>
  <c r="AT147" i="42"/>
  <c r="AP149" i="42"/>
  <c r="AS149" i="42"/>
  <c r="AT149" i="42"/>
  <c r="AP153" i="42"/>
  <c r="AS153" i="42"/>
  <c r="AT153" i="42"/>
  <c r="AW157" i="42"/>
  <c r="AP161" i="42"/>
  <c r="AP163" i="42" s="1"/>
  <c r="AV161" i="42"/>
  <c r="AS161" i="42"/>
  <c r="AS163" i="42" s="1"/>
  <c r="AD196" i="42"/>
  <c r="W22" i="45" s="1"/>
  <c r="AQ164" i="42"/>
  <c r="AQ169" i="42" s="1"/>
  <c r="AT166" i="42"/>
  <c r="AP170" i="42"/>
  <c r="AR176" i="42"/>
  <c r="AR196" i="42" s="1"/>
  <c r="AK22" i="45" s="1"/>
  <c r="AQ176" i="42"/>
  <c r="AV172" i="42"/>
  <c r="AW172" i="42"/>
  <c r="AT186" i="42"/>
  <c r="AO186" i="42"/>
  <c r="AP186" i="42"/>
  <c r="AH196" i="42"/>
  <c r="AA22" i="45" s="1"/>
  <c r="AM203" i="42"/>
  <c r="AR78" i="42"/>
  <c r="AS81" i="42"/>
  <c r="AP81" i="42"/>
  <c r="AP86" i="42"/>
  <c r="AU90" i="42"/>
  <c r="AU95" i="42" s="1"/>
  <c r="AS91" i="42"/>
  <c r="AP91" i="42"/>
  <c r="AP96" i="42"/>
  <c r="AW97" i="42"/>
  <c r="AW98" i="42" s="1"/>
  <c r="AQ100" i="42"/>
  <c r="AQ104" i="42" s="1"/>
  <c r="AS101" i="42"/>
  <c r="AP101" i="42"/>
  <c r="AS106" i="42"/>
  <c r="AP106" i="42"/>
  <c r="AQ115" i="42"/>
  <c r="AQ120" i="42" s="1"/>
  <c r="AP116" i="42"/>
  <c r="AS116" i="42"/>
  <c r="AP121" i="42"/>
  <c r="AX125" i="42"/>
  <c r="AX130" i="42" s="1"/>
  <c r="AT127" i="42"/>
  <c r="AS127" i="42"/>
  <c r="AW131" i="42"/>
  <c r="AW133" i="42" s="1"/>
  <c r="AT144" i="42"/>
  <c r="AX144" i="42"/>
  <c r="AP147" i="42"/>
  <c r="AX153" i="42"/>
  <c r="AX154" i="42" s="1"/>
  <c r="AV153" i="42"/>
  <c r="AO171" i="42"/>
  <c r="AP171" i="42"/>
  <c r="AT171" i="42"/>
  <c r="AP174" i="42"/>
  <c r="AS174" i="42"/>
  <c r="AT174" i="42"/>
  <c r="AX174" i="42"/>
  <c r="AV174" i="42"/>
  <c r="AT181" i="42"/>
  <c r="AP181" i="42"/>
  <c r="AP185" i="42"/>
  <c r="AT185" i="42"/>
  <c r="AV90" i="42"/>
  <c r="AP110" i="42"/>
  <c r="AS110" i="42"/>
  <c r="AW112" i="42"/>
  <c r="AW114" i="42" s="1"/>
  <c r="AV115" i="42"/>
  <c r="AV118" i="42"/>
  <c r="AT119" i="42"/>
  <c r="AV123" i="42"/>
  <c r="AS125" i="42"/>
  <c r="AP128" i="42"/>
  <c r="AP130" i="42" s="1"/>
  <c r="AS128" i="42"/>
  <c r="AT128" i="42"/>
  <c r="AP129" i="42"/>
  <c r="AS129" i="42"/>
  <c r="AQ132" i="42"/>
  <c r="AQ206" i="42" s="1"/>
  <c r="AO135" i="42"/>
  <c r="AT135" i="42"/>
  <c r="AT138" i="42"/>
  <c r="AS138" i="42"/>
  <c r="AT141" i="42"/>
  <c r="AP141" i="42"/>
  <c r="AV141" i="42"/>
  <c r="AW141" i="42"/>
  <c r="AU148" i="42"/>
  <c r="AU151" i="42" s="1"/>
  <c r="AO149" i="42"/>
  <c r="AS156" i="42"/>
  <c r="AT156" i="42"/>
  <c r="AW163" i="42"/>
  <c r="AS166" i="42"/>
  <c r="AT170" i="42"/>
  <c r="AV170" i="42"/>
  <c r="AX176" i="42"/>
  <c r="X196" i="42"/>
  <c r="Q22" i="45" s="1"/>
  <c r="AJ196" i="42"/>
  <c r="AC22" i="45" s="1"/>
  <c r="AV126" i="42"/>
  <c r="AP134" i="42"/>
  <c r="AP136" i="42" s="1"/>
  <c r="AQ143" i="42"/>
  <c r="AU143" i="42"/>
  <c r="AP144" i="42"/>
  <c r="AQ152" i="42"/>
  <c r="AQ154" i="42" s="1"/>
  <c r="AW152" i="42"/>
  <c r="AW154" i="42" s="1"/>
  <c r="AS155" i="42"/>
  <c r="AP158" i="42"/>
  <c r="AS158" i="42"/>
  <c r="AT158" i="42"/>
  <c r="AV162" i="42"/>
  <c r="AW162" i="42"/>
  <c r="AP168" i="42"/>
  <c r="AS168" i="42"/>
  <c r="AT168" i="42"/>
  <c r="AS190" i="42"/>
  <c r="AP190" i="42"/>
  <c r="AO192" i="42"/>
  <c r="AW130" i="42"/>
  <c r="AQ125" i="42"/>
  <c r="AQ130" i="42" s="1"/>
  <c r="AO132" i="42"/>
  <c r="AP132" i="42"/>
  <c r="AO142" i="42"/>
  <c r="AP142" i="42"/>
  <c r="AO150" i="42"/>
  <c r="AV150" i="42"/>
  <c r="AW150" i="42"/>
  <c r="AW151" i="42" s="1"/>
  <c r="AX161" i="42"/>
  <c r="AX163" i="42" s="1"/>
  <c r="AX164" i="42"/>
  <c r="AX169" i="42" s="1"/>
  <c r="AU169" i="42"/>
  <c r="AO165" i="42"/>
  <c r="AW165" i="42"/>
  <c r="AW169" i="42" s="1"/>
  <c r="AV165" i="42"/>
  <c r="AS175" i="42"/>
  <c r="AV178" i="42"/>
  <c r="AW178" i="42"/>
  <c r="AO180" i="42"/>
  <c r="AP180" i="42"/>
  <c r="AW183" i="42"/>
  <c r="AX184" i="42"/>
  <c r="AV184" i="42"/>
  <c r="AX185" i="42"/>
  <c r="AU195" i="42"/>
  <c r="AT190" i="42"/>
  <c r="I199" i="42"/>
  <c r="M199" i="42"/>
  <c r="Q199" i="42"/>
  <c r="AR151" i="42"/>
  <c r="AW155" i="42"/>
  <c r="AR160" i="42"/>
  <c r="AU176" i="42"/>
  <c r="AW175" i="42"/>
  <c r="AV175" i="42"/>
  <c r="AQ178" i="42"/>
  <c r="W196" i="42"/>
  <c r="P22" i="45" s="1"/>
  <c r="AX188" i="42"/>
  <c r="AV189" i="42"/>
  <c r="AP191" i="42"/>
  <c r="AO191" i="42"/>
  <c r="T196" i="42"/>
  <c r="M22" i="45" s="1"/>
  <c r="Y196" i="42"/>
  <c r="R22" i="45" s="1"/>
  <c r="AV156" i="42"/>
  <c r="AP164" i="42"/>
  <c r="AV166" i="42"/>
  <c r="AW171" i="42"/>
  <c r="AV171" i="42"/>
  <c r="AI196" i="42"/>
  <c r="AB22" i="45" s="1"/>
  <c r="AV177" i="42"/>
  <c r="AX182" i="42"/>
  <c r="AP179" i="42"/>
  <c r="AS179" i="42"/>
  <c r="AV181" i="42"/>
  <c r="AW181" i="42"/>
  <c r="AP184" i="42"/>
  <c r="AS184" i="42"/>
  <c r="AO184" i="42"/>
  <c r="AV186" i="42"/>
  <c r="AW186" i="42"/>
  <c r="AT187" i="42"/>
  <c r="AS187" i="42"/>
  <c r="AP187" i="42"/>
  <c r="AO187" i="42"/>
  <c r="AW192" i="42"/>
  <c r="AW195" i="42" s="1"/>
  <c r="AV192" i="42"/>
  <c r="AC199" i="42"/>
  <c r="AS173" i="42"/>
  <c r="AP173" i="42"/>
  <c r="AQ177" i="42"/>
  <c r="AQ182" i="42" s="1"/>
  <c r="AU177" i="42"/>
  <c r="AU182" i="42" s="1"/>
  <c r="AS178" i="42"/>
  <c r="AC196" i="42"/>
  <c r="V22" i="45" s="1"/>
  <c r="AR182" i="42"/>
  <c r="AU183" i="42"/>
  <c r="AU188" i="42" s="1"/>
  <c r="AX189" i="42"/>
  <c r="AX195" i="42" s="1"/>
  <c r="AP192" i="42"/>
  <c r="AT192" i="42"/>
  <c r="AT193" i="42"/>
  <c r="AP193" i="42"/>
  <c r="AQ194" i="42"/>
  <c r="AQ195" i="42" s="1"/>
  <c r="W199" i="42"/>
  <c r="S196" i="42"/>
  <c r="L22" i="45" s="1"/>
  <c r="U196" i="42"/>
  <c r="N22" i="45" s="1"/>
  <c r="AG196" i="42"/>
  <c r="Z22" i="45" s="1"/>
  <c r="AK196" i="42"/>
  <c r="AD22" i="45" s="1"/>
  <c r="AG199" i="42"/>
  <c r="AK199" i="42"/>
  <c r="AS194" i="42"/>
  <c r="AP194" i="42"/>
  <c r="K145" i="41"/>
  <c r="W145" i="41"/>
  <c r="AI145" i="41"/>
  <c r="AU21" i="41"/>
  <c r="AO20" i="41"/>
  <c r="AP20" i="41"/>
  <c r="AT20" i="41"/>
  <c r="AS20" i="41"/>
  <c r="AV22" i="41"/>
  <c r="AW27" i="41"/>
  <c r="AP36" i="41"/>
  <c r="AS36" i="41"/>
  <c r="AT36" i="41"/>
  <c r="AT13" i="41"/>
  <c r="AP13" i="41"/>
  <c r="AS13" i="41"/>
  <c r="AT22" i="41"/>
  <c r="AP25" i="41"/>
  <c r="AS25" i="41"/>
  <c r="AT25" i="41"/>
  <c r="AW29" i="41"/>
  <c r="AV30" i="41"/>
  <c r="AU16" i="41"/>
  <c r="AT23" i="41"/>
  <c r="AP23" i="41"/>
  <c r="AS23" i="41"/>
  <c r="AO31" i="41"/>
  <c r="AP31" i="41"/>
  <c r="AP32" i="41" s="1"/>
  <c r="AS31" i="41"/>
  <c r="AT31" i="41"/>
  <c r="AX38" i="41"/>
  <c r="AO59" i="41"/>
  <c r="AP59" i="41"/>
  <c r="AT59" i="41"/>
  <c r="AS59" i="41"/>
  <c r="AP87" i="41"/>
  <c r="AS87" i="41"/>
  <c r="AT87" i="41"/>
  <c r="AQ21" i="41"/>
  <c r="AT18" i="41"/>
  <c r="AP18" i="41"/>
  <c r="AS18" i="41"/>
  <c r="AO18" i="41"/>
  <c r="AV19" i="41"/>
  <c r="AT34" i="41"/>
  <c r="AP34" i="41"/>
  <c r="AS34" i="41"/>
  <c r="AQ153" i="41"/>
  <c r="AN154" i="41"/>
  <c r="AP49" i="41"/>
  <c r="AS49" i="41"/>
  <c r="AS51" i="41"/>
  <c r="AP54" i="41"/>
  <c r="AS54" i="41"/>
  <c r="AW79" i="41"/>
  <c r="AV79" i="41"/>
  <c r="AD142" i="41"/>
  <c r="W21" i="45" s="1"/>
  <c r="AI170" i="40"/>
  <c r="S146" i="41"/>
  <c r="AL146" i="41"/>
  <c r="AX12" i="41"/>
  <c r="AM152" i="41"/>
  <c r="AQ15" i="41"/>
  <c r="AQ16" i="41" s="1"/>
  <c r="S147" i="41"/>
  <c r="AL147" i="41"/>
  <c r="AX17" i="41"/>
  <c r="Y153" i="41"/>
  <c r="AE153" i="41"/>
  <c r="AR153" i="41"/>
  <c r="AP22" i="41"/>
  <c r="AX22" i="41"/>
  <c r="AX27" i="41" s="1"/>
  <c r="AS26" i="41"/>
  <c r="AP26" i="41"/>
  <c r="AX26" i="41"/>
  <c r="S149" i="41"/>
  <c r="AL149" i="41"/>
  <c r="AS37" i="41"/>
  <c r="AV39" i="41"/>
  <c r="AW41" i="41"/>
  <c r="AW45" i="41" s="1"/>
  <c r="AV41" i="41"/>
  <c r="AV44" i="41"/>
  <c r="V146" i="41"/>
  <c r="AQ52" i="41"/>
  <c r="AS47" i="41"/>
  <c r="AW50" i="41"/>
  <c r="AV50" i="41"/>
  <c r="AU60" i="41"/>
  <c r="AV53" i="41"/>
  <c r="AW55" i="41"/>
  <c r="AV55" i="41"/>
  <c r="AV58" i="41"/>
  <c r="AW65" i="41"/>
  <c r="AW67" i="41" s="1"/>
  <c r="AV65" i="41"/>
  <c r="AP78" i="41"/>
  <c r="AS78" i="41"/>
  <c r="AT78" i="41"/>
  <c r="AX78" i="41"/>
  <c r="AX81" i="41" s="1"/>
  <c r="AV78" i="41"/>
  <c r="AO79" i="41"/>
  <c r="AP79" i="41"/>
  <c r="AT79" i="41"/>
  <c r="AS79" i="41"/>
  <c r="AT90" i="41"/>
  <c r="AV93" i="41"/>
  <c r="AW93" i="41"/>
  <c r="AP94" i="41"/>
  <c r="AS94" i="41"/>
  <c r="AT94" i="41"/>
  <c r="AO94" i="41"/>
  <c r="AT104" i="41"/>
  <c r="AW109" i="41"/>
  <c r="AW110" i="41" s="1"/>
  <c r="AV109" i="41"/>
  <c r="AP118" i="41"/>
  <c r="AP126" i="41"/>
  <c r="AW140" i="41"/>
  <c r="AV140" i="41"/>
  <c r="AT14" i="41"/>
  <c r="AV28" i="41"/>
  <c r="AS42" i="41"/>
  <c r="AU52" i="41"/>
  <c r="AW59" i="41"/>
  <c r="AW154" i="41" s="1"/>
  <c r="AV59" i="41"/>
  <c r="AT71" i="41"/>
  <c r="AO71" i="41"/>
  <c r="AP71" i="41"/>
  <c r="AM146" i="41"/>
  <c r="AE152" i="41"/>
  <c r="AR152" i="41"/>
  <c r="V147" i="41"/>
  <c r="AV20" i="41"/>
  <c r="AV25" i="41"/>
  <c r="AL154" i="41"/>
  <c r="AX29" i="41"/>
  <c r="AV31" i="41"/>
  <c r="V149" i="41"/>
  <c r="AM149" i="41"/>
  <c r="AQ38" i="41"/>
  <c r="AU149" i="41"/>
  <c r="AU38" i="41"/>
  <c r="AV36" i="41"/>
  <c r="AP39" i="41"/>
  <c r="AS41" i="41"/>
  <c r="AW46" i="41"/>
  <c r="AR52" i="41"/>
  <c r="AT49" i="41"/>
  <c r="AS50" i="41"/>
  <c r="AT53" i="41"/>
  <c r="AT54" i="41"/>
  <c r="AS55" i="41"/>
  <c r="AO56" i="41"/>
  <c r="AQ62" i="41"/>
  <c r="AQ63" i="41" s="1"/>
  <c r="AP64" i="41"/>
  <c r="AX64" i="41"/>
  <c r="AX67" i="41" s="1"/>
  <c r="AO65" i="41"/>
  <c r="AP65" i="41"/>
  <c r="AT65" i="41"/>
  <c r="AS65" i="41"/>
  <c r="AU68" i="41"/>
  <c r="AU74" i="41" s="1"/>
  <c r="AW70" i="41"/>
  <c r="AV70" i="41"/>
  <c r="AS71" i="41"/>
  <c r="AT80" i="41"/>
  <c r="AO80" i="41"/>
  <c r="AP80" i="41"/>
  <c r="AQ83" i="41"/>
  <c r="AQ85" i="41" s="1"/>
  <c r="AU86" i="41"/>
  <c r="AU89" i="41" s="1"/>
  <c r="AP86" i="41"/>
  <c r="AV88" i="41"/>
  <c r="AV89" i="41" s="1"/>
  <c r="AW88" i="41"/>
  <c r="AL155" i="41"/>
  <c r="AW96" i="41"/>
  <c r="AP133" i="41"/>
  <c r="AT133" i="41"/>
  <c r="AS133" i="41"/>
  <c r="AH142" i="41"/>
  <c r="AP137" i="41"/>
  <c r="AS137" i="41"/>
  <c r="AT137" i="41"/>
  <c r="V153" i="41"/>
  <c r="AU153" i="41"/>
  <c r="AT24" i="41"/>
  <c r="AR29" i="41"/>
  <c r="AT35" i="41"/>
  <c r="AP40" i="41"/>
  <c r="AS40" i="41"/>
  <c r="AO40" i="41"/>
  <c r="AV98" i="41"/>
  <c r="Y146" i="41"/>
  <c r="AE146" i="41"/>
  <c r="AR146" i="41"/>
  <c r="AS14" i="41"/>
  <c r="AW15" i="41"/>
  <c r="AW16" i="41"/>
  <c r="Y147" i="41"/>
  <c r="AE147" i="41"/>
  <c r="AR147" i="41"/>
  <c r="S153" i="41"/>
  <c r="AL153" i="41"/>
  <c r="AP19" i="41"/>
  <c r="AX19" i="41"/>
  <c r="AW21" i="41"/>
  <c r="AS24" i="41"/>
  <c r="AQ28" i="41"/>
  <c r="AU28" i="41"/>
  <c r="Y149" i="41"/>
  <c r="AE149" i="41"/>
  <c r="AR149" i="41"/>
  <c r="AR38" i="41"/>
  <c r="AS35" i="41"/>
  <c r="AP37" i="41"/>
  <c r="AW37" i="41"/>
  <c r="AW38" i="41" s="1"/>
  <c r="AQ39" i="41"/>
  <c r="AQ45" i="41" s="1"/>
  <c r="AT41" i="41"/>
  <c r="AP41" i="41"/>
  <c r="AO43" i="41"/>
  <c r="AP44" i="41"/>
  <c r="AS44" i="41"/>
  <c r="AO44" i="41"/>
  <c r="AP47" i="41"/>
  <c r="AW47" i="41"/>
  <c r="AT50" i="41"/>
  <c r="AP50" i="41"/>
  <c r="AQ53" i="41"/>
  <c r="AQ60" i="41" s="1"/>
  <c r="AR60" i="41"/>
  <c r="AT55" i="41"/>
  <c r="AP55" i="41"/>
  <c r="AO57" i="41"/>
  <c r="AP58" i="41"/>
  <c r="AS58" i="41"/>
  <c r="AO58" i="41"/>
  <c r="AT66" i="41"/>
  <c r="AO66" i="41"/>
  <c r="AP66" i="41"/>
  <c r="AP69" i="41"/>
  <c r="AS69" i="41"/>
  <c r="AT69" i="41"/>
  <c r="AX69" i="41"/>
  <c r="AX74" i="41" s="1"/>
  <c r="AV69" i="41"/>
  <c r="AP70" i="41"/>
  <c r="AT70" i="41"/>
  <c r="AS70" i="41"/>
  <c r="AV73" i="41"/>
  <c r="AV76" i="41"/>
  <c r="AW76" i="41"/>
  <c r="AQ88" i="41"/>
  <c r="AQ89" i="41" s="1"/>
  <c r="Y155" i="41"/>
  <c r="AQ96" i="41"/>
  <c r="AV122" i="41"/>
  <c r="AX122" i="41"/>
  <c r="AS43" i="41"/>
  <c r="AP43" i="41"/>
  <c r="AS48" i="41"/>
  <c r="AP48" i="41"/>
  <c r="AP53" i="41"/>
  <c r="AS57" i="41"/>
  <c r="AP57" i="41"/>
  <c r="AW74" i="41"/>
  <c r="AW75" i="41"/>
  <c r="AW91" i="41"/>
  <c r="AV91" i="41"/>
  <c r="AS92" i="41"/>
  <c r="AP92" i="41"/>
  <c r="AX92" i="41"/>
  <c r="AS96" i="41"/>
  <c r="AR155" i="41"/>
  <c r="AR97" i="41"/>
  <c r="AW99" i="41"/>
  <c r="AW100" i="41" s="1"/>
  <c r="AV99" i="41"/>
  <c r="AP104" i="41"/>
  <c r="AR110" i="41"/>
  <c r="AT109" i="41"/>
  <c r="AS109" i="41"/>
  <c r="AP111" i="41"/>
  <c r="AO113" i="41"/>
  <c r="AP121" i="41"/>
  <c r="AS121" i="41"/>
  <c r="AT121" i="41"/>
  <c r="AV126" i="41"/>
  <c r="AT138" i="41"/>
  <c r="AP138" i="41"/>
  <c r="AS138" i="41"/>
  <c r="AP62" i="41"/>
  <c r="AS62" i="41"/>
  <c r="AQ68" i="41"/>
  <c r="AQ74" i="41" s="1"/>
  <c r="AP73" i="41"/>
  <c r="AS73" i="41"/>
  <c r="AO73" i="41"/>
  <c r="AP76" i="41"/>
  <c r="AW80" i="41"/>
  <c r="AV80" i="41"/>
  <c r="AW82" i="41"/>
  <c r="AW85" i="41" s="1"/>
  <c r="AT83" i="41"/>
  <c r="AS83" i="41"/>
  <c r="AP83" i="41"/>
  <c r="AR85" i="41"/>
  <c r="AO84" i="41"/>
  <c r="AX84" i="41"/>
  <c r="AX152" i="41" s="1"/>
  <c r="AV84" i="41"/>
  <c r="AW87" i="41"/>
  <c r="AU95" i="41"/>
  <c r="AT91" i="41"/>
  <c r="AS91" i="41"/>
  <c r="AT99" i="41"/>
  <c r="AT100" i="41" s="1"/>
  <c r="AS99" i="41"/>
  <c r="AP101" i="41"/>
  <c r="AX104" i="41"/>
  <c r="AQ105" i="41"/>
  <c r="AQ147" i="41" s="1"/>
  <c r="AP106" i="41"/>
  <c r="AS106" i="41"/>
  <c r="AT106" i="41"/>
  <c r="AO106" i="41"/>
  <c r="AW119" i="41"/>
  <c r="AV119" i="41"/>
  <c r="AO120" i="41"/>
  <c r="X142" i="41"/>
  <c r="Q21" i="45" s="1"/>
  <c r="AP68" i="41"/>
  <c r="AS72" i="41"/>
  <c r="AP72" i="41"/>
  <c r="AS77" i="41"/>
  <c r="AP77" i="41"/>
  <c r="AP84" i="41"/>
  <c r="AS84" i="41"/>
  <c r="AS88" i="41"/>
  <c r="AX95" i="41"/>
  <c r="S155" i="41"/>
  <c r="AX98" i="41"/>
  <c r="AX100" i="41" s="1"/>
  <c r="AQ99" i="41"/>
  <c r="AQ100" i="41" s="1"/>
  <c r="AQ110" i="41"/>
  <c r="AT107" i="41"/>
  <c r="AT114" i="41"/>
  <c r="AP114" i="41"/>
  <c r="AS114" i="41"/>
  <c r="AV114" i="41"/>
  <c r="AW114" i="41"/>
  <c r="AP116" i="41"/>
  <c r="AS116" i="41"/>
  <c r="AO116" i="41"/>
  <c r="AP128" i="41"/>
  <c r="AS128" i="41"/>
  <c r="AV128" i="41"/>
  <c r="AW128" i="41"/>
  <c r="AW129" i="41" s="1"/>
  <c r="AU134" i="41"/>
  <c r="AS132" i="41"/>
  <c r="AP132" i="41"/>
  <c r="AV135" i="41"/>
  <c r="AX86" i="41"/>
  <c r="AX89" i="41" s="1"/>
  <c r="AP90" i="41"/>
  <c r="AV92" i="41"/>
  <c r="AV95" i="41" s="1"/>
  <c r="V155" i="41"/>
  <c r="AE155" i="41"/>
  <c r="AU96" i="41"/>
  <c r="AP96" i="41"/>
  <c r="AP98" i="41"/>
  <c r="AP100" i="41" s="1"/>
  <c r="AU100" i="41"/>
  <c r="AX101" i="41"/>
  <c r="AX103" i="41" s="1"/>
  <c r="AT105" i="41"/>
  <c r="AO105" i="41"/>
  <c r="AX106" i="41"/>
  <c r="AV106" i="41"/>
  <c r="AP108" i="41"/>
  <c r="AS108" i="41"/>
  <c r="AX111" i="41"/>
  <c r="AX117" i="41" s="1"/>
  <c r="AO112" i="41"/>
  <c r="AT112" i="41"/>
  <c r="AU112" i="41"/>
  <c r="AU117" i="41" s="1"/>
  <c r="AW113" i="41"/>
  <c r="AW117" i="41" s="1"/>
  <c r="AV113" i="41"/>
  <c r="AX118" i="41"/>
  <c r="AT120" i="41"/>
  <c r="AS120" i="41"/>
  <c r="AP120" i="41"/>
  <c r="AV120" i="41"/>
  <c r="AW120" i="41"/>
  <c r="AO122" i="41"/>
  <c r="AP122" i="41"/>
  <c r="AT122" i="41"/>
  <c r="AT124" i="41"/>
  <c r="AS124" i="41"/>
  <c r="AP124" i="41"/>
  <c r="AU126" i="41"/>
  <c r="AU129" i="41" s="1"/>
  <c r="AW134" i="41"/>
  <c r="AQ131" i="41"/>
  <c r="AQ134" i="41" s="1"/>
  <c r="AU125" i="41"/>
  <c r="AV123" i="41"/>
  <c r="AW123" i="41"/>
  <c r="AV130" i="41"/>
  <c r="AP131" i="41"/>
  <c r="AS131" i="41"/>
  <c r="AT131" i="41"/>
  <c r="AX135" i="41"/>
  <c r="AT140" i="41"/>
  <c r="AS140" i="41"/>
  <c r="AP140" i="41"/>
  <c r="AV112" i="41"/>
  <c r="Y142" i="41"/>
  <c r="R21" i="45" s="1"/>
  <c r="AW118" i="41"/>
  <c r="AO119" i="41"/>
  <c r="AP123" i="41"/>
  <c r="AS130" i="41"/>
  <c r="AP134" i="41"/>
  <c r="AV133" i="41"/>
  <c r="AV136" i="41"/>
  <c r="AW138" i="41"/>
  <c r="AV138" i="41"/>
  <c r="AJ142" i="41"/>
  <c r="AC21" i="45" s="1"/>
  <c r="I145" i="41"/>
  <c r="AP115" i="41"/>
  <c r="AQ135" i="41"/>
  <c r="AQ141" i="41" s="1"/>
  <c r="T142" i="41"/>
  <c r="M21" i="45" s="1"/>
  <c r="AG142" i="41"/>
  <c r="Z21" i="45" s="1"/>
  <c r="AK142" i="41"/>
  <c r="AD21" i="45" s="1"/>
  <c r="AC145" i="41"/>
  <c r="AT130" i="41"/>
  <c r="AW135" i="41"/>
  <c r="AR141" i="41"/>
  <c r="AP136" i="41"/>
  <c r="AS136" i="41"/>
  <c r="AV139" i="41"/>
  <c r="AX139" i="41"/>
  <c r="U142" i="41"/>
  <c r="N21" i="45" s="1"/>
  <c r="AC142" i="41"/>
  <c r="U145" i="41"/>
  <c r="M145" i="41"/>
  <c r="Q145" i="41"/>
  <c r="AG145" i="41"/>
  <c r="AK145" i="41"/>
  <c r="AM144" i="41" s="1"/>
  <c r="AU135" i="41"/>
  <c r="AU141" i="41" s="1"/>
  <c r="AP139" i="41"/>
  <c r="W142" i="41"/>
  <c r="P21" i="45" s="1"/>
  <c r="AI142" i="41"/>
  <c r="AB21" i="45" s="1"/>
  <c r="AO18" i="40"/>
  <c r="AP20" i="40"/>
  <c r="AX19" i="40"/>
  <c r="AQ19" i="40"/>
  <c r="AP22" i="40"/>
  <c r="AS22" i="40"/>
  <c r="AT22" i="40"/>
  <c r="AT21" i="40"/>
  <c r="AX24" i="40"/>
  <c r="AX25" i="40"/>
  <c r="AB180" i="40"/>
  <c r="AT27" i="40"/>
  <c r="AL172" i="40"/>
  <c r="AW29" i="40"/>
  <c r="AR172" i="40"/>
  <c r="AR35" i="40"/>
  <c r="AV33" i="40"/>
  <c r="AT45" i="40"/>
  <c r="AP48" i="40"/>
  <c r="AW50" i="40"/>
  <c r="AV50" i="40"/>
  <c r="AP59" i="40"/>
  <c r="AS59" i="40"/>
  <c r="AX64" i="40"/>
  <c r="AV64" i="40"/>
  <c r="AX78" i="40"/>
  <c r="AV78" i="40"/>
  <c r="AX82" i="40"/>
  <c r="AV82" i="40"/>
  <c r="AX92" i="40"/>
  <c r="AX93" i="40" s="1"/>
  <c r="AV92" i="40"/>
  <c r="AP117" i="40"/>
  <c r="AT125" i="40"/>
  <c r="AS125" i="40"/>
  <c r="AP125" i="40"/>
  <c r="AM171" i="40"/>
  <c r="AQ12" i="40"/>
  <c r="AS13" i="40"/>
  <c r="AP13" i="40"/>
  <c r="AU17" i="40"/>
  <c r="AU19" i="40" s="1"/>
  <c r="AS18" i="40"/>
  <c r="AP18" i="40"/>
  <c r="AW20" i="40"/>
  <c r="AW23" i="40" s="1"/>
  <c r="AV21" i="40"/>
  <c r="AP24" i="40"/>
  <c r="AT25" i="40"/>
  <c r="AT26" i="40" s="1"/>
  <c r="V180" i="40"/>
  <c r="AP27" i="40"/>
  <c r="Y172" i="40"/>
  <c r="AQ29" i="40"/>
  <c r="AP30" i="40"/>
  <c r="AS30" i="40"/>
  <c r="AV31" i="40"/>
  <c r="AV175" i="40" s="1"/>
  <c r="AE178" i="40"/>
  <c r="AU33" i="40"/>
  <c r="AU178" i="40" s="1"/>
  <c r="AE173" i="40"/>
  <c r="AU36" i="40"/>
  <c r="AX173" i="40"/>
  <c r="AV37" i="40"/>
  <c r="AT38" i="40"/>
  <c r="AX39" i="40"/>
  <c r="AX41" i="40" s="1"/>
  <c r="AV39" i="40"/>
  <c r="AR47" i="40"/>
  <c r="AT43" i="40"/>
  <c r="AX44" i="40"/>
  <c r="AV44" i="40"/>
  <c r="AP46" i="40"/>
  <c r="AS46" i="40"/>
  <c r="AQ48" i="40"/>
  <c r="AQ54" i="40" s="1"/>
  <c r="S179" i="40"/>
  <c r="AL179" i="40"/>
  <c r="AW55" i="40"/>
  <c r="AT57" i="40"/>
  <c r="AX59" i="40"/>
  <c r="AV59" i="40"/>
  <c r="AP63" i="40"/>
  <c r="AO65" i="40"/>
  <c r="AT65" i="40"/>
  <c r="AW65" i="40"/>
  <c r="AV65" i="40"/>
  <c r="AT67" i="40"/>
  <c r="AP67" i="40"/>
  <c r="AS67" i="40"/>
  <c r="AR76" i="40"/>
  <c r="AX73" i="40"/>
  <c r="AV73" i="40"/>
  <c r="AP77" i="40"/>
  <c r="AT79" i="40"/>
  <c r="AW79" i="40"/>
  <c r="AW83" i="40" s="1"/>
  <c r="AV79" i="40"/>
  <c r="AT81" i="40"/>
  <c r="AP81" i="40"/>
  <c r="AS81" i="40"/>
  <c r="AP84" i="40"/>
  <c r="AQ86" i="40"/>
  <c r="AO86" i="40"/>
  <c r="AT100" i="40"/>
  <c r="AT103" i="40" s="1"/>
  <c r="AV100" i="40"/>
  <c r="AP127" i="40"/>
  <c r="AP129" i="40" s="1"/>
  <c r="AT136" i="40"/>
  <c r="AS136" i="40"/>
  <c r="AP136" i="40"/>
  <c r="AR15" i="40"/>
  <c r="AV20" i="40"/>
  <c r="AQ97" i="40"/>
  <c r="AX98" i="40"/>
  <c r="AV98" i="40"/>
  <c r="AX106" i="40"/>
  <c r="AX109" i="40" s="1"/>
  <c r="AT137" i="40"/>
  <c r="AS137" i="40"/>
  <c r="AP137" i="40"/>
  <c r="Y171" i="40"/>
  <c r="AE171" i="40"/>
  <c r="AR171" i="40"/>
  <c r="S177" i="40"/>
  <c r="AL177" i="40"/>
  <c r="AX15" i="40"/>
  <c r="AV17" i="40"/>
  <c r="AV22" i="40"/>
  <c r="AU26" i="40"/>
  <c r="AO25" i="40"/>
  <c r="AP25" i="40"/>
  <c r="AE175" i="40"/>
  <c r="AU31" i="40"/>
  <c r="AU175" i="40" s="1"/>
  <c r="S178" i="40"/>
  <c r="AL178" i="40"/>
  <c r="AW33" i="40"/>
  <c r="AR178" i="40"/>
  <c r="AX34" i="40"/>
  <c r="AV34" i="40"/>
  <c r="S173" i="40"/>
  <c r="AL173" i="40"/>
  <c r="AW36" i="40"/>
  <c r="AP39" i="40"/>
  <c r="AS39" i="40"/>
  <c r="AV40" i="40"/>
  <c r="AR41" i="40"/>
  <c r="AT42" i="40"/>
  <c r="AX42" i="40"/>
  <c r="AP44" i="40"/>
  <c r="AS44" i="40"/>
  <c r="AS45" i="40"/>
  <c r="AV45" i="40"/>
  <c r="AP49" i="40"/>
  <c r="AS49" i="40"/>
  <c r="AO49" i="40"/>
  <c r="AS50" i="40"/>
  <c r="AP53" i="40"/>
  <c r="AS53" i="40"/>
  <c r="AO53" i="40"/>
  <c r="AR62" i="40"/>
  <c r="AT59" i="40"/>
  <c r="AT60" i="40"/>
  <c r="AW60" i="40"/>
  <c r="AW62" i="40" s="1"/>
  <c r="AV60" i="40"/>
  <c r="AQ63" i="40"/>
  <c r="AQ69" i="40" s="1"/>
  <c r="AW70" i="40"/>
  <c r="AT72" i="40"/>
  <c r="AP72" i="40"/>
  <c r="AS72" i="40"/>
  <c r="AT74" i="40"/>
  <c r="AW74" i="40"/>
  <c r="AV74" i="40"/>
  <c r="AQ77" i="40"/>
  <c r="AQ83" i="40" s="1"/>
  <c r="AP85" i="40"/>
  <c r="AT85" i="40"/>
  <c r="AV85" i="40"/>
  <c r="AW85" i="40"/>
  <c r="AW90" i="40" s="1"/>
  <c r="AQ91" i="40"/>
  <c r="AQ93" i="40" s="1"/>
  <c r="AT105" i="40"/>
  <c r="AS105" i="40"/>
  <c r="AP105" i="40"/>
  <c r="AT115" i="40"/>
  <c r="AS115" i="40"/>
  <c r="AP115" i="40"/>
  <c r="AS121" i="40"/>
  <c r="AO124" i="40"/>
  <c r="AV140" i="40"/>
  <c r="AV14" i="40"/>
  <c r="AM180" i="40"/>
  <c r="AX27" i="40"/>
  <c r="S172" i="40"/>
  <c r="AX30" i="40"/>
  <c r="AV30" i="40"/>
  <c r="Y175" i="40"/>
  <c r="AQ31" i="40"/>
  <c r="AQ175" i="40" s="1"/>
  <c r="AP32" i="40"/>
  <c r="AS32" i="40"/>
  <c r="AO40" i="40"/>
  <c r="AT40" i="40"/>
  <c r="AU43" i="40"/>
  <c r="AU47" i="40" s="1"/>
  <c r="AO50" i="40"/>
  <c r="AT50" i="40"/>
  <c r="AT52" i="40"/>
  <c r="AP52" i="40"/>
  <c r="AS52" i="40"/>
  <c r="AE174" i="40"/>
  <c r="AU58" i="40"/>
  <c r="AU174" i="40" s="1"/>
  <c r="AX68" i="40"/>
  <c r="AV68" i="40"/>
  <c r="AP73" i="40"/>
  <c r="AS73" i="40"/>
  <c r="AO73" i="40"/>
  <c r="AW12" i="40"/>
  <c r="AM177" i="40"/>
  <c r="AQ14" i="40"/>
  <c r="AU14" i="40"/>
  <c r="AU177" i="40" s="1"/>
  <c r="AQ20" i="40"/>
  <c r="AQ23" i="40" s="1"/>
  <c r="AU20" i="40"/>
  <c r="AU23" i="40" s="1"/>
  <c r="AS21" i="40"/>
  <c r="AQ24" i="40"/>
  <c r="AQ26" i="40" s="1"/>
  <c r="AW28" i="40"/>
  <c r="AE172" i="40"/>
  <c r="AU29" i="40"/>
  <c r="AO30" i="40"/>
  <c r="S175" i="40"/>
  <c r="AL175" i="40"/>
  <c r="AW31" i="40"/>
  <c r="AW175" i="40" s="1"/>
  <c r="AT32" i="40"/>
  <c r="Y178" i="40"/>
  <c r="AQ33" i="40"/>
  <c r="AP34" i="40"/>
  <c r="Y173" i="40"/>
  <c r="AQ36" i="40"/>
  <c r="AP37" i="40"/>
  <c r="AS38" i="40"/>
  <c r="AV38" i="40"/>
  <c r="AP40" i="40"/>
  <c r="AP42" i="40"/>
  <c r="AS43" i="40"/>
  <c r="AV43" i="40"/>
  <c r="AP45" i="40"/>
  <c r="AO46" i="40"/>
  <c r="AV46" i="40"/>
  <c r="AV48" i="40"/>
  <c r="AX49" i="40"/>
  <c r="AV49" i="40"/>
  <c r="AX53" i="40"/>
  <c r="AV53" i="40"/>
  <c r="AX56" i="40"/>
  <c r="AV57" i="40"/>
  <c r="Y174" i="40"/>
  <c r="AQ58" i="40"/>
  <c r="AQ174" i="40" s="1"/>
  <c r="AP64" i="40"/>
  <c r="AS64" i="40"/>
  <c r="AO64" i="40"/>
  <c r="AS65" i="40"/>
  <c r="AP65" i="40"/>
  <c r="AP68" i="40"/>
  <c r="AS68" i="40"/>
  <c r="AQ76" i="40"/>
  <c r="AU83" i="40"/>
  <c r="AP78" i="40"/>
  <c r="AS78" i="40"/>
  <c r="AS79" i="40"/>
  <c r="AP79" i="40"/>
  <c r="AP82" i="40"/>
  <c r="AS82" i="40"/>
  <c r="AV84" i="40"/>
  <c r="AX87" i="40"/>
  <c r="AV87" i="40"/>
  <c r="AX88" i="40"/>
  <c r="AT94" i="40"/>
  <c r="AU113" i="40"/>
  <c r="AU116" i="40" s="1"/>
  <c r="AU126" i="40"/>
  <c r="AM173" i="40"/>
  <c r="AW48" i="40"/>
  <c r="AS51" i="40"/>
  <c r="AP51" i="40"/>
  <c r="AQ55" i="40"/>
  <c r="AU55" i="40"/>
  <c r="AP57" i="40"/>
  <c r="AX57" i="40"/>
  <c r="AP61" i="40"/>
  <c r="AW63" i="40"/>
  <c r="AP66" i="40"/>
  <c r="AU70" i="40"/>
  <c r="AU76" i="40" s="1"/>
  <c r="AP71" i="40"/>
  <c r="AX71" i="40"/>
  <c r="AP75" i="40"/>
  <c r="AP80" i="40"/>
  <c r="AU84" i="40"/>
  <c r="AU90" i="40" s="1"/>
  <c r="AP87" i="40"/>
  <c r="AS87" i="40"/>
  <c r="AT88" i="40"/>
  <c r="AV89" i="40"/>
  <c r="AP92" i="40"/>
  <c r="AP93" i="40" s="1"/>
  <c r="AS92" i="40"/>
  <c r="AQ99" i="40"/>
  <c r="AT95" i="40"/>
  <c r="AP95" i="40"/>
  <c r="AT104" i="40"/>
  <c r="AT110" i="40"/>
  <c r="AT111" i="40" s="1"/>
  <c r="AW110" i="40"/>
  <c r="AW111" i="40" s="1"/>
  <c r="AT112" i="40"/>
  <c r="AR126" i="40"/>
  <c r="AW130" i="40"/>
  <c r="AO145" i="40"/>
  <c r="AR56" i="40"/>
  <c r="S174" i="40"/>
  <c r="AL174" i="40"/>
  <c r="AQ84" i="40"/>
  <c r="AQ90" i="40" s="1"/>
  <c r="AO88" i="40"/>
  <c r="AP88" i="40"/>
  <c r="AP94" i="40"/>
  <c r="AO95" i="40"/>
  <c r="AP101" i="40"/>
  <c r="AP103" i="40" s="1"/>
  <c r="AO101" i="40"/>
  <c r="AV102" i="40"/>
  <c r="AW102" i="40"/>
  <c r="AW103" i="40" s="1"/>
  <c r="AQ104" i="40"/>
  <c r="AQ109" i="40" s="1"/>
  <c r="AP108" i="40"/>
  <c r="AS108" i="40"/>
  <c r="AT108" i="40"/>
  <c r="AX110" i="40"/>
  <c r="AX111" i="40" s="1"/>
  <c r="AQ114" i="40"/>
  <c r="AQ116" i="40" s="1"/>
  <c r="AU120" i="40"/>
  <c r="AW121" i="40"/>
  <c r="AQ124" i="40"/>
  <c r="AQ126" i="40" s="1"/>
  <c r="AQ143" i="40"/>
  <c r="AP159" i="40"/>
  <c r="AS159" i="40"/>
  <c r="AT159" i="40"/>
  <c r="AR180" i="40"/>
  <c r="AR28" i="40"/>
  <c r="AM172" i="40"/>
  <c r="AM178" i="40"/>
  <c r="AM174" i="40"/>
  <c r="AR90" i="40"/>
  <c r="AU93" i="40"/>
  <c r="AS91" i="40"/>
  <c r="AX94" i="40"/>
  <c r="AX99" i="40" s="1"/>
  <c r="AW95" i="40"/>
  <c r="AW99" i="40" s="1"/>
  <c r="AV95" i="40"/>
  <c r="AQ103" i="40"/>
  <c r="AV101" i="40"/>
  <c r="AW105" i="40"/>
  <c r="AV105" i="40"/>
  <c r="AS106" i="40"/>
  <c r="AP106" i="40"/>
  <c r="AO106" i="40"/>
  <c r="AW107" i="40"/>
  <c r="AQ110" i="40"/>
  <c r="AQ111" i="40" s="1"/>
  <c r="AW115" i="40"/>
  <c r="AW116" i="40" s="1"/>
  <c r="AV115" i="40"/>
  <c r="AO118" i="40"/>
  <c r="AP119" i="40"/>
  <c r="AS119" i="40"/>
  <c r="AT119" i="40"/>
  <c r="AX121" i="40"/>
  <c r="AX126" i="40" s="1"/>
  <c r="AW125" i="40"/>
  <c r="AV125" i="40"/>
  <c r="AO128" i="40"/>
  <c r="AW137" i="40"/>
  <c r="AV137" i="40"/>
  <c r="AS97" i="40"/>
  <c r="AP97" i="40"/>
  <c r="AP98" i="40"/>
  <c r="AS98" i="40"/>
  <c r="AS102" i="40"/>
  <c r="AV122" i="40"/>
  <c r="V20" i="45"/>
  <c r="AX100" i="40"/>
  <c r="AX103" i="40" s="1"/>
  <c r="AP104" i="40"/>
  <c r="AV106" i="40"/>
  <c r="AP110" i="40"/>
  <c r="AP111" i="40" s="1"/>
  <c r="AP114" i="40"/>
  <c r="AS114" i="40"/>
  <c r="AP121" i="40"/>
  <c r="AP124" i="40"/>
  <c r="AS124" i="40"/>
  <c r="AP133" i="40"/>
  <c r="AT134" i="40"/>
  <c r="AW136" i="40"/>
  <c r="AW139" i="40" s="1"/>
  <c r="AV136" i="40"/>
  <c r="AP138" i="40"/>
  <c r="AS138" i="40"/>
  <c r="AT138" i="40"/>
  <c r="AQ140" i="40"/>
  <c r="AS145" i="40"/>
  <c r="AT145" i="40"/>
  <c r="AU147" i="40"/>
  <c r="AU153" i="40" s="1"/>
  <c r="W20" i="45"/>
  <c r="AT144" i="40"/>
  <c r="AQ147" i="40"/>
  <c r="AQ153" i="40" s="1"/>
  <c r="AP149" i="40"/>
  <c r="AS149" i="40"/>
  <c r="AT154" i="40"/>
  <c r="AX154" i="40"/>
  <c r="AX156" i="40" s="1"/>
  <c r="AT155" i="40"/>
  <c r="AW155" i="40"/>
  <c r="AV155" i="40"/>
  <c r="K170" i="40"/>
  <c r="O170" i="40"/>
  <c r="AR129" i="40"/>
  <c r="AU130" i="40"/>
  <c r="AX133" i="40"/>
  <c r="AX139" i="40" s="1"/>
  <c r="AP135" i="40"/>
  <c r="AP141" i="40"/>
  <c r="AT141" i="40"/>
  <c r="AV141" i="40"/>
  <c r="AW141" i="40"/>
  <c r="AW146" i="40" s="1"/>
  <c r="AX143" i="40"/>
  <c r="AV143" i="40"/>
  <c r="AS144" i="40"/>
  <c r="AP144" i="40"/>
  <c r="AV147" i="40"/>
  <c r="AT148" i="40"/>
  <c r="AP148" i="40"/>
  <c r="AS148" i="40"/>
  <c r="AO148" i="40"/>
  <c r="AT149" i="40"/>
  <c r="AS155" i="40"/>
  <c r="AP155" i="40"/>
  <c r="AU140" i="40"/>
  <c r="AU146" i="40" s="1"/>
  <c r="AO142" i="40"/>
  <c r="AP142" i="40"/>
  <c r="AP143" i="40"/>
  <c r="AS143" i="40"/>
  <c r="AV144" i="40"/>
  <c r="AS150" i="40"/>
  <c r="AS160" i="40"/>
  <c r="AQ163" i="40"/>
  <c r="AQ166" i="40" s="1"/>
  <c r="AW164" i="40"/>
  <c r="AU163" i="40"/>
  <c r="AU166" i="40" s="1"/>
  <c r="AC170" i="40"/>
  <c r="AR146" i="40"/>
  <c r="AX140" i="40"/>
  <c r="AT150" i="40"/>
  <c r="AW150" i="40"/>
  <c r="AW153" i="40" s="1"/>
  <c r="AV150" i="40"/>
  <c r="AT151" i="40"/>
  <c r="AP151" i="40"/>
  <c r="AS151" i="40"/>
  <c r="AP154" i="40"/>
  <c r="AW156" i="40"/>
  <c r="AQ162" i="40"/>
  <c r="AR162" i="40"/>
  <c r="AO160" i="40"/>
  <c r="AT160" i="40"/>
  <c r="AW160" i="40"/>
  <c r="AW162" i="40" s="1"/>
  <c r="AV160" i="40"/>
  <c r="AT161" i="40"/>
  <c r="AP161" i="40"/>
  <c r="AS161" i="40"/>
  <c r="W170" i="40"/>
  <c r="AV149" i="40"/>
  <c r="AV159" i="40"/>
  <c r="AX163" i="40"/>
  <c r="AX166" i="40" s="1"/>
  <c r="AT165" i="40"/>
  <c r="AP165" i="40"/>
  <c r="AS165" i="40"/>
  <c r="I170" i="40"/>
  <c r="M170" i="40"/>
  <c r="Q170" i="40"/>
  <c r="AX148" i="40"/>
  <c r="AX153" i="40" s="1"/>
  <c r="AS152" i="40"/>
  <c r="AP152" i="40"/>
  <c r="AU157" i="40"/>
  <c r="AU162" i="40" s="1"/>
  <c r="AS158" i="40"/>
  <c r="AP158" i="40"/>
  <c r="P20" i="45"/>
  <c r="AB20" i="45"/>
  <c r="L20" i="45"/>
  <c r="AW163" i="40"/>
  <c r="AP163" i="40"/>
  <c r="M20" i="45"/>
  <c r="AC20" i="45"/>
  <c r="P168" i="40"/>
  <c r="AV157" i="40"/>
  <c r="N20" i="45"/>
  <c r="W125" i="39"/>
  <c r="AT14" i="39"/>
  <c r="Y135" i="39"/>
  <c r="AQ12" i="39"/>
  <c r="AM126" i="39"/>
  <c r="AX14" i="39"/>
  <c r="AO20" i="39"/>
  <c r="AT20" i="39"/>
  <c r="AS20" i="39"/>
  <c r="AR24" i="39"/>
  <c r="AT25" i="39"/>
  <c r="AL129" i="39"/>
  <c r="AW25" i="39"/>
  <c r="AX29" i="39"/>
  <c r="AV29" i="39"/>
  <c r="AT63" i="39"/>
  <c r="AP63" i="39"/>
  <c r="AS63" i="39"/>
  <c r="AL135" i="39"/>
  <c r="AV12" i="39"/>
  <c r="AW13" i="39"/>
  <c r="AW15" i="39"/>
  <c r="AW18" i="39" s="1"/>
  <c r="AV15" i="39"/>
  <c r="AE132" i="39"/>
  <c r="AU17" i="39"/>
  <c r="AU132" i="39" s="1"/>
  <c r="AV17" i="39"/>
  <c r="AP20" i="39"/>
  <c r="AL133" i="39"/>
  <c r="AP23" i="39"/>
  <c r="AS23" i="39"/>
  <c r="AT23" i="39"/>
  <c r="Y129" i="39"/>
  <c r="AO26" i="39"/>
  <c r="AP26" i="39"/>
  <c r="AT26" i="39"/>
  <c r="AS26" i="39"/>
  <c r="AX40" i="39"/>
  <c r="AW48" i="39"/>
  <c r="AW49" i="39" s="1"/>
  <c r="AV48" i="39"/>
  <c r="AR13" i="39"/>
  <c r="AE126" i="39"/>
  <c r="AQ14" i="39"/>
  <c r="AS15" i="39"/>
  <c r="AQ19" i="39"/>
  <c r="AS25" i="39"/>
  <c r="AT48" i="39"/>
  <c r="AP48" i="39"/>
  <c r="AS48" i="39"/>
  <c r="AQ51" i="39"/>
  <c r="AU56" i="39"/>
  <c r="AU57" i="39" s="1"/>
  <c r="AO68" i="39"/>
  <c r="AT68" i="39"/>
  <c r="AP68" i="39"/>
  <c r="AS68" i="39"/>
  <c r="S135" i="39"/>
  <c r="AE135" i="39"/>
  <c r="AU12" i="39"/>
  <c r="AX135" i="39"/>
  <c r="AX13" i="39"/>
  <c r="AP14" i="39"/>
  <c r="AT15" i="39"/>
  <c r="AP15" i="39"/>
  <c r="Y132" i="39"/>
  <c r="AQ17" i="39"/>
  <c r="AW20" i="39"/>
  <c r="AW24" i="39" s="1"/>
  <c r="AV20" i="39"/>
  <c r="AS21" i="39"/>
  <c r="AP21" i="39"/>
  <c r="AU36" i="39"/>
  <c r="AP35" i="39"/>
  <c r="AS35" i="39"/>
  <c r="AT35" i="39"/>
  <c r="S132" i="39"/>
  <c r="AL132" i="39"/>
  <c r="AT19" i="39"/>
  <c r="AM127" i="39"/>
  <c r="AX19" i="39"/>
  <c r="S133" i="39"/>
  <c r="AE133" i="39"/>
  <c r="AU22" i="39"/>
  <c r="AU133" i="39" s="1"/>
  <c r="AP27" i="39"/>
  <c r="S128" i="39"/>
  <c r="AL128" i="39"/>
  <c r="AW37" i="39"/>
  <c r="AQ46" i="39"/>
  <c r="AQ49" i="39" s="1"/>
  <c r="AQ55" i="39"/>
  <c r="AR55" i="39"/>
  <c r="AT53" i="39"/>
  <c r="AW53" i="39"/>
  <c r="AV53" i="39"/>
  <c r="AT54" i="39"/>
  <c r="AP54" i="39"/>
  <c r="AS54" i="39"/>
  <c r="AP58" i="39"/>
  <c r="AU64" i="39"/>
  <c r="AS77" i="39"/>
  <c r="AP77" i="39"/>
  <c r="AT77" i="39"/>
  <c r="AT81" i="39"/>
  <c r="AS81" i="39"/>
  <c r="AP81" i="39"/>
  <c r="S126" i="39"/>
  <c r="AL126" i="39"/>
  <c r="AM132" i="39"/>
  <c r="AP19" i="39"/>
  <c r="AE127" i="39"/>
  <c r="AV21" i="39"/>
  <c r="Y133" i="39"/>
  <c r="AQ22" i="39"/>
  <c r="AQ133" i="39" s="1"/>
  <c r="V129" i="39"/>
  <c r="AP25" i="39"/>
  <c r="AU25" i="39"/>
  <c r="AO27" i="39"/>
  <c r="AP29" i="39"/>
  <c r="AS29" i="39"/>
  <c r="AO29" i="39"/>
  <c r="AX36" i="39"/>
  <c r="AT32" i="39"/>
  <c r="AW32" i="39"/>
  <c r="AV32" i="39"/>
  <c r="AQ128" i="39"/>
  <c r="AX128" i="39"/>
  <c r="AX41" i="39"/>
  <c r="AP40" i="39"/>
  <c r="AS40" i="39"/>
  <c r="AO40" i="39"/>
  <c r="AQ41" i="39"/>
  <c r="AX43" i="39"/>
  <c r="AU46" i="39"/>
  <c r="AU49" i="39" s="1"/>
  <c r="AP47" i="39"/>
  <c r="AS47" i="39"/>
  <c r="AO47" i="39"/>
  <c r="AW63" i="39"/>
  <c r="AV63" i="39"/>
  <c r="AQ71" i="39"/>
  <c r="AR71" i="39"/>
  <c r="AW68" i="39"/>
  <c r="AV68" i="39"/>
  <c r="AU85" i="39"/>
  <c r="AU99" i="39"/>
  <c r="AQ75" i="39"/>
  <c r="AQ78" i="39" s="1"/>
  <c r="AX25" i="39"/>
  <c r="AW26" i="39"/>
  <c r="AV26" i="39"/>
  <c r="AR30" i="39"/>
  <c r="AU128" i="39"/>
  <c r="AR41" i="39"/>
  <c r="S134" i="39"/>
  <c r="AL134" i="39"/>
  <c r="AW42" i="39"/>
  <c r="AT46" i="39"/>
  <c r="AT49" i="39" s="1"/>
  <c r="AP52" i="39"/>
  <c r="AS52" i="39"/>
  <c r="AO52" i="39"/>
  <c r="AT65" i="39"/>
  <c r="AW72" i="39"/>
  <c r="AW78" i="39" s="1"/>
  <c r="AH122" i="39"/>
  <c r="AA19" i="45" s="1"/>
  <c r="AP98" i="39"/>
  <c r="AS98" i="39"/>
  <c r="AT98" i="39"/>
  <c r="AO98" i="39"/>
  <c r="S127" i="39"/>
  <c r="AL127" i="39"/>
  <c r="AM133" i="39"/>
  <c r="AS28" i="39"/>
  <c r="AP28" i="39"/>
  <c r="AQ32" i="39"/>
  <c r="AQ36" i="39" s="1"/>
  <c r="AS33" i="39"/>
  <c r="AP33" i="39"/>
  <c r="AO34" i="39"/>
  <c r="AV35" i="39"/>
  <c r="AM128" i="39"/>
  <c r="AP38" i="39"/>
  <c r="AO39" i="39"/>
  <c r="AV40" i="39"/>
  <c r="AQ42" i="39"/>
  <c r="AU42" i="39"/>
  <c r="AV47" i="39"/>
  <c r="AO51" i="39"/>
  <c r="AV52" i="39"/>
  <c r="AQ64" i="39"/>
  <c r="AW64" i="39"/>
  <c r="AT61" i="39"/>
  <c r="AX62" i="39"/>
  <c r="AX133" i="39" s="1"/>
  <c r="AV62" i="39"/>
  <c r="AT66" i="39"/>
  <c r="AO66" i="39"/>
  <c r="AX67" i="39"/>
  <c r="AV67" i="39"/>
  <c r="AP69" i="39"/>
  <c r="AS69" i="39"/>
  <c r="AS70" i="39"/>
  <c r="AV70" i="39"/>
  <c r="AQ80" i="39"/>
  <c r="AQ85" i="39" s="1"/>
  <c r="AS82" i="39"/>
  <c r="AP82" i="39"/>
  <c r="AO82" i="39"/>
  <c r="AO83" i="39"/>
  <c r="AW86" i="39"/>
  <c r="AO90" i="39"/>
  <c r="AT90" i="39"/>
  <c r="AS90" i="39"/>
  <c r="AS93" i="39"/>
  <c r="AU95" i="39"/>
  <c r="AV97" i="39"/>
  <c r="AW97" i="39"/>
  <c r="AW99" i="39" s="1"/>
  <c r="AW31" i="39"/>
  <c r="AW36" i="39" s="1"/>
  <c r="AS34" i="39"/>
  <c r="AP34" i="39"/>
  <c r="Y128" i="39"/>
  <c r="AE128" i="39"/>
  <c r="AR128" i="39"/>
  <c r="AS39" i="39"/>
  <c r="AP39" i="39"/>
  <c r="AE134" i="39"/>
  <c r="AR43" i="39"/>
  <c r="AU44" i="39"/>
  <c r="AU45" i="39" s="1"/>
  <c r="AP46" i="39"/>
  <c r="AU50" i="39"/>
  <c r="AU55" i="39" s="1"/>
  <c r="AS51" i="39"/>
  <c r="AP51" i="39"/>
  <c r="AQ56" i="39"/>
  <c r="AQ57" i="39" s="1"/>
  <c r="AT59" i="39"/>
  <c r="AP62" i="39"/>
  <c r="AS62" i="39"/>
  <c r="AX65" i="39"/>
  <c r="AP67" i="39"/>
  <c r="AS67" i="39"/>
  <c r="AP84" i="39"/>
  <c r="AS84" i="39"/>
  <c r="AT84" i="39"/>
  <c r="AO84" i="39"/>
  <c r="AP86" i="39"/>
  <c r="AT87" i="39"/>
  <c r="AS87" i="39"/>
  <c r="AP87" i="39"/>
  <c r="AO87" i="39"/>
  <c r="AQ89" i="39"/>
  <c r="AQ92" i="39" s="1"/>
  <c r="AS91" i="39"/>
  <c r="AP91" i="39"/>
  <c r="AT95" i="39"/>
  <c r="AS95" i="39"/>
  <c r="AT104" i="39"/>
  <c r="AP104" i="39"/>
  <c r="AS104" i="39"/>
  <c r="AQ107" i="39"/>
  <c r="AQ113" i="39" s="1"/>
  <c r="AV44" i="39"/>
  <c r="AV45" i="39" s="1"/>
  <c r="AV50" i="39"/>
  <c r="AX58" i="39"/>
  <c r="AP60" i="39"/>
  <c r="AS60" i="39"/>
  <c r="AP65" i="39"/>
  <c r="AU71" i="39"/>
  <c r="AV66" i="39"/>
  <c r="AV69" i="39"/>
  <c r="AT70" i="39"/>
  <c r="AO70" i="39"/>
  <c r="AU78" i="39"/>
  <c r="AT73" i="39"/>
  <c r="AP73" i="39"/>
  <c r="AO73" i="39"/>
  <c r="AV73" i="39"/>
  <c r="AW73" i="39"/>
  <c r="AO76" i="39"/>
  <c r="AT76" i="39"/>
  <c r="AS76" i="39"/>
  <c r="AS79" i="39"/>
  <c r="AV83" i="39"/>
  <c r="AW83" i="39"/>
  <c r="AW85" i="39" s="1"/>
  <c r="AQ94" i="39"/>
  <c r="AQ99" i="39" s="1"/>
  <c r="AS96" i="39"/>
  <c r="AP96" i="39"/>
  <c r="AO96" i="39"/>
  <c r="AP105" i="39"/>
  <c r="AS105" i="39"/>
  <c r="AT105" i="39"/>
  <c r="AX110" i="39"/>
  <c r="AV110" i="39"/>
  <c r="AP112" i="39"/>
  <c r="AS112" i="39"/>
  <c r="AT112" i="39"/>
  <c r="AQ114" i="39"/>
  <c r="AQ116" i="39" s="1"/>
  <c r="AR78" i="39"/>
  <c r="AX85" i="39"/>
  <c r="AS83" i="39"/>
  <c r="AR92" i="39"/>
  <c r="AX99" i="39"/>
  <c r="AS97" i="39"/>
  <c r="AD122" i="39"/>
  <c r="W19" i="45" s="1"/>
  <c r="AU100" i="39"/>
  <c r="AU106" i="39" s="1"/>
  <c r="AV101" i="39"/>
  <c r="AT102" i="39"/>
  <c r="AV103" i="39"/>
  <c r="AX103" i="39"/>
  <c r="AX113" i="39"/>
  <c r="AO108" i="39"/>
  <c r="AU114" i="39"/>
  <c r="AU116" i="39" s="1"/>
  <c r="AP115" i="39"/>
  <c r="AP116" i="39" s="1"/>
  <c r="AT115" i="39"/>
  <c r="AP117" i="39"/>
  <c r="AV117" i="39"/>
  <c r="T122" i="39"/>
  <c r="M19" i="45" s="1"/>
  <c r="AW100" i="39"/>
  <c r="AW106" i="39" s="1"/>
  <c r="AP103" i="39"/>
  <c r="AS103" i="39"/>
  <c r="AU107" i="39"/>
  <c r="AU113" i="39" s="1"/>
  <c r="AT109" i="39"/>
  <c r="AP109" i="39"/>
  <c r="AP113" i="39" s="1"/>
  <c r="AO112" i="39"/>
  <c r="AV114" i="39"/>
  <c r="AG125" i="39"/>
  <c r="AK125" i="39"/>
  <c r="AM124" i="39" s="1"/>
  <c r="AO74" i="39"/>
  <c r="AP74" i="39"/>
  <c r="AP75" i="39"/>
  <c r="AS75" i="39"/>
  <c r="AV75" i="39"/>
  <c r="AV76" i="39"/>
  <c r="AV77" i="39"/>
  <c r="AP79" i="39"/>
  <c r="AP80" i="39"/>
  <c r="AS80" i="39"/>
  <c r="AV81" i="39"/>
  <c r="AV82" i="39"/>
  <c r="AW87" i="39"/>
  <c r="AO88" i="39"/>
  <c r="AP88" i="39"/>
  <c r="AP89" i="39"/>
  <c r="AS89" i="39"/>
  <c r="AV89" i="39"/>
  <c r="AV90" i="39"/>
  <c r="AV91" i="39"/>
  <c r="AP93" i="39"/>
  <c r="AV93" i="39"/>
  <c r="AP94" i="39"/>
  <c r="AS94" i="39"/>
  <c r="AV94" i="39"/>
  <c r="AV95" i="39"/>
  <c r="AV96" i="39"/>
  <c r="AQ100" i="39"/>
  <c r="AQ106" i="39" s="1"/>
  <c r="AP101" i="39"/>
  <c r="AS102" i="39"/>
  <c r="AV102" i="39"/>
  <c r="AP108" i="39"/>
  <c r="AT108" i="39"/>
  <c r="W122" i="39"/>
  <c r="P19" i="45" s="1"/>
  <c r="AW107" i="39"/>
  <c r="AW113" i="39" s="1"/>
  <c r="AR113" i="39"/>
  <c r="AP110" i="39"/>
  <c r="AV111" i="39"/>
  <c r="AV118" i="39"/>
  <c r="AV119" i="39"/>
  <c r="AX119" i="39"/>
  <c r="U122" i="39"/>
  <c r="N19" i="45" s="1"/>
  <c r="AC122" i="39"/>
  <c r="V19" i="45" s="1"/>
  <c r="AV107" i="39"/>
  <c r="AT111" i="39"/>
  <c r="AW114" i="39"/>
  <c r="AW116" i="39" s="1"/>
  <c r="AX115" i="39"/>
  <c r="AX116" i="39" s="1"/>
  <c r="AV115" i="39"/>
  <c r="AT118" i="39"/>
  <c r="AP118" i="39"/>
  <c r="X122" i="39"/>
  <c r="Q19" i="45" s="1"/>
  <c r="AJ122" i="39"/>
  <c r="AC19" i="45" s="1"/>
  <c r="AQ121" i="39"/>
  <c r="AW121" i="39"/>
  <c r="AT120" i="39"/>
  <c r="AI122" i="39"/>
  <c r="AB19" i="45" s="1"/>
  <c r="S122" i="39"/>
  <c r="L19" i="45" s="1"/>
  <c r="AM122" i="39"/>
  <c r="AF19" i="45" s="1"/>
  <c r="AX117" i="39"/>
  <c r="AP119" i="39"/>
  <c r="AS120" i="39"/>
  <c r="AV120" i="39"/>
  <c r="AG122" i="39"/>
  <c r="Z19" i="45" s="1"/>
  <c r="AK122" i="39"/>
  <c r="AD19" i="45" s="1"/>
  <c r="AM198" i="42" l="1"/>
  <c r="Y144" i="41"/>
  <c r="Y198" i="42"/>
  <c r="AU154" i="42"/>
  <c r="AP146" i="42"/>
  <c r="AQ201" i="42"/>
  <c r="AQ207" i="42"/>
  <c r="AP38" i="42"/>
  <c r="AM199" i="42"/>
  <c r="AS151" i="42"/>
  <c r="AV58" i="42"/>
  <c r="AW160" i="42"/>
  <c r="AV95" i="42"/>
  <c r="AP89" i="42"/>
  <c r="AM145" i="41"/>
  <c r="AP38" i="41"/>
  <c r="AV74" i="41"/>
  <c r="AV129" i="41"/>
  <c r="AM143" i="41"/>
  <c r="AA21" i="45"/>
  <c r="AM169" i="40"/>
  <c r="Y169" i="40"/>
  <c r="AX76" i="40"/>
  <c r="AX47" i="40"/>
  <c r="AF167" i="40"/>
  <c r="AW54" i="40"/>
  <c r="AX69" i="40"/>
  <c r="AR167" i="40"/>
  <c r="AK20" i="45" s="1"/>
  <c r="AX83" i="40"/>
  <c r="AE124" i="39"/>
  <c r="AX90" i="40"/>
  <c r="AX54" i="40"/>
  <c r="Z167" i="40"/>
  <c r="AW76" i="40"/>
  <c r="AT99" i="40"/>
  <c r="AV83" i="40"/>
  <c r="AO141" i="40"/>
  <c r="AP166" i="40"/>
  <c r="AQ146" i="40"/>
  <c r="AX132" i="39"/>
  <c r="AX106" i="39"/>
  <c r="AX64" i="39"/>
  <c r="AW132" i="39"/>
  <c r="Y124" i="39"/>
  <c r="AT71" i="39"/>
  <c r="P144" i="41"/>
  <c r="P198" i="42"/>
  <c r="AE144" i="41"/>
  <c r="AE198" i="42"/>
  <c r="AE197" i="42"/>
  <c r="V197" i="42"/>
  <c r="AX206" i="42"/>
  <c r="AV34" i="42"/>
  <c r="AW176" i="42"/>
  <c r="AX146" i="42"/>
  <c r="AU202" i="42"/>
  <c r="AX207" i="42"/>
  <c r="AP98" i="42"/>
  <c r="AP85" i="42"/>
  <c r="AX136" i="42"/>
  <c r="AV111" i="42"/>
  <c r="AW69" i="42"/>
  <c r="AV64" i="42"/>
  <c r="AS85" i="42"/>
  <c r="AW202" i="42"/>
  <c r="AV45" i="41"/>
  <c r="AL169" i="40"/>
  <c r="AT60" i="41"/>
  <c r="AW147" i="41"/>
  <c r="AT134" i="41"/>
  <c r="AS134" i="41"/>
  <c r="AP149" i="41"/>
  <c r="AP110" i="41"/>
  <c r="AP67" i="41"/>
  <c r="AV60" i="41"/>
  <c r="AW146" i="41"/>
  <c r="AP147" i="41"/>
  <c r="AW141" i="41"/>
  <c r="AX141" i="41"/>
  <c r="AP95" i="41"/>
  <c r="AX85" i="41"/>
  <c r="AP74" i="41"/>
  <c r="AX110" i="41"/>
  <c r="AW149" i="41"/>
  <c r="AQ149" i="41"/>
  <c r="AX149" i="41"/>
  <c r="AE169" i="40"/>
  <c r="AV109" i="40"/>
  <c r="AE20" i="45"/>
  <c r="AL170" i="40"/>
  <c r="S170" i="40"/>
  <c r="V169" i="40" s="1"/>
  <c r="X20" i="45"/>
  <c r="AL124" i="39"/>
  <c r="V168" i="40"/>
  <c r="AE168" i="40"/>
  <c r="AX178" i="40"/>
  <c r="AW174" i="40"/>
  <c r="AP69" i="40"/>
  <c r="AV174" i="40"/>
  <c r="AW109" i="40"/>
  <c r="AP120" i="40"/>
  <c r="AT109" i="40"/>
  <c r="AX172" i="40"/>
  <c r="AQ180" i="40"/>
  <c r="AX177" i="40"/>
  <c r="P169" i="40"/>
  <c r="AX62" i="40"/>
  <c r="AV62" i="40"/>
  <c r="AP47" i="40"/>
  <c r="AV99" i="40"/>
  <c r="AW69" i="40"/>
  <c r="AQ178" i="40"/>
  <c r="AX35" i="40"/>
  <c r="AV146" i="40"/>
  <c r="AW177" i="40"/>
  <c r="AP23" i="40"/>
  <c r="AR125" i="39"/>
  <c r="AV71" i="39"/>
  <c r="AO118" i="39"/>
  <c r="AE122" i="39"/>
  <c r="X19" i="45" s="1"/>
  <c r="Y125" i="39"/>
  <c r="AE123" i="39"/>
  <c r="V123" i="39"/>
  <c r="I124" i="39"/>
  <c r="AX71" i="39"/>
  <c r="AV49" i="39"/>
  <c r="AP106" i="39"/>
  <c r="AW71" i="39"/>
  <c r="AW133" i="39"/>
  <c r="AV106" i="39"/>
  <c r="AP71" i="39"/>
  <c r="AL198" i="42"/>
  <c r="AE143" i="41"/>
  <c r="V21" i="45"/>
  <c r="I144" i="41"/>
  <c r="I169" i="40"/>
  <c r="AL144" i="41"/>
  <c r="I198" i="42"/>
  <c r="AS164" i="42"/>
  <c r="AS96" i="42"/>
  <c r="AS98" i="42" s="1"/>
  <c r="AT59" i="42"/>
  <c r="AS105" i="42"/>
  <c r="AS111" i="42" s="1"/>
  <c r="AV79" i="42"/>
  <c r="AV85" i="42" s="1"/>
  <c r="AX203" i="42"/>
  <c r="AO79" i="42"/>
  <c r="AV27" i="42"/>
  <c r="AV30" i="42" s="1"/>
  <c r="AW206" i="42"/>
  <c r="AS47" i="42"/>
  <c r="AT19" i="42"/>
  <c r="AT22" i="42" s="1"/>
  <c r="AS12" i="42"/>
  <c r="AL197" i="42"/>
  <c r="AO193" i="42"/>
  <c r="AP183" i="42"/>
  <c r="AP188" i="42" s="1"/>
  <c r="AV195" i="42"/>
  <c r="S197" i="42"/>
  <c r="Y197" i="42"/>
  <c r="AP177" i="42"/>
  <c r="AP182" i="42" s="1"/>
  <c r="AA203" i="42"/>
  <c r="AT155" i="42"/>
  <c r="AW188" i="42"/>
  <c r="AW182" i="42"/>
  <c r="AO175" i="42"/>
  <c r="AT165" i="42"/>
  <c r="AO158" i="42"/>
  <c r="AO168" i="42"/>
  <c r="AV147" i="42"/>
  <c r="AV151" i="42" s="1"/>
  <c r="AT176" i="42"/>
  <c r="AS130" i="42"/>
  <c r="AO181" i="42"/>
  <c r="AP151" i="42"/>
  <c r="AV125" i="42"/>
  <c r="AV130" i="42" s="1"/>
  <c r="AS121" i="42"/>
  <c r="V203" i="42"/>
  <c r="AS170" i="42"/>
  <c r="AS176" i="42" s="1"/>
  <c r="AP152" i="42"/>
  <c r="AP154" i="42" s="1"/>
  <c r="AT151" i="42"/>
  <c r="AS143" i="42"/>
  <c r="AP64" i="42"/>
  <c r="AT143" i="42"/>
  <c r="AO128" i="42"/>
  <c r="AP111" i="42"/>
  <c r="AV35" i="42"/>
  <c r="AV38" i="42" s="1"/>
  <c r="AL199" i="42"/>
  <c r="AO83" i="42"/>
  <c r="AO75" i="42"/>
  <c r="AS112" i="42"/>
  <c r="AS114" i="42" s="1"/>
  <c r="AO103" i="42"/>
  <c r="AP69" i="42"/>
  <c r="AQ52" i="42"/>
  <c r="AO48" i="42"/>
  <c r="AN209" i="42"/>
  <c r="AV45" i="42"/>
  <c r="AV23" i="42"/>
  <c r="AV26" i="42" s="1"/>
  <c r="AP53" i="42"/>
  <c r="AP58" i="42" s="1"/>
  <c r="AS189" i="42"/>
  <c r="AS195" i="42" s="1"/>
  <c r="AO145" i="42"/>
  <c r="AO126" i="42"/>
  <c r="AP122" i="42"/>
  <c r="AP124" i="42" s="1"/>
  <c r="AS122" i="42"/>
  <c r="AV99" i="42"/>
  <c r="AV104" i="42" s="1"/>
  <c r="AS71" i="42"/>
  <c r="AP71" i="42"/>
  <c r="AP76" i="42" s="1"/>
  <c r="AT71" i="42"/>
  <c r="AS70" i="42"/>
  <c r="AW203" i="42"/>
  <c r="AN201" i="42"/>
  <c r="AV47" i="42"/>
  <c r="AR199" i="42"/>
  <c r="AP114" i="42"/>
  <c r="AV69" i="42"/>
  <c r="AO36" i="42"/>
  <c r="AO24" i="42"/>
  <c r="AO73" i="42"/>
  <c r="AT31" i="42"/>
  <c r="AN200" i="42"/>
  <c r="AV12" i="42"/>
  <c r="AO54" i="42"/>
  <c r="V201" i="42"/>
  <c r="AT42" i="42"/>
  <c r="AT44" i="42" s="1"/>
  <c r="AT35" i="42"/>
  <c r="AT38" i="42" s="1"/>
  <c r="AO25" i="42"/>
  <c r="AO15" i="42"/>
  <c r="AO16" i="42"/>
  <c r="AP143" i="42"/>
  <c r="AV134" i="42"/>
  <c r="AV136" i="42" s="1"/>
  <c r="AQ133" i="42"/>
  <c r="AV121" i="42"/>
  <c r="AV124" i="42" s="1"/>
  <c r="AQ208" i="42"/>
  <c r="AQ78" i="42"/>
  <c r="AT70" i="42"/>
  <c r="AV39" i="42"/>
  <c r="AV41" i="42" s="1"/>
  <c r="AT189" i="42"/>
  <c r="AT195" i="42" s="1"/>
  <c r="AO147" i="42"/>
  <c r="AO116" i="42"/>
  <c r="AO68" i="42"/>
  <c r="AX202" i="42"/>
  <c r="AT112" i="42"/>
  <c r="AT114" i="42" s="1"/>
  <c r="AO93" i="42"/>
  <c r="AO194" i="42"/>
  <c r="AM196" i="42"/>
  <c r="AF22" i="45" s="1"/>
  <c r="AO178" i="42"/>
  <c r="AV183" i="42"/>
  <c r="AV188" i="42" s="1"/>
  <c r="AO173" i="42"/>
  <c r="AV152" i="42"/>
  <c r="AV154" i="42" s="1"/>
  <c r="AS144" i="42"/>
  <c r="AS146" i="42" s="1"/>
  <c r="AV137" i="42"/>
  <c r="AV143" i="42" s="1"/>
  <c r="AV176" i="42"/>
  <c r="AO166" i="42"/>
  <c r="AV120" i="42"/>
  <c r="AT146" i="42"/>
  <c r="AV131" i="42"/>
  <c r="AV133" i="42" s="1"/>
  <c r="AS86" i="42"/>
  <c r="AS89" i="42" s="1"/>
  <c r="AM197" i="42"/>
  <c r="AP176" i="42"/>
  <c r="AV163" i="42"/>
  <c r="AT157" i="42"/>
  <c r="AO157" i="42"/>
  <c r="AP157" i="42"/>
  <c r="AP160" i="42" s="1"/>
  <c r="AO106" i="42"/>
  <c r="AO101" i="42"/>
  <c r="AO91" i="42"/>
  <c r="AT105" i="42"/>
  <c r="AT111" i="42" s="1"/>
  <c r="AO100" i="42"/>
  <c r="V207" i="42"/>
  <c r="AP50" i="42"/>
  <c r="AP52" i="42" s="1"/>
  <c r="AW209" i="42"/>
  <c r="AW46" i="42"/>
  <c r="AV19" i="42"/>
  <c r="AV22" i="42" s="1"/>
  <c r="AN202" i="42"/>
  <c r="AV14" i="42"/>
  <c r="AV202" i="42" s="1"/>
  <c r="S199" i="42"/>
  <c r="V198" i="42" s="1"/>
  <c r="V208" i="42"/>
  <c r="AP77" i="42"/>
  <c r="AN203" i="42"/>
  <c r="AT27" i="42"/>
  <c r="AO80" i="42"/>
  <c r="AO63" i="42"/>
  <c r="AQ203" i="42"/>
  <c r="AQ64" i="42"/>
  <c r="AW201" i="42"/>
  <c r="AW52" i="42"/>
  <c r="AO37" i="42"/>
  <c r="AP195" i="42"/>
  <c r="AW104" i="42"/>
  <c r="AU52" i="42"/>
  <c r="AP23" i="42"/>
  <c r="AP26" i="42" s="1"/>
  <c r="AE199" i="42"/>
  <c r="AU203" i="42"/>
  <c r="AU64" i="42"/>
  <c r="AQ200" i="42"/>
  <c r="AO49" i="42"/>
  <c r="V206" i="42"/>
  <c r="AP17" i="42"/>
  <c r="AO61" i="42"/>
  <c r="AT47" i="42"/>
  <c r="AS19" i="42"/>
  <c r="AS22" i="42" s="1"/>
  <c r="AU200" i="42"/>
  <c r="AV164" i="42"/>
  <c r="AV169" i="42" s="1"/>
  <c r="AO190" i="42"/>
  <c r="AS134" i="42"/>
  <c r="AS136" i="42" s="1"/>
  <c r="AP90" i="42"/>
  <c r="AP95" i="42" s="1"/>
  <c r="AT167" i="42"/>
  <c r="AS167" i="42"/>
  <c r="AP167" i="42"/>
  <c r="AP169" i="42" s="1"/>
  <c r="AX201" i="42"/>
  <c r="AX52" i="42"/>
  <c r="AS27" i="42"/>
  <c r="AS65" i="42"/>
  <c r="AS69" i="42" s="1"/>
  <c r="AW200" i="42"/>
  <c r="AL196" i="42"/>
  <c r="AO179" i="42"/>
  <c r="AV182" i="42"/>
  <c r="AE196" i="42"/>
  <c r="X22" i="45" s="1"/>
  <c r="AV155" i="42"/>
  <c r="AV160" i="42" s="1"/>
  <c r="AO153" i="42"/>
  <c r="AO141" i="42"/>
  <c r="AO129" i="42"/>
  <c r="AO119" i="42"/>
  <c r="AT96" i="42"/>
  <c r="AT98" i="42" s="1"/>
  <c r="AO185" i="42"/>
  <c r="AO174" i="42"/>
  <c r="AV144" i="42"/>
  <c r="AV146" i="42" s="1"/>
  <c r="AP131" i="42"/>
  <c r="AP133" i="42" s="1"/>
  <c r="AT161" i="42"/>
  <c r="AT163" i="42" s="1"/>
  <c r="AO156" i="42"/>
  <c r="AT136" i="42"/>
  <c r="AT125" i="42"/>
  <c r="AT130" i="42" s="1"/>
  <c r="AP115" i="42"/>
  <c r="AP120" i="42" s="1"/>
  <c r="AO81" i="42"/>
  <c r="AU208" i="42"/>
  <c r="AU78" i="42"/>
  <c r="AU196" i="42" s="1"/>
  <c r="AN22" i="45" s="1"/>
  <c r="AS59" i="42"/>
  <c r="AO92" i="42"/>
  <c r="AO82" i="42"/>
  <c r="AV70" i="42"/>
  <c r="AV76" i="42" s="1"/>
  <c r="AW18" i="42"/>
  <c r="AO88" i="42"/>
  <c r="AO148" i="42"/>
  <c r="AT89" i="42"/>
  <c r="AN208" i="42"/>
  <c r="AV77" i="42"/>
  <c r="AO62" i="42"/>
  <c r="AN207" i="42"/>
  <c r="AV50" i="42"/>
  <c r="AV207" i="42" s="1"/>
  <c r="AO43" i="42"/>
  <c r="AO21" i="42"/>
  <c r="V202" i="42"/>
  <c r="AP14" i="42"/>
  <c r="AP202" i="42" s="1"/>
  <c r="AO118" i="42"/>
  <c r="AO74" i="42"/>
  <c r="AW207" i="42"/>
  <c r="AO102" i="42"/>
  <c r="AP99" i="42"/>
  <c r="AP104" i="42" s="1"/>
  <c r="AU201" i="42"/>
  <c r="V209" i="42"/>
  <c r="AP45" i="42"/>
  <c r="AP39" i="42"/>
  <c r="AP41" i="42" s="1"/>
  <c r="AO33" i="42"/>
  <c r="AP33" i="42"/>
  <c r="AP34" i="42" s="1"/>
  <c r="AS33" i="42"/>
  <c r="AT33" i="42"/>
  <c r="AO28" i="42"/>
  <c r="AS28" i="42"/>
  <c r="AP28" i="42"/>
  <c r="AP30" i="42" s="1"/>
  <c r="AT28" i="42"/>
  <c r="Y199" i="42"/>
  <c r="AT80" i="42"/>
  <c r="AT85" i="42" s="1"/>
  <c r="AO84" i="42"/>
  <c r="AO40" i="42"/>
  <c r="AO20" i="42"/>
  <c r="AO13" i="42"/>
  <c r="AT13" i="42"/>
  <c r="AP13" i="42"/>
  <c r="AS13" i="42"/>
  <c r="AT12" i="42"/>
  <c r="AS31" i="42"/>
  <c r="AN206" i="42"/>
  <c r="AV17" i="42"/>
  <c r="AV206" i="42" s="1"/>
  <c r="AX200" i="42"/>
  <c r="AX18" i="42"/>
  <c r="AS42" i="42"/>
  <c r="AS44" i="42" s="1"/>
  <c r="AS35" i="42"/>
  <c r="AS38" i="42" s="1"/>
  <c r="AP22" i="42"/>
  <c r="AO94" i="42"/>
  <c r="AO68" i="41"/>
  <c r="AO17" i="41"/>
  <c r="AO22" i="41"/>
  <c r="AO19" i="41"/>
  <c r="V152" i="41"/>
  <c r="AP15" i="41"/>
  <c r="S145" i="41"/>
  <c r="V144" i="41" s="1"/>
  <c r="AN153" i="41"/>
  <c r="AR145" i="41"/>
  <c r="AL142" i="41"/>
  <c r="AE21" i="45" s="1"/>
  <c r="AS115" i="41"/>
  <c r="AO115" i="41"/>
  <c r="AO140" i="41"/>
  <c r="AM142" i="41"/>
  <c r="AF21" i="45" s="1"/>
  <c r="AV111" i="41"/>
  <c r="AV117" i="41" s="1"/>
  <c r="AU155" i="41"/>
  <c r="AU97" i="41"/>
  <c r="AU142" i="41" s="1"/>
  <c r="AN21" i="45" s="1"/>
  <c r="AT68" i="41"/>
  <c r="AT74" i="41" s="1"/>
  <c r="AB155" i="41"/>
  <c r="AT96" i="41"/>
  <c r="AO138" i="41"/>
  <c r="AT111" i="41"/>
  <c r="AT117" i="41" s="1"/>
  <c r="AP75" i="41"/>
  <c r="AP81" i="41" s="1"/>
  <c r="AN149" i="41"/>
  <c r="AV33" i="41"/>
  <c r="AS30" i="41"/>
  <c r="AS32" i="41" s="1"/>
  <c r="AU154" i="41"/>
  <c r="AU29" i="41"/>
  <c r="AN147" i="41"/>
  <c r="AV17" i="41"/>
  <c r="AN146" i="41"/>
  <c r="AV12" i="41"/>
  <c r="AO50" i="41"/>
  <c r="AT30" i="41"/>
  <c r="AT32" i="41" s="1"/>
  <c r="AW155" i="41"/>
  <c r="AW97" i="41"/>
  <c r="AV64" i="41"/>
  <c r="AV67" i="41" s="1"/>
  <c r="AT39" i="41"/>
  <c r="AT45" i="41" s="1"/>
  <c r="AO35" i="41"/>
  <c r="AW153" i="41"/>
  <c r="AO14" i="41"/>
  <c r="AT12" i="41"/>
  <c r="AO55" i="41"/>
  <c r="AS118" i="41"/>
  <c r="AS125" i="41" s="1"/>
  <c r="AO108" i="41"/>
  <c r="AO78" i="41"/>
  <c r="AX147" i="41"/>
  <c r="AX21" i="41"/>
  <c r="AX146" i="41"/>
  <c r="AX16" i="41"/>
  <c r="AS86" i="41"/>
  <c r="AS89" i="41" s="1"/>
  <c r="AO48" i="41"/>
  <c r="AO26" i="41"/>
  <c r="AP155" i="41"/>
  <c r="AP97" i="41"/>
  <c r="AS155" i="41"/>
  <c r="AS97" i="41"/>
  <c r="AP153" i="41"/>
  <c r="AT64" i="41"/>
  <c r="AT67" i="41" s="1"/>
  <c r="AP45" i="41"/>
  <c r="AB149" i="41"/>
  <c r="AT33" i="41"/>
  <c r="AB147" i="41"/>
  <c r="AT17" i="41"/>
  <c r="AO41" i="41"/>
  <c r="AP61" i="41"/>
  <c r="AP63" i="41" s="1"/>
  <c r="AP135" i="41"/>
  <c r="AP141" i="41" s="1"/>
  <c r="AV118" i="41"/>
  <c r="AV125" i="41" s="1"/>
  <c r="AV104" i="41"/>
  <c r="AV110" i="41" s="1"/>
  <c r="AS98" i="41"/>
  <c r="AS100" i="41" s="1"/>
  <c r="AO132" i="41"/>
  <c r="AT102" i="41"/>
  <c r="AS102" i="41"/>
  <c r="AP102" i="41"/>
  <c r="AP103" i="41" s="1"/>
  <c r="AS68" i="41"/>
  <c r="AS74" i="41" s="1"/>
  <c r="AT101" i="41"/>
  <c r="AO99" i="41"/>
  <c r="AO83" i="41"/>
  <c r="AO114" i="41"/>
  <c r="AS111" i="41"/>
  <c r="AO109" i="41"/>
  <c r="AO92" i="41"/>
  <c r="AW95" i="41"/>
  <c r="AV75" i="41"/>
  <c r="AV81" i="41" s="1"/>
  <c r="AP60" i="41"/>
  <c r="AO88" i="41"/>
  <c r="AO77" i="41"/>
  <c r="AO70" i="41"/>
  <c r="AQ154" i="41"/>
  <c r="AQ29" i="41"/>
  <c r="AA153" i="41"/>
  <c r="AS19" i="41"/>
  <c r="AW152" i="41"/>
  <c r="AE145" i="41"/>
  <c r="AV100" i="41"/>
  <c r="Z147" i="41"/>
  <c r="AW60" i="41"/>
  <c r="AV46" i="41"/>
  <c r="AV52" i="41" s="1"/>
  <c r="AU147" i="41"/>
  <c r="AU146" i="41"/>
  <c r="Z149" i="41"/>
  <c r="AS127" i="41"/>
  <c r="AT127" i="41"/>
  <c r="AP127" i="41"/>
  <c r="AP129" i="41" s="1"/>
  <c r="AT126" i="41"/>
  <c r="AT129" i="41" s="1"/>
  <c r="AT118" i="41"/>
  <c r="AT125" i="41" s="1"/>
  <c r="AP27" i="41"/>
  <c r="AQ152" i="41"/>
  <c r="AL145" i="41"/>
  <c r="AO37" i="41"/>
  <c r="AO23" i="41"/>
  <c r="AO25" i="41"/>
  <c r="Z153" i="41"/>
  <c r="AO47" i="41"/>
  <c r="AO36" i="41"/>
  <c r="AP21" i="41"/>
  <c r="AS139" i="41"/>
  <c r="AO139" i="41"/>
  <c r="Z155" i="41"/>
  <c r="AP82" i="41"/>
  <c r="AP85" i="41" s="1"/>
  <c r="AP46" i="41"/>
  <c r="AP52" i="41" s="1"/>
  <c r="AB146" i="41"/>
  <c r="S143" i="41"/>
  <c r="Y143" i="41"/>
  <c r="AE142" i="41"/>
  <c r="X21" i="45" s="1"/>
  <c r="AR142" i="41"/>
  <c r="AK21" i="45" s="1"/>
  <c r="AL143" i="41"/>
  <c r="S142" i="41"/>
  <c r="AW125" i="41"/>
  <c r="AO136" i="41"/>
  <c r="AO131" i="41"/>
  <c r="AV134" i="41"/>
  <c r="AO124" i="41"/>
  <c r="AX125" i="41"/>
  <c r="AX142" i="41" s="1"/>
  <c r="AQ21" i="45" s="1"/>
  <c r="AV101" i="41"/>
  <c r="AV103" i="41" s="1"/>
  <c r="AS90" i="41"/>
  <c r="AS95" i="41" s="1"/>
  <c r="AV141" i="41"/>
  <c r="AO128" i="41"/>
  <c r="AO107" i="41"/>
  <c r="AS101" i="41"/>
  <c r="AO91" i="41"/>
  <c r="AW89" i="41"/>
  <c r="AV82" i="41"/>
  <c r="AV85" i="41" s="1"/>
  <c r="AO72" i="41"/>
  <c r="AO130" i="41"/>
  <c r="AO121" i="41"/>
  <c r="AP117" i="41"/>
  <c r="AS104" i="41"/>
  <c r="AS110" i="41" s="1"/>
  <c r="AW81" i="41"/>
  <c r="AS53" i="41"/>
  <c r="AS60" i="41" s="1"/>
  <c r="AQ155" i="41"/>
  <c r="AQ97" i="41"/>
  <c r="AQ142" i="41" s="1"/>
  <c r="AJ21" i="45" s="1"/>
  <c r="AO69" i="41"/>
  <c r="AO62" i="41"/>
  <c r="V154" i="41"/>
  <c r="AP28" i="41"/>
  <c r="AX153" i="41"/>
  <c r="Y145" i="41"/>
  <c r="AB153" i="41"/>
  <c r="AT19" i="41"/>
  <c r="AT153" i="41" s="1"/>
  <c r="AO137" i="41"/>
  <c r="AO133" i="41"/>
  <c r="AN155" i="41"/>
  <c r="AV96" i="41"/>
  <c r="AP89" i="41"/>
  <c r="AS64" i="41"/>
  <c r="AS67" i="41" s="1"/>
  <c r="AW52" i="41"/>
  <c r="AS39" i="41"/>
  <c r="AS45" i="41" s="1"/>
  <c r="AO24" i="41"/>
  <c r="AN152" i="41"/>
  <c r="AV15" i="41"/>
  <c r="AV152" i="41" s="1"/>
  <c r="AQ146" i="41"/>
  <c r="AV154" i="41"/>
  <c r="AV29" i="41"/>
  <c r="Z146" i="41"/>
  <c r="AS126" i="41"/>
  <c r="AP125" i="41"/>
  <c r="AT110" i="41"/>
  <c r="AT95" i="41"/>
  <c r="AA149" i="41"/>
  <c r="AS33" i="41"/>
  <c r="AS22" i="41"/>
  <c r="AS27" i="41" s="1"/>
  <c r="AA147" i="41"/>
  <c r="AS17" i="41"/>
  <c r="AS12" i="41"/>
  <c r="AT86" i="41"/>
  <c r="AT89" i="41" s="1"/>
  <c r="AO54" i="41"/>
  <c r="AO49" i="41"/>
  <c r="AO34" i="41"/>
  <c r="AV153" i="41"/>
  <c r="AO87" i="41"/>
  <c r="AV32" i="41"/>
  <c r="AT27" i="41"/>
  <c r="AO13" i="41"/>
  <c r="AV27" i="41"/>
  <c r="AO161" i="40"/>
  <c r="AT91" i="40"/>
  <c r="AT93" i="40" s="1"/>
  <c r="AS71" i="40"/>
  <c r="AO71" i="40"/>
  <c r="AQ173" i="40"/>
  <c r="AQ41" i="40"/>
  <c r="AW178" i="40"/>
  <c r="AS77" i="40"/>
  <c r="AM170" i="40"/>
  <c r="AV178" i="40"/>
  <c r="AT163" i="40"/>
  <c r="AT166" i="40" s="1"/>
  <c r="AN168" i="40"/>
  <c r="AO158" i="40"/>
  <c r="AS154" i="40"/>
  <c r="AS156" i="40" s="1"/>
  <c r="AO150" i="40"/>
  <c r="AV133" i="40"/>
  <c r="AV139" i="40" s="1"/>
  <c r="AP130" i="40"/>
  <c r="AO155" i="40"/>
  <c r="AT156" i="40"/>
  <c r="AT133" i="40"/>
  <c r="AT139" i="40" s="1"/>
  <c r="AV127" i="40"/>
  <c r="AV129" i="40" s="1"/>
  <c r="AO151" i="40"/>
  <c r="AS93" i="40"/>
  <c r="V174" i="40"/>
  <c r="AP58" i="40"/>
  <c r="AP174" i="40" s="1"/>
  <c r="AO159" i="40"/>
  <c r="AW126" i="40"/>
  <c r="AP99" i="40"/>
  <c r="AT123" i="40"/>
  <c r="AP123" i="40"/>
  <c r="AO123" i="40"/>
  <c r="AS123" i="40"/>
  <c r="AS89" i="40"/>
  <c r="AO89" i="40"/>
  <c r="AS75" i="40"/>
  <c r="AO75" i="40"/>
  <c r="AP62" i="40"/>
  <c r="AU179" i="40"/>
  <c r="AU56" i="40"/>
  <c r="AT84" i="40"/>
  <c r="AT90" i="40" s="1"/>
  <c r="AS16" i="40"/>
  <c r="AW171" i="40"/>
  <c r="AW15" i="40"/>
  <c r="AV69" i="40"/>
  <c r="AN173" i="40"/>
  <c r="AV177" i="40"/>
  <c r="AO85" i="40"/>
  <c r="AO74" i="40"/>
  <c r="AP70" i="40"/>
  <c r="AP76" i="40" s="1"/>
  <c r="AO60" i="40"/>
  <c r="AT47" i="40"/>
  <c r="V173" i="40"/>
  <c r="AP36" i="40"/>
  <c r="AO21" i="40"/>
  <c r="Y170" i="40"/>
  <c r="AV23" i="40"/>
  <c r="AT127" i="40"/>
  <c r="AT129" i="40" s="1"/>
  <c r="AP90" i="40"/>
  <c r="AO79" i="40"/>
  <c r="AP83" i="40"/>
  <c r="AO67" i="40"/>
  <c r="AT63" i="40"/>
  <c r="AT69" i="40" s="1"/>
  <c r="V179" i="40"/>
  <c r="AP55" i="40"/>
  <c r="AS24" i="40"/>
  <c r="AS26" i="40" s="1"/>
  <c r="V171" i="40"/>
  <c r="AP12" i="40"/>
  <c r="AO125" i="40"/>
  <c r="AS117" i="40"/>
  <c r="AS120" i="40" s="1"/>
  <c r="AU62" i="40"/>
  <c r="AN178" i="40"/>
  <c r="AX26" i="40"/>
  <c r="AV41" i="40"/>
  <c r="AO44" i="40"/>
  <c r="AO51" i="40"/>
  <c r="AS20" i="40"/>
  <c r="AS23" i="40" s="1"/>
  <c r="AO143" i="40"/>
  <c r="AV121" i="40"/>
  <c r="AV126" i="40" s="1"/>
  <c r="AS94" i="40"/>
  <c r="AS99" i="40" s="1"/>
  <c r="AP113" i="40"/>
  <c r="AP116" i="40" s="1"/>
  <c r="AS113" i="40"/>
  <c r="V177" i="40"/>
  <c r="AP14" i="40"/>
  <c r="AU171" i="40"/>
  <c r="AL168" i="40"/>
  <c r="AV162" i="40"/>
  <c r="AW166" i="40"/>
  <c r="S168" i="40"/>
  <c r="Y168" i="40"/>
  <c r="AP157" i="40"/>
  <c r="AP162" i="40" s="1"/>
  <c r="AP147" i="40"/>
  <c r="AP153" i="40" s="1"/>
  <c r="AV154" i="40"/>
  <c r="AV156" i="40" s="1"/>
  <c r="AP156" i="40"/>
  <c r="AX146" i="40"/>
  <c r="AV164" i="40"/>
  <c r="AV166" i="40" s="1"/>
  <c r="AS135" i="40"/>
  <c r="AO135" i="40"/>
  <c r="AO149" i="40"/>
  <c r="AO144" i="40"/>
  <c r="AS133" i="40"/>
  <c r="AS139" i="40" s="1"/>
  <c r="AV117" i="40"/>
  <c r="AV120" i="40" s="1"/>
  <c r="AS104" i="40"/>
  <c r="AS109" i="40" s="1"/>
  <c r="AO122" i="40"/>
  <c r="AS122" i="40"/>
  <c r="AS126" i="40" s="1"/>
  <c r="AV112" i="40"/>
  <c r="AV116" i="40" s="1"/>
  <c r="AO138" i="40"/>
  <c r="AO102" i="40"/>
  <c r="AV91" i="40"/>
  <c r="AV93" i="40" s="1"/>
  <c r="AO87" i="40"/>
  <c r="AO108" i="40"/>
  <c r="AS100" i="40"/>
  <c r="AS103" i="40" s="1"/>
  <c r="AX174" i="40"/>
  <c r="AM168" i="40"/>
  <c r="AS57" i="40"/>
  <c r="AQ179" i="40"/>
  <c r="AQ56" i="40"/>
  <c r="AO82" i="40"/>
  <c r="AV54" i="40"/>
  <c r="AS37" i="40"/>
  <c r="AO37" i="40"/>
  <c r="V175" i="40"/>
  <c r="AP31" i="40"/>
  <c r="AP175" i="40" s="1"/>
  <c r="Z180" i="40"/>
  <c r="AQ177" i="40"/>
  <c r="AO98" i="40"/>
  <c r="AO52" i="40"/>
  <c r="AX180" i="40"/>
  <c r="AX28" i="40"/>
  <c r="AN177" i="40"/>
  <c r="AO115" i="40"/>
  <c r="AO72" i="40"/>
  <c r="V178" i="40"/>
  <c r="AP33" i="40"/>
  <c r="AP178" i="40" s="1"/>
  <c r="AN172" i="40"/>
  <c r="AV29" i="40"/>
  <c r="AR170" i="40"/>
  <c r="AO97" i="40"/>
  <c r="AS84" i="40"/>
  <c r="AO81" i="40"/>
  <c r="AT77" i="40"/>
  <c r="AT83" i="40" s="1"/>
  <c r="AN179" i="40"/>
  <c r="AV55" i="40"/>
  <c r="AV42" i="40"/>
  <c r="AV47" i="40" s="1"/>
  <c r="AA180" i="40"/>
  <c r="AS27" i="40"/>
  <c r="AP26" i="40"/>
  <c r="AT117" i="40"/>
  <c r="AT120" i="40" s="1"/>
  <c r="AO59" i="40"/>
  <c r="AS48" i="40"/>
  <c r="AS54" i="40" s="1"/>
  <c r="AO22" i="40"/>
  <c r="AO32" i="40"/>
  <c r="AO13" i="40"/>
  <c r="AO39" i="40"/>
  <c r="AV153" i="40"/>
  <c r="AP126" i="40"/>
  <c r="V172" i="40"/>
  <c r="AP29" i="40"/>
  <c r="AT16" i="40"/>
  <c r="AE170" i="40"/>
  <c r="AS127" i="40"/>
  <c r="AS129" i="40" s="1"/>
  <c r="AQ172" i="40"/>
  <c r="AQ35" i="40"/>
  <c r="AV16" i="40"/>
  <c r="AV19" i="40" s="1"/>
  <c r="AT48" i="40"/>
  <c r="AT54" i="40" s="1"/>
  <c r="AW172" i="40"/>
  <c r="AW35" i="40"/>
  <c r="AS163" i="40"/>
  <c r="AS166" i="40" s="1"/>
  <c r="AO152" i="40"/>
  <c r="R20" i="45"/>
  <c r="AO165" i="40"/>
  <c r="AO134" i="40"/>
  <c r="AP139" i="40"/>
  <c r="AP109" i="40"/>
  <c r="AP140" i="40"/>
  <c r="AP146" i="40" s="1"/>
  <c r="AT121" i="40"/>
  <c r="AS112" i="40"/>
  <c r="AO119" i="40"/>
  <c r="AO92" i="40"/>
  <c r="AN180" i="40"/>
  <c r="AV27" i="40"/>
  <c r="AV130" i="40"/>
  <c r="AV110" i="40"/>
  <c r="AV111" i="40" s="1"/>
  <c r="AS80" i="40"/>
  <c r="AO80" i="40"/>
  <c r="AS66" i="40"/>
  <c r="AO66" i="40"/>
  <c r="AS61" i="40"/>
  <c r="AO61" i="40"/>
  <c r="AV90" i="40"/>
  <c r="AO78" i="40"/>
  <c r="AO68" i="40"/>
  <c r="AN174" i="40"/>
  <c r="AS42" i="40"/>
  <c r="AS47" i="40" s="1"/>
  <c r="AS34" i="40"/>
  <c r="AO34" i="40"/>
  <c r="AU172" i="40"/>
  <c r="AU35" i="40"/>
  <c r="AO105" i="40"/>
  <c r="AV70" i="40"/>
  <c r="AV76" i="40" s="1"/>
  <c r="AW173" i="40"/>
  <c r="AW41" i="40"/>
  <c r="AW180" i="40"/>
  <c r="AN171" i="40"/>
  <c r="AV12" i="40"/>
  <c r="AO137" i="40"/>
  <c r="AO136" i="40"/>
  <c r="AV103" i="40"/>
  <c r="AS63" i="40"/>
  <c r="AQ62" i="40"/>
  <c r="AW179" i="40"/>
  <c r="AW56" i="40"/>
  <c r="AO43" i="40"/>
  <c r="AO38" i="40"/>
  <c r="AU173" i="40"/>
  <c r="AU41" i="40"/>
  <c r="AP180" i="40"/>
  <c r="AP28" i="40"/>
  <c r="AV24" i="40"/>
  <c r="AV26" i="40" s="1"/>
  <c r="AO17" i="40"/>
  <c r="AS17" i="40"/>
  <c r="AT17" i="40"/>
  <c r="AP17" i="40"/>
  <c r="AP19" i="40" s="1"/>
  <c r="AQ171" i="40"/>
  <c r="AQ15" i="40"/>
  <c r="AO114" i="40"/>
  <c r="AP54" i="40"/>
  <c r="AO45" i="40"/>
  <c r="AT180" i="40"/>
  <c r="AT28" i="40"/>
  <c r="AX171" i="40"/>
  <c r="AU15" i="40"/>
  <c r="AT20" i="40"/>
  <c r="AT23" i="40" s="1"/>
  <c r="AO115" i="39"/>
  <c r="AS101" i="39"/>
  <c r="AS106" i="39" s="1"/>
  <c r="AO101" i="39"/>
  <c r="AV80" i="39"/>
  <c r="AV85" i="39" s="1"/>
  <c r="AT117" i="39"/>
  <c r="AT121" i="39" s="1"/>
  <c r="AT93" i="39"/>
  <c r="AT99" i="39" s="1"/>
  <c r="AT79" i="39"/>
  <c r="AT85" i="39" s="1"/>
  <c r="AO105" i="39"/>
  <c r="AO97" i="39"/>
  <c r="AO94" i="39"/>
  <c r="AO103" i="39"/>
  <c r="AS86" i="39"/>
  <c r="AS92" i="39" s="1"/>
  <c r="AS99" i="39"/>
  <c r="AO80" i="39"/>
  <c r="AP129" i="39"/>
  <c r="AP30" i="39"/>
  <c r="AN127" i="39"/>
  <c r="AV19" i="39"/>
  <c r="V132" i="39"/>
  <c r="AP17" i="39"/>
  <c r="AP132" i="39" s="1"/>
  <c r="AN128" i="39"/>
  <c r="AV37" i="39"/>
  <c r="V128" i="39"/>
  <c r="AP37" i="39"/>
  <c r="V133" i="39"/>
  <c r="AP22" i="39"/>
  <c r="AP133" i="39" s="1"/>
  <c r="AS14" i="39"/>
  <c r="V135" i="39"/>
  <c r="AP12" i="39"/>
  <c r="AW55" i="39"/>
  <c r="AQ129" i="39"/>
  <c r="AE125" i="39"/>
  <c r="AN132" i="39"/>
  <c r="AW129" i="39"/>
  <c r="AW30" i="39"/>
  <c r="AB129" i="39"/>
  <c r="AO15" i="39"/>
  <c r="AO119" i="39"/>
  <c r="AS119" i="39"/>
  <c r="AL122" i="39"/>
  <c r="AT100" i="39"/>
  <c r="AT106" i="39" s="1"/>
  <c r="AS115" i="39"/>
  <c r="AS116" i="39" s="1"/>
  <c r="AS85" i="39"/>
  <c r="AP50" i="39"/>
  <c r="AP55" i="39" s="1"/>
  <c r="AP44" i="39"/>
  <c r="AP45" i="39" s="1"/>
  <c r="AV86" i="39"/>
  <c r="AV92" i="39" s="1"/>
  <c r="AO60" i="39"/>
  <c r="AM123" i="39"/>
  <c r="V134" i="39"/>
  <c r="AP42" i="39"/>
  <c r="AO28" i="39"/>
  <c r="Z129" i="39"/>
  <c r="V127" i="39"/>
  <c r="AL125" i="39"/>
  <c r="AT58" i="39"/>
  <c r="AT64" i="39" s="1"/>
  <c r="AW128" i="39"/>
  <c r="AW41" i="39"/>
  <c r="AO35" i="39"/>
  <c r="AQ132" i="39"/>
  <c r="AU135" i="39"/>
  <c r="AU13" i="39"/>
  <c r="AO48" i="39"/>
  <c r="AV135" i="39"/>
  <c r="AV13" i="39"/>
  <c r="AU24" i="39"/>
  <c r="AU18" i="39"/>
  <c r="AM125" i="39"/>
  <c r="AL123" i="39"/>
  <c r="AO111" i="39"/>
  <c r="AS110" i="39"/>
  <c r="AO110" i="39"/>
  <c r="S123" i="39"/>
  <c r="Y123" i="39"/>
  <c r="AV99" i="39"/>
  <c r="AS117" i="39"/>
  <c r="AO102" i="39"/>
  <c r="AO104" i="39"/>
  <c r="AO95" i="39"/>
  <c r="AO89" i="39"/>
  <c r="AT86" i="39"/>
  <c r="AT92" i="39" s="1"/>
  <c r="AP49" i="39"/>
  <c r="AP56" i="39"/>
  <c r="AP57" i="39" s="1"/>
  <c r="AU134" i="39"/>
  <c r="AU43" i="39"/>
  <c r="AV31" i="39"/>
  <c r="AV36" i="39" s="1"/>
  <c r="AN134" i="39"/>
  <c r="AV42" i="39"/>
  <c r="AX129" i="39"/>
  <c r="AX30" i="39"/>
  <c r="AS19" i="39"/>
  <c r="S125" i="39"/>
  <c r="V124" i="39" s="1"/>
  <c r="AO77" i="39"/>
  <c r="AP72" i="39"/>
  <c r="AP78" i="39" s="1"/>
  <c r="AS58" i="39"/>
  <c r="AS64" i="39" s="1"/>
  <c r="AO53" i="39"/>
  <c r="AW127" i="39"/>
  <c r="AW126" i="39"/>
  <c r="Z126" i="39"/>
  <c r="V126" i="39"/>
  <c r="AS129" i="39"/>
  <c r="AS30" i="39"/>
  <c r="AQ126" i="39"/>
  <c r="AQ18" i="39"/>
  <c r="AN126" i="39"/>
  <c r="AV14" i="39"/>
  <c r="AU127" i="39"/>
  <c r="AU126" i="39"/>
  <c r="AX121" i="39"/>
  <c r="AO120" i="39"/>
  <c r="Y122" i="39"/>
  <c r="R19" i="45" s="1"/>
  <c r="AT114" i="39"/>
  <c r="AT116" i="39" s="1"/>
  <c r="AV113" i="39"/>
  <c r="AT107" i="39"/>
  <c r="AT113" i="39" s="1"/>
  <c r="AS108" i="39"/>
  <c r="AP99" i="39"/>
  <c r="AP85" i="39"/>
  <c r="AV116" i="39"/>
  <c r="AO109" i="39"/>
  <c r="AV121" i="39"/>
  <c r="AP121" i="39"/>
  <c r="AS65" i="39"/>
  <c r="AS71" i="39" s="1"/>
  <c r="AV58" i="39"/>
  <c r="AV64" i="39" s="1"/>
  <c r="AV55" i="39"/>
  <c r="AO91" i="39"/>
  <c r="AP92" i="39"/>
  <c r="AO59" i="39"/>
  <c r="AS46" i="39"/>
  <c r="AS49" i="39" s="1"/>
  <c r="AW92" i="39"/>
  <c r="AO61" i="39"/>
  <c r="AQ134" i="39"/>
  <c r="AQ43" i="39"/>
  <c r="AO38" i="39"/>
  <c r="AS38" i="39"/>
  <c r="AV72" i="39"/>
  <c r="AV78" i="39" s="1"/>
  <c r="AW134" i="39"/>
  <c r="AW43" i="39"/>
  <c r="AO75" i="39"/>
  <c r="AO62" i="39"/>
  <c r="AO32" i="39"/>
  <c r="AU129" i="39"/>
  <c r="AU30" i="39"/>
  <c r="AP127" i="39"/>
  <c r="AO81" i="39"/>
  <c r="AO69" i="39"/>
  <c r="AP64" i="39"/>
  <c r="AX127" i="39"/>
  <c r="AX24" i="39"/>
  <c r="AO54" i="39"/>
  <c r="AO21" i="39"/>
  <c r="AO67" i="39"/>
  <c r="AO33" i="39"/>
  <c r="AA129" i="39"/>
  <c r="AQ127" i="39"/>
  <c r="AQ24" i="39"/>
  <c r="AP31" i="39"/>
  <c r="AP36" i="39" s="1"/>
  <c r="Z127" i="39"/>
  <c r="AA127" i="39"/>
  <c r="AO23" i="39"/>
  <c r="AN133" i="39"/>
  <c r="AV22" i="39"/>
  <c r="AV133" i="39" s="1"/>
  <c r="AV132" i="39"/>
  <c r="AO63" i="39"/>
  <c r="AN129" i="39"/>
  <c r="AV25" i="39"/>
  <c r="AT129" i="39"/>
  <c r="AT30" i="39"/>
  <c r="AX126" i="39"/>
  <c r="AX18" i="39"/>
  <c r="AQ135" i="39"/>
  <c r="AQ13" i="39"/>
  <c r="AB126" i="39"/>
  <c r="AN198" i="42" l="1"/>
  <c r="AT76" i="42"/>
  <c r="AN144" i="41"/>
  <c r="AP200" i="42"/>
  <c r="AS76" i="42"/>
  <c r="AS117" i="41"/>
  <c r="AT126" i="40"/>
  <c r="AS69" i="40"/>
  <c r="AS90" i="40"/>
  <c r="AX125" i="39"/>
  <c r="AS113" i="39"/>
  <c r="AP18" i="39"/>
  <c r="AN197" i="42"/>
  <c r="AE22" i="45"/>
  <c r="AN196" i="42"/>
  <c r="AG22" i="45" s="1"/>
  <c r="V196" i="42"/>
  <c r="Z197" i="42" s="1"/>
  <c r="AO71" i="42"/>
  <c r="V199" i="42"/>
  <c r="Z198" i="42" s="1"/>
  <c r="AS124" i="42"/>
  <c r="AW199" i="42"/>
  <c r="AQ196" i="42"/>
  <c r="AJ22" i="45" s="1"/>
  <c r="AX199" i="42"/>
  <c r="AX196" i="42"/>
  <c r="AQ22" i="45" s="1"/>
  <c r="AW196" i="42"/>
  <c r="AP22" i="45" s="1"/>
  <c r="AS169" i="42"/>
  <c r="V143" i="41"/>
  <c r="L21" i="45"/>
  <c r="V145" i="41"/>
  <c r="Z144" i="41" s="1"/>
  <c r="AN169" i="40"/>
  <c r="AS103" i="41"/>
  <c r="AU145" i="41"/>
  <c r="AW145" i="41"/>
  <c r="AQ145" i="41"/>
  <c r="AW142" i="41"/>
  <c r="AU167" i="40"/>
  <c r="AN20" i="45" s="1"/>
  <c r="AX170" i="40"/>
  <c r="AS116" i="40"/>
  <c r="AQ170" i="40"/>
  <c r="AQ167" i="40"/>
  <c r="AJ20" i="45" s="1"/>
  <c r="AX167" i="40"/>
  <c r="AQ20" i="45" s="1"/>
  <c r="AP177" i="40"/>
  <c r="AN123" i="39"/>
  <c r="AE19" i="45"/>
  <c r="V125" i="39"/>
  <c r="Z124" i="39" s="1"/>
  <c r="V122" i="39"/>
  <c r="AW125" i="39"/>
  <c r="AQ122" i="39"/>
  <c r="AJ19" i="45" s="1"/>
  <c r="AS121" i="39"/>
  <c r="AW122" i="39"/>
  <c r="AP19" i="45" s="1"/>
  <c r="AU122" i="39"/>
  <c r="AN19" i="45" s="1"/>
  <c r="AT99" i="42"/>
  <c r="AT104" i="42" s="1"/>
  <c r="AA208" i="42"/>
  <c r="AS77" i="42"/>
  <c r="AO121" i="42"/>
  <c r="AO12" i="42"/>
  <c r="AT39" i="42"/>
  <c r="AT41" i="42" s="1"/>
  <c r="AO189" i="42"/>
  <c r="AO195" i="42" s="1"/>
  <c r="AB202" i="42"/>
  <c r="AT14" i="42"/>
  <c r="AT202" i="42" s="1"/>
  <c r="AO27" i="42"/>
  <c r="AO30" i="42" s="1"/>
  <c r="AT115" i="42"/>
  <c r="AT120" i="42" s="1"/>
  <c r="AO138" i="42"/>
  <c r="AO143" i="42" s="1"/>
  <c r="AS131" i="42"/>
  <c r="AS133" i="42" s="1"/>
  <c r="AT131" i="42"/>
  <c r="AT133" i="42" s="1"/>
  <c r="AO155" i="42"/>
  <c r="AO160" i="42" s="1"/>
  <c r="AU199" i="42"/>
  <c r="AP206" i="42"/>
  <c r="AP208" i="42"/>
  <c r="AP78" i="42"/>
  <c r="AB208" i="42"/>
  <c r="AT77" i="42"/>
  <c r="Z207" i="42"/>
  <c r="AO170" i="42"/>
  <c r="AO176" i="42" s="1"/>
  <c r="AO31" i="42"/>
  <c r="AO34" i="42" s="1"/>
  <c r="AT122" i="42"/>
  <c r="AT124" i="42" s="1"/>
  <c r="AT152" i="42"/>
  <c r="AT154" i="42" s="1"/>
  <c r="AO144" i="42"/>
  <c r="AO146" i="42" s="1"/>
  <c r="AT169" i="42"/>
  <c r="AT183" i="42"/>
  <c r="AT188" i="42" s="1"/>
  <c r="AB203" i="42"/>
  <c r="AF201" i="42"/>
  <c r="AO47" i="42"/>
  <c r="AS90" i="42"/>
  <c r="AS95" i="42" s="1"/>
  <c r="AO35" i="42"/>
  <c r="AO38" i="42" s="1"/>
  <c r="AA206" i="42"/>
  <c r="AS17" i="42"/>
  <c r="AO70" i="42"/>
  <c r="Z203" i="42"/>
  <c r="AO86" i="42"/>
  <c r="AO89" i="42" s="1"/>
  <c r="AS152" i="42"/>
  <c r="AS154" i="42" s="1"/>
  <c r="AO161" i="42"/>
  <c r="AO163" i="42" s="1"/>
  <c r="Z200" i="42"/>
  <c r="Z201" i="42"/>
  <c r="AS45" i="42"/>
  <c r="AA209" i="42"/>
  <c r="Z209" i="42"/>
  <c r="AS99" i="42"/>
  <c r="AS104" i="42" s="1"/>
  <c r="Z202" i="42"/>
  <c r="AV208" i="42"/>
  <c r="AV78" i="42"/>
  <c r="AO105" i="42"/>
  <c r="AO111" i="42" s="1"/>
  <c r="AO134" i="42"/>
  <c r="AO136" i="42" s="1"/>
  <c r="AO42" i="42"/>
  <c r="AO44" i="42" s="1"/>
  <c r="AB201" i="42"/>
  <c r="AB206" i="42"/>
  <c r="AT17" i="42"/>
  <c r="AT206" i="42" s="1"/>
  <c r="AQ199" i="42"/>
  <c r="AS23" i="42"/>
  <c r="AS26" i="42" s="1"/>
  <c r="AT30" i="42"/>
  <c r="AA207" i="42"/>
  <c r="AS50" i="42"/>
  <c r="AS207" i="42" s="1"/>
  <c r="AS157" i="42"/>
  <c r="AS160" i="42" s="1"/>
  <c r="AO151" i="42"/>
  <c r="AN199" i="42"/>
  <c r="AV201" i="42"/>
  <c r="AV52" i="42"/>
  <c r="AO122" i="42"/>
  <c r="AS53" i="42"/>
  <c r="AS58" i="42" s="1"/>
  <c r="AO59" i="42"/>
  <c r="AP203" i="42"/>
  <c r="AO125" i="42"/>
  <c r="AO130" i="42" s="1"/>
  <c r="AF203" i="42"/>
  <c r="AA201" i="42"/>
  <c r="AP209" i="42"/>
  <c r="AP46" i="42"/>
  <c r="AP207" i="42"/>
  <c r="AO96" i="42"/>
  <c r="AO98" i="42" s="1"/>
  <c r="AP18" i="42"/>
  <c r="AV200" i="42"/>
  <c r="AV18" i="42"/>
  <c r="AS177" i="42"/>
  <c r="AS182" i="42" s="1"/>
  <c r="AT64" i="42"/>
  <c r="AS34" i="42"/>
  <c r="AB200" i="42"/>
  <c r="AO112" i="42"/>
  <c r="AO114" i="42" s="1"/>
  <c r="AS39" i="42"/>
  <c r="AS41" i="42" s="1"/>
  <c r="AB209" i="42"/>
  <c r="AT45" i="42"/>
  <c r="AA202" i="42"/>
  <c r="AS14" i="42"/>
  <c r="AS202" i="42" s="1"/>
  <c r="AS64" i="42"/>
  <c r="AA196" i="42"/>
  <c r="T22" i="45" s="1"/>
  <c r="AS115" i="42"/>
  <c r="AS120" i="42" s="1"/>
  <c r="AS30" i="42"/>
  <c r="AO167" i="42"/>
  <c r="AT90" i="42"/>
  <c r="AT95" i="42" s="1"/>
  <c r="Z206" i="42"/>
  <c r="AT23" i="42"/>
  <c r="AT26" i="42" s="1"/>
  <c r="AF200" i="42"/>
  <c r="AO65" i="42"/>
  <c r="AO69" i="42" s="1"/>
  <c r="Z208" i="42"/>
  <c r="AB207" i="42"/>
  <c r="AT50" i="42"/>
  <c r="AT207" i="42" s="1"/>
  <c r="AO164" i="42"/>
  <c r="AO19" i="42"/>
  <c r="AO22" i="42" s="1"/>
  <c r="AT34" i="42"/>
  <c r="AT53" i="42"/>
  <c r="AT58" i="42" s="1"/>
  <c r="AV209" i="42"/>
  <c r="AV46" i="42"/>
  <c r="AT160" i="42"/>
  <c r="AT177" i="42"/>
  <c r="AT182" i="42" s="1"/>
  <c r="AS183" i="42"/>
  <c r="AS188" i="42" s="1"/>
  <c r="AA200" i="42"/>
  <c r="AP201" i="42"/>
  <c r="AV203" i="42"/>
  <c r="AO85" i="42"/>
  <c r="AA146" i="41"/>
  <c r="AS129" i="41"/>
  <c r="AP154" i="41"/>
  <c r="AP29" i="41"/>
  <c r="AO134" i="41"/>
  <c r="AO64" i="41"/>
  <c r="AO67" i="41" s="1"/>
  <c r="AT103" i="41"/>
  <c r="AN142" i="41"/>
  <c r="AG21" i="45" s="1"/>
  <c r="AX145" i="41"/>
  <c r="AN145" i="41"/>
  <c r="AV149" i="41"/>
  <c r="AV38" i="41"/>
  <c r="AO104" i="41"/>
  <c r="AO110" i="41" s="1"/>
  <c r="AT155" i="41"/>
  <c r="AT97" i="41"/>
  <c r="AA152" i="41"/>
  <c r="AS15" i="41"/>
  <c r="AS152" i="41" s="1"/>
  <c r="AP146" i="41"/>
  <c r="AO27" i="41"/>
  <c r="AF147" i="41"/>
  <c r="AT46" i="41"/>
  <c r="AT52" i="41" s="1"/>
  <c r="AT82" i="41"/>
  <c r="AT85" i="41" s="1"/>
  <c r="AO86" i="41"/>
  <c r="AO89" i="41" s="1"/>
  <c r="AT135" i="41"/>
  <c r="AT141" i="41" s="1"/>
  <c r="V142" i="41"/>
  <c r="AT149" i="41"/>
  <c r="AT38" i="41"/>
  <c r="AO126" i="41"/>
  <c r="AP152" i="41"/>
  <c r="AP16" i="41"/>
  <c r="AP142" i="41" s="1"/>
  <c r="AI21" i="45" s="1"/>
  <c r="AO153" i="41"/>
  <c r="AO30" i="41"/>
  <c r="AO32" i="41" s="1"/>
  <c r="AV155" i="41"/>
  <c r="AV97" i="41"/>
  <c r="AS147" i="41"/>
  <c r="AS21" i="41"/>
  <c r="AS149" i="41"/>
  <c r="AS38" i="41"/>
  <c r="AO53" i="41"/>
  <c r="AO60" i="41" s="1"/>
  <c r="AO90" i="41"/>
  <c r="AO95" i="41" s="1"/>
  <c r="Z154" i="41"/>
  <c r="AB154" i="41"/>
  <c r="AT28" i="41"/>
  <c r="AS82" i="41"/>
  <c r="AS85" i="41" s="1"/>
  <c r="AF155" i="41"/>
  <c r="AO96" i="41"/>
  <c r="AO127" i="41"/>
  <c r="AF149" i="41"/>
  <c r="AO33" i="41"/>
  <c r="AS153" i="41"/>
  <c r="AO98" i="41"/>
  <c r="AO100" i="41" s="1"/>
  <c r="AO102" i="41"/>
  <c r="AS135" i="41"/>
  <c r="AS141" i="41" s="1"/>
  <c r="AT61" i="41"/>
  <c r="AT63" i="41" s="1"/>
  <c r="AT147" i="41"/>
  <c r="AT21" i="41"/>
  <c r="AV147" i="41"/>
  <c r="AV21" i="41"/>
  <c r="AS75" i="41"/>
  <c r="AS81" i="41" s="1"/>
  <c r="AO101" i="41"/>
  <c r="AO103" i="41" s="1"/>
  <c r="AN143" i="41"/>
  <c r="Z152" i="41"/>
  <c r="AF153" i="41"/>
  <c r="AS16" i="41"/>
  <c r="AA154" i="41"/>
  <c r="AS28" i="41"/>
  <c r="AS46" i="41"/>
  <c r="AS52" i="41" s="1"/>
  <c r="AO111" i="41"/>
  <c r="AO117" i="41" s="1"/>
  <c r="AF146" i="41"/>
  <c r="AO12" i="41"/>
  <c r="AO39" i="41"/>
  <c r="AO45" i="41" s="1"/>
  <c r="AS61" i="41"/>
  <c r="AS63" i="41" s="1"/>
  <c r="AV146" i="41"/>
  <c r="AV16" i="41"/>
  <c r="AV142" i="41" s="1"/>
  <c r="AO21" i="45" s="1"/>
  <c r="AT75" i="41"/>
  <c r="AT81" i="41" s="1"/>
  <c r="AO118" i="41"/>
  <c r="AO125" i="41" s="1"/>
  <c r="AB152" i="41"/>
  <c r="AT15" i="41"/>
  <c r="AT152" i="41" s="1"/>
  <c r="AO21" i="41"/>
  <c r="AO74" i="41"/>
  <c r="AT140" i="40"/>
  <c r="AT146" i="40" s="1"/>
  <c r="AO163" i="40"/>
  <c r="AO166" i="40" s="1"/>
  <c r="AP172" i="40"/>
  <c r="AP35" i="40"/>
  <c r="Z171" i="40"/>
  <c r="Z179" i="40"/>
  <c r="AB173" i="40"/>
  <c r="AT36" i="40"/>
  <c r="AO104" i="40"/>
  <c r="AO109" i="40" s="1"/>
  <c r="AO121" i="40"/>
  <c r="AO126" i="40" s="1"/>
  <c r="AS130" i="40"/>
  <c r="AO117" i="40"/>
  <c r="AO120" i="40" s="1"/>
  <c r="AV171" i="40"/>
  <c r="AV15" i="40"/>
  <c r="AO100" i="40"/>
  <c r="AO103" i="40" s="1"/>
  <c r="AT19" i="40"/>
  <c r="Z172" i="40"/>
  <c r="AB175" i="40"/>
  <c r="AT31" i="40"/>
  <c r="AT175" i="40" s="1"/>
  <c r="AG20" i="45"/>
  <c r="AS147" i="40"/>
  <c r="AS153" i="40" s="1"/>
  <c r="AT157" i="40"/>
  <c r="AT162" i="40" s="1"/>
  <c r="AO154" i="40"/>
  <c r="AO156" i="40" s="1"/>
  <c r="V170" i="40"/>
  <c r="Z169" i="40" s="1"/>
  <c r="AA179" i="40"/>
  <c r="AS55" i="40"/>
  <c r="AA173" i="40"/>
  <c r="AS36" i="40"/>
  <c r="Z173" i="40"/>
  <c r="AW170" i="40"/>
  <c r="AB174" i="40"/>
  <c r="AT58" i="40"/>
  <c r="AV173" i="40"/>
  <c r="AO112" i="40"/>
  <c r="AO20" i="40"/>
  <c r="AO23" i="40" s="1"/>
  <c r="AB178" i="40"/>
  <c r="AT33" i="40"/>
  <c r="AT178" i="40" s="1"/>
  <c r="AO133" i="40"/>
  <c r="AO139" i="40" s="1"/>
  <c r="AF180" i="40"/>
  <c r="AO27" i="40"/>
  <c r="AA177" i="40"/>
  <c r="AS14" i="40"/>
  <c r="AS177" i="40" s="1"/>
  <c r="AO113" i="40"/>
  <c r="AN170" i="40"/>
  <c r="AO94" i="40"/>
  <c r="AO99" i="40" s="1"/>
  <c r="AV180" i="40"/>
  <c r="AV28" i="40"/>
  <c r="AB172" i="40"/>
  <c r="AT29" i="40"/>
  <c r="AO110" i="40"/>
  <c r="AO111" i="40" s="1"/>
  <c r="AS180" i="40"/>
  <c r="AS28" i="40"/>
  <c r="AO63" i="40"/>
  <c r="AO69" i="40" s="1"/>
  <c r="AV172" i="40"/>
  <c r="AV35" i="40"/>
  <c r="AA178" i="40"/>
  <c r="AS33" i="40"/>
  <c r="AS178" i="40" s="1"/>
  <c r="Z175" i="40"/>
  <c r="AS157" i="40"/>
  <c r="AS162" i="40" s="1"/>
  <c r="AO16" i="40"/>
  <c r="AO19" i="40" s="1"/>
  <c r="AB177" i="40"/>
  <c r="AT14" i="40"/>
  <c r="AT177" i="40" s="1"/>
  <c r="AT113" i="40"/>
  <c r="AT116" i="40" s="1"/>
  <c r="AO48" i="40"/>
  <c r="AO54" i="40" s="1"/>
  <c r="AA171" i="40"/>
  <c r="AS12" i="40"/>
  <c r="AP179" i="40"/>
  <c r="AP56" i="40"/>
  <c r="AP173" i="40"/>
  <c r="AP41" i="40"/>
  <c r="AS70" i="40"/>
  <c r="AS76" i="40" s="1"/>
  <c r="AS19" i="40"/>
  <c r="Z174" i="40"/>
  <c r="AS83" i="40"/>
  <c r="AO91" i="40"/>
  <c r="AO93" i="40" s="1"/>
  <c r="AW167" i="40"/>
  <c r="AO24" i="40"/>
  <c r="AO26" i="40" s="1"/>
  <c r="AB171" i="40"/>
  <c r="AT12" i="40"/>
  <c r="AO84" i="40"/>
  <c r="AO90" i="40" s="1"/>
  <c r="AO77" i="40"/>
  <c r="AO83" i="40" s="1"/>
  <c r="AO42" i="40"/>
  <c r="AO47" i="40" s="1"/>
  <c r="AS140" i="40"/>
  <c r="AS146" i="40" s="1"/>
  <c r="AA172" i="40"/>
  <c r="AS29" i="40"/>
  <c r="AV179" i="40"/>
  <c r="AV56" i="40"/>
  <c r="AO127" i="40"/>
  <c r="AO129" i="40" s="1"/>
  <c r="Z178" i="40"/>
  <c r="AA175" i="40"/>
  <c r="AS31" i="40"/>
  <c r="AS175" i="40" s="1"/>
  <c r="AO57" i="40"/>
  <c r="AT147" i="40"/>
  <c r="AT153" i="40" s="1"/>
  <c r="U20" i="45"/>
  <c r="AU170" i="40"/>
  <c r="Z177" i="40"/>
  <c r="AP171" i="40"/>
  <c r="AP15" i="40"/>
  <c r="AB179" i="40"/>
  <c r="AT55" i="40"/>
  <c r="AT70" i="40"/>
  <c r="AT76" i="40" s="1"/>
  <c r="AA174" i="40"/>
  <c r="AS58" i="40"/>
  <c r="AS174" i="40" s="1"/>
  <c r="AT130" i="40"/>
  <c r="AN122" i="39"/>
  <c r="AG19" i="45" s="1"/>
  <c r="AN124" i="39"/>
  <c r="AS50" i="39"/>
  <c r="AS55" i="39" s="1"/>
  <c r="AO107" i="39"/>
  <c r="AO113" i="39" s="1"/>
  <c r="AA135" i="39"/>
  <c r="AS12" i="39"/>
  <c r="AP128" i="39"/>
  <c r="AP41" i="39"/>
  <c r="Z132" i="39"/>
  <c r="AO65" i="39"/>
  <c r="AO71" i="39" s="1"/>
  <c r="AV126" i="39"/>
  <c r="AV18" i="39"/>
  <c r="AQ125" i="39"/>
  <c r="AO14" i="39"/>
  <c r="AT72" i="39"/>
  <c r="AT78" i="39" s="1"/>
  <c r="AV134" i="39"/>
  <c r="AV43" i="39"/>
  <c r="AT56" i="39"/>
  <c r="AT57" i="39" s="1"/>
  <c r="AB134" i="39"/>
  <c r="AT42" i="39"/>
  <c r="AO93" i="39"/>
  <c r="AO99" i="39" s="1"/>
  <c r="AB133" i="39"/>
  <c r="AT22" i="39"/>
  <c r="AB128" i="39"/>
  <c r="AT37" i="39"/>
  <c r="AA132" i="39"/>
  <c r="AS17" i="39"/>
  <c r="AS132" i="39" s="1"/>
  <c r="AV127" i="39"/>
  <c r="AV24" i="39"/>
  <c r="AO86" i="39"/>
  <c r="AO92" i="39" s="1"/>
  <c r="AO117" i="39"/>
  <c r="AO121" i="39" s="1"/>
  <c r="AX122" i="39"/>
  <c r="AV129" i="39"/>
  <c r="AV30" i="39"/>
  <c r="AT31" i="39"/>
  <c r="AB127" i="39"/>
  <c r="AO58" i="39"/>
  <c r="AO64" i="39" s="1"/>
  <c r="AP24" i="39"/>
  <c r="AT126" i="39"/>
  <c r="Z122" i="39"/>
  <c r="S19" i="45" s="1"/>
  <c r="AS72" i="39"/>
  <c r="AS78" i="39" s="1"/>
  <c r="AS56" i="39"/>
  <c r="AS57" i="39" s="1"/>
  <c r="AP126" i="39"/>
  <c r="AF129" i="39"/>
  <c r="AO25" i="39"/>
  <c r="AA134" i="39"/>
  <c r="AS42" i="39"/>
  <c r="Z134" i="39"/>
  <c r="AT44" i="39"/>
  <c r="AT45" i="39" s="1"/>
  <c r="Z135" i="39"/>
  <c r="AB135" i="39"/>
  <c r="AT12" i="39"/>
  <c r="AA126" i="39"/>
  <c r="Z133" i="39"/>
  <c r="Z128" i="39"/>
  <c r="AV128" i="39"/>
  <c r="AV41" i="39"/>
  <c r="AO100" i="39"/>
  <c r="AO106" i="39" s="1"/>
  <c r="AS31" i="39"/>
  <c r="AS36" i="39" s="1"/>
  <c r="AA122" i="39"/>
  <c r="T19" i="45" s="1"/>
  <c r="AU125" i="39"/>
  <c r="AN125" i="39"/>
  <c r="AO114" i="39"/>
  <c r="AO116" i="39" s="1"/>
  <c r="AP134" i="39"/>
  <c r="AP43" i="39"/>
  <c r="AS44" i="39"/>
  <c r="AS45" i="39" s="1"/>
  <c r="AB122" i="39"/>
  <c r="U19" i="45" s="1"/>
  <c r="AT50" i="39"/>
  <c r="AT55" i="39" s="1"/>
  <c r="AO79" i="39"/>
  <c r="AO85" i="39" s="1"/>
  <c r="AP135" i="39"/>
  <c r="AP13" i="39"/>
  <c r="AO19" i="39"/>
  <c r="AA133" i="39"/>
  <c r="AS22" i="39"/>
  <c r="AS133" i="39" s="1"/>
  <c r="AA128" i="39"/>
  <c r="AS37" i="39"/>
  <c r="AB132" i="39"/>
  <c r="AT17" i="39"/>
  <c r="AO46" i="39"/>
  <c r="AO49" i="39" s="1"/>
  <c r="AO76" i="42" l="1"/>
  <c r="AS200" i="42"/>
  <c r="AT200" i="42"/>
  <c r="AV197" i="42"/>
  <c r="AV124" i="39"/>
  <c r="AO116" i="40"/>
  <c r="AV167" i="40"/>
  <c r="AO20" i="45" s="1"/>
  <c r="AB125" i="39"/>
  <c r="AP122" i="39"/>
  <c r="AI19" i="45" s="1"/>
  <c r="O22" i="45"/>
  <c r="AV198" i="42"/>
  <c r="Z196" i="42"/>
  <c r="S22" i="45" s="1"/>
  <c r="AA199" i="42"/>
  <c r="AB196" i="42"/>
  <c r="U22" i="45" s="1"/>
  <c r="AS206" i="42"/>
  <c r="AP196" i="42"/>
  <c r="AI22" i="45" s="1"/>
  <c r="AP199" i="42"/>
  <c r="AV196" i="42"/>
  <c r="AO22" i="45" s="1"/>
  <c r="AA142" i="41"/>
  <c r="T21" i="45" s="1"/>
  <c r="Z145" i="41"/>
  <c r="Z143" i="41"/>
  <c r="O21" i="45"/>
  <c r="AB145" i="41"/>
  <c r="AV169" i="40"/>
  <c r="AV144" i="41"/>
  <c r="AO147" i="41"/>
  <c r="AT146" i="41"/>
  <c r="AV143" i="41"/>
  <c r="AP21" i="45"/>
  <c r="T20" i="45"/>
  <c r="AP170" i="40"/>
  <c r="Z168" i="40"/>
  <c r="O20" i="45"/>
  <c r="AP167" i="40"/>
  <c r="AI20" i="45" s="1"/>
  <c r="S20" i="45"/>
  <c r="AV168" i="40"/>
  <c r="AP20" i="45"/>
  <c r="Z125" i="39"/>
  <c r="Z123" i="39"/>
  <c r="O19" i="45"/>
  <c r="AV122" i="39"/>
  <c r="AO19" i="45" s="1"/>
  <c r="AV123" i="39"/>
  <c r="AQ19" i="45"/>
  <c r="AF197" i="42"/>
  <c r="AF208" i="42"/>
  <c r="AO77" i="42"/>
  <c r="AB199" i="42"/>
  <c r="AO39" i="42"/>
  <c r="AO41" i="42" s="1"/>
  <c r="AO53" i="42"/>
  <c r="AO58" i="42" s="1"/>
  <c r="AF206" i="42"/>
  <c r="AO17" i="42"/>
  <c r="AO206" i="42" s="1"/>
  <c r="AO90" i="42"/>
  <c r="AO95" i="42" s="1"/>
  <c r="AF209" i="42"/>
  <c r="AO45" i="42"/>
  <c r="AS209" i="42"/>
  <c r="AS46" i="42"/>
  <c r="Z199" i="42"/>
  <c r="AT52" i="42"/>
  <c r="AT203" i="42"/>
  <c r="AO64" i="42"/>
  <c r="AF202" i="42"/>
  <c r="AO14" i="42"/>
  <c r="AO202" i="42" s="1"/>
  <c r="AS201" i="42"/>
  <c r="AO18" i="42"/>
  <c r="AO169" i="42"/>
  <c r="AV199" i="42"/>
  <c r="AO183" i="42"/>
  <c r="AO188" i="42" s="1"/>
  <c r="AF207" i="42"/>
  <c r="AO50" i="42"/>
  <c r="AO207" i="42" s="1"/>
  <c r="AO23" i="42"/>
  <c r="AO26" i="42" s="1"/>
  <c r="AO131" i="42"/>
  <c r="AO133" i="42" s="1"/>
  <c r="AS203" i="42"/>
  <c r="AT209" i="42"/>
  <c r="AT46" i="42"/>
  <c r="AS18" i="42"/>
  <c r="AO177" i="42"/>
  <c r="AO182" i="42" s="1"/>
  <c r="AO152" i="42"/>
  <c r="AO154" i="42" s="1"/>
  <c r="AT18" i="42"/>
  <c r="AT201" i="42"/>
  <c r="AS52" i="42"/>
  <c r="AT208" i="42"/>
  <c r="AT78" i="42"/>
  <c r="AT196" i="42" s="1"/>
  <c r="AM22" i="45" s="1"/>
  <c r="AO99" i="42"/>
  <c r="AO104" i="42" s="1"/>
  <c r="AO124" i="42"/>
  <c r="AS208" i="42"/>
  <c r="AS78" i="42"/>
  <c r="AO115" i="42"/>
  <c r="AO120" i="42" s="1"/>
  <c r="Z142" i="41"/>
  <c r="S21" i="45" s="1"/>
  <c r="AO46" i="41"/>
  <c r="AO52" i="41" s="1"/>
  <c r="AO155" i="41"/>
  <c r="AO97" i="41"/>
  <c r="AF152" i="41"/>
  <c r="AO15" i="41"/>
  <c r="AO152" i="41" s="1"/>
  <c r="AT154" i="41"/>
  <c r="AT29" i="41"/>
  <c r="AB142" i="41"/>
  <c r="U21" i="45" s="1"/>
  <c r="AO61" i="41"/>
  <c r="AO63" i="41" s="1"/>
  <c r="AO82" i="41"/>
  <c r="AO85" i="41" s="1"/>
  <c r="AA145" i="41"/>
  <c r="AO75" i="41"/>
  <c r="AO81" i="41" s="1"/>
  <c r="AS154" i="41"/>
  <c r="AS29" i="41"/>
  <c r="AS142" i="41" s="1"/>
  <c r="AL21" i="45" s="1"/>
  <c r="AS146" i="41"/>
  <c r="AP145" i="41"/>
  <c r="AV145" i="41"/>
  <c r="AT16" i="41"/>
  <c r="AO149" i="41"/>
  <c r="AO38" i="41"/>
  <c r="AF154" i="41"/>
  <c r="AO28" i="41"/>
  <c r="AO129" i="41"/>
  <c r="AO135" i="41"/>
  <c r="AO141" i="41" s="1"/>
  <c r="AS171" i="40"/>
  <c r="AS15" i="40"/>
  <c r="AS62" i="40"/>
  <c r="AT174" i="40"/>
  <c r="AT62" i="40"/>
  <c r="AO70" i="40"/>
  <c r="AO76" i="40" s="1"/>
  <c r="AS179" i="40"/>
  <c r="AS56" i="40"/>
  <c r="AO157" i="40"/>
  <c r="AO162" i="40" s="1"/>
  <c r="AO130" i="40"/>
  <c r="AS173" i="40"/>
  <c r="AS41" i="40"/>
  <c r="AF179" i="40"/>
  <c r="AO55" i="40"/>
  <c r="Z170" i="40"/>
  <c r="AO180" i="40"/>
  <c r="AO28" i="40"/>
  <c r="AF177" i="40"/>
  <c r="AO14" i="40"/>
  <c r="AO177" i="40" s="1"/>
  <c r="AS172" i="40"/>
  <c r="AS35" i="40"/>
  <c r="AT171" i="40"/>
  <c r="AT15" i="40"/>
  <c r="AA170" i="40"/>
  <c r="AF175" i="40"/>
  <c r="AO31" i="40"/>
  <c r="AO175" i="40" s="1"/>
  <c r="AT172" i="40"/>
  <c r="AT35" i="40"/>
  <c r="AF173" i="40"/>
  <c r="AO36" i="40"/>
  <c r="AT173" i="40"/>
  <c r="AT41" i="40"/>
  <c r="AF171" i="40"/>
  <c r="AO12" i="40"/>
  <c r="AT179" i="40"/>
  <c r="AT56" i="40"/>
  <c r="AF178" i="40"/>
  <c r="AO33" i="40"/>
  <c r="AO178" i="40" s="1"/>
  <c r="AB170" i="40"/>
  <c r="AF174" i="40"/>
  <c r="AO58" i="40"/>
  <c r="AO174" i="40" s="1"/>
  <c r="AO140" i="40"/>
  <c r="AO146" i="40" s="1"/>
  <c r="AF172" i="40"/>
  <c r="AO29" i="40"/>
  <c r="AV170" i="40"/>
  <c r="AO147" i="40"/>
  <c r="AO153" i="40" s="1"/>
  <c r="AT132" i="39"/>
  <c r="AT18" i="39"/>
  <c r="AO50" i="39"/>
  <c r="AO55" i="39" s="1"/>
  <c r="AF133" i="39"/>
  <c r="AO22" i="39"/>
  <c r="AO133" i="39" s="1"/>
  <c r="AO129" i="39"/>
  <c r="AO30" i="39"/>
  <c r="AO72" i="39"/>
  <c r="AO78" i="39" s="1"/>
  <c r="AO126" i="39"/>
  <c r="AV125" i="39"/>
  <c r="AF132" i="39"/>
  <c r="AO17" i="39"/>
  <c r="AO132" i="39" s="1"/>
  <c r="AS18" i="39"/>
  <c r="AO56" i="39"/>
  <c r="AO57" i="39" s="1"/>
  <c r="AF127" i="39"/>
  <c r="AF128" i="39"/>
  <c r="AO37" i="39"/>
  <c r="AS134" i="39"/>
  <c r="AS43" i="39"/>
  <c r="AA125" i="39"/>
  <c r="AF135" i="39"/>
  <c r="AO12" i="39"/>
  <c r="AF134" i="39"/>
  <c r="AO42" i="39"/>
  <c r="AF122" i="39"/>
  <c r="Y19" i="45" s="1"/>
  <c r="AP125" i="39"/>
  <c r="AO31" i="39"/>
  <c r="AO36" i="39" s="1"/>
  <c r="AS24" i="39"/>
  <c r="AF126" i="39"/>
  <c r="AS126" i="39"/>
  <c r="AF123" i="39"/>
  <c r="AS128" i="39"/>
  <c r="AS41" i="39"/>
  <c r="AO127" i="39"/>
  <c r="AO24" i="39"/>
  <c r="AT135" i="39"/>
  <c r="AT13" i="39"/>
  <c r="AO44" i="39"/>
  <c r="AO45" i="39" s="1"/>
  <c r="AT36" i="39"/>
  <c r="AT127" i="39"/>
  <c r="AT128" i="39"/>
  <c r="AT41" i="39"/>
  <c r="AT133" i="39"/>
  <c r="AT24" i="39"/>
  <c r="AT134" i="39"/>
  <c r="AT43" i="39"/>
  <c r="AS127" i="39"/>
  <c r="AS135" i="39"/>
  <c r="AS13" i="39"/>
  <c r="AF196" i="42" l="1"/>
  <c r="Y22" i="45" s="1"/>
  <c r="AT199" i="42"/>
  <c r="AF199" i="42"/>
  <c r="AS199" i="42"/>
  <c r="AO52" i="42"/>
  <c r="AS196" i="42"/>
  <c r="AF144" i="41"/>
  <c r="AT145" i="41"/>
  <c r="AT142" i="41"/>
  <c r="AM21" i="45" s="1"/>
  <c r="AS145" i="41"/>
  <c r="Y20" i="45"/>
  <c r="AF168" i="40"/>
  <c r="AF170" i="40"/>
  <c r="AT170" i="40"/>
  <c r="AS167" i="40"/>
  <c r="AF124" i="39"/>
  <c r="AT167" i="40"/>
  <c r="AM20" i="45" s="1"/>
  <c r="AS170" i="40"/>
  <c r="AT125" i="39"/>
  <c r="AS122" i="39"/>
  <c r="AT122" i="39"/>
  <c r="AM19" i="45" s="1"/>
  <c r="AF145" i="41"/>
  <c r="AF198" i="42"/>
  <c r="AO203" i="42"/>
  <c r="AO201" i="42"/>
  <c r="AO200" i="42"/>
  <c r="AO209" i="42"/>
  <c r="AO46" i="42"/>
  <c r="AO208" i="42"/>
  <c r="AO78" i="42"/>
  <c r="AF143" i="41"/>
  <c r="AO154" i="41"/>
  <c r="AO29" i="41"/>
  <c r="AO16" i="41"/>
  <c r="AF142" i="41"/>
  <c r="Y21" i="45" s="1"/>
  <c r="AO146" i="41"/>
  <c r="AO172" i="40"/>
  <c r="AO35" i="40"/>
  <c r="AF169" i="40"/>
  <c r="AO173" i="40"/>
  <c r="AO41" i="40"/>
  <c r="AO62" i="40"/>
  <c r="AO171" i="40"/>
  <c r="AO15" i="40"/>
  <c r="AO179" i="40"/>
  <c r="AO56" i="40"/>
  <c r="AO134" i="39"/>
  <c r="AO43" i="39"/>
  <c r="AS125" i="39"/>
  <c r="AO128" i="39"/>
  <c r="AO41" i="39"/>
  <c r="AF125" i="39"/>
  <c r="AO135" i="39"/>
  <c r="AO13" i="39"/>
  <c r="AO18" i="39"/>
  <c r="AO196" i="42" l="1"/>
  <c r="AH22" i="45" s="1"/>
  <c r="AO142" i="41"/>
  <c r="AH21" i="45" s="1"/>
  <c r="AO169" i="40"/>
  <c r="AO198" i="42"/>
  <c r="AO144" i="41"/>
  <c r="AO197" i="42"/>
  <c r="AL22" i="45"/>
  <c r="AO145" i="41"/>
  <c r="AO143" i="41"/>
  <c r="AO170" i="40"/>
  <c r="AO167" i="40"/>
  <c r="AH20" i="45" s="1"/>
  <c r="AO168" i="40"/>
  <c r="AL20" i="45"/>
  <c r="AO124" i="39"/>
  <c r="AO123" i="39"/>
  <c r="AL19" i="45"/>
  <c r="AO125" i="39"/>
  <c r="AO199" i="42"/>
  <c r="AO122" i="39"/>
  <c r="AH19" i="45" s="1"/>
  <c r="AK313" i="32" l="1"/>
  <c r="AJ313" i="32"/>
  <c r="AI313" i="32"/>
  <c r="AH313" i="32"/>
  <c r="AG313" i="32"/>
  <c r="AD313" i="32"/>
  <c r="AC313" i="32"/>
  <c r="X313" i="32"/>
  <c r="W313" i="32"/>
  <c r="U313" i="32"/>
  <c r="T313" i="32"/>
  <c r="R313" i="32"/>
  <c r="Q313" i="32"/>
  <c r="P313" i="32"/>
  <c r="O313" i="32"/>
  <c r="N313" i="32"/>
  <c r="M313" i="32"/>
  <c r="L313" i="32"/>
  <c r="K313" i="32"/>
  <c r="J313" i="32"/>
  <c r="I313" i="32"/>
  <c r="AK312" i="32"/>
  <c r="AJ312" i="32"/>
  <c r="AI312" i="32"/>
  <c r="AH312" i="32"/>
  <c r="AG312" i="32"/>
  <c r="AD312" i="32"/>
  <c r="AC312" i="32"/>
  <c r="X312" i="32"/>
  <c r="W312" i="32"/>
  <c r="U312" i="32"/>
  <c r="T312" i="32"/>
  <c r="R312" i="32"/>
  <c r="Q312" i="32"/>
  <c r="P312" i="32"/>
  <c r="O312" i="32"/>
  <c r="N312" i="32"/>
  <c r="M312" i="32"/>
  <c r="L312" i="32"/>
  <c r="K312" i="32"/>
  <c r="J312" i="32"/>
  <c r="I312" i="32"/>
  <c r="AK311" i="32"/>
  <c r="AJ311" i="32"/>
  <c r="AI311" i="32"/>
  <c r="AH311" i="32"/>
  <c r="AG311" i="32"/>
  <c r="AD311" i="32"/>
  <c r="AC311" i="32"/>
  <c r="X311" i="32"/>
  <c r="W311" i="32"/>
  <c r="U311" i="32"/>
  <c r="T311" i="32"/>
  <c r="R311" i="32"/>
  <c r="Q311" i="32"/>
  <c r="P311" i="32"/>
  <c r="O311" i="32"/>
  <c r="N311" i="32"/>
  <c r="M311" i="32"/>
  <c r="L311" i="32"/>
  <c r="K311" i="32"/>
  <c r="J311" i="32"/>
  <c r="I311" i="32"/>
  <c r="AK310" i="32"/>
  <c r="AJ310" i="32"/>
  <c r="AI310" i="32"/>
  <c r="AH310" i="32"/>
  <c r="AG310" i="32"/>
  <c r="AD310" i="32"/>
  <c r="AC310" i="32"/>
  <c r="X310" i="32"/>
  <c r="W310" i="32"/>
  <c r="U310" i="32"/>
  <c r="T310" i="32"/>
  <c r="R310" i="32"/>
  <c r="Q310" i="32"/>
  <c r="P310" i="32"/>
  <c r="O310" i="32"/>
  <c r="N310" i="32"/>
  <c r="M310" i="32"/>
  <c r="L310" i="32"/>
  <c r="K310" i="32"/>
  <c r="J310" i="32"/>
  <c r="I310" i="32"/>
  <c r="AK309" i="32"/>
  <c r="AJ309" i="32"/>
  <c r="AI309" i="32"/>
  <c r="AH309" i="32"/>
  <c r="AG309" i="32"/>
  <c r="AD309" i="32"/>
  <c r="AC309" i="32"/>
  <c r="X309" i="32"/>
  <c r="W309" i="32"/>
  <c r="U309" i="32"/>
  <c r="T309" i="32"/>
  <c r="R309" i="32"/>
  <c r="Q309" i="32"/>
  <c r="P309" i="32"/>
  <c r="O309" i="32"/>
  <c r="N309" i="32"/>
  <c r="M309" i="32"/>
  <c r="L309" i="32"/>
  <c r="K309" i="32"/>
  <c r="J309" i="32"/>
  <c r="I309" i="32"/>
  <c r="AX308" i="32"/>
  <c r="AW308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AI308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AK307" i="32"/>
  <c r="AJ307" i="32"/>
  <c r="AI307" i="32"/>
  <c r="AH307" i="32"/>
  <c r="AG307" i="32"/>
  <c r="AD307" i="32"/>
  <c r="AC307" i="32"/>
  <c r="X307" i="32"/>
  <c r="W307" i="32"/>
  <c r="U307" i="32"/>
  <c r="T307" i="32"/>
  <c r="R307" i="32"/>
  <c r="Q307" i="32"/>
  <c r="P307" i="32"/>
  <c r="O307" i="32"/>
  <c r="N307" i="32"/>
  <c r="M307" i="32"/>
  <c r="L307" i="32"/>
  <c r="K307" i="32"/>
  <c r="J307" i="32"/>
  <c r="I307" i="32"/>
  <c r="AK306" i="32"/>
  <c r="AJ306" i="32"/>
  <c r="AI306" i="32"/>
  <c r="AH306" i="32"/>
  <c r="AG306" i="32"/>
  <c r="AD306" i="32"/>
  <c r="AC306" i="32"/>
  <c r="X306" i="32"/>
  <c r="W306" i="32"/>
  <c r="U306" i="32"/>
  <c r="T306" i="32"/>
  <c r="R306" i="32"/>
  <c r="Q306" i="32"/>
  <c r="P306" i="32"/>
  <c r="O306" i="32"/>
  <c r="N306" i="32"/>
  <c r="M306" i="32"/>
  <c r="L306" i="32"/>
  <c r="K306" i="32"/>
  <c r="J306" i="32"/>
  <c r="I306" i="32"/>
  <c r="AK305" i="32"/>
  <c r="AJ305" i="32"/>
  <c r="AI305" i="32"/>
  <c r="AH305" i="32"/>
  <c r="AG305" i="32"/>
  <c r="AD305" i="32"/>
  <c r="AC305" i="32"/>
  <c r="X305" i="32"/>
  <c r="W305" i="32"/>
  <c r="U305" i="32"/>
  <c r="T305" i="32"/>
  <c r="R305" i="32"/>
  <c r="Q305" i="32"/>
  <c r="P305" i="32"/>
  <c r="O305" i="32"/>
  <c r="N305" i="32"/>
  <c r="M305" i="32"/>
  <c r="L305" i="32"/>
  <c r="K305" i="32"/>
  <c r="J305" i="32"/>
  <c r="I305" i="32"/>
  <c r="AK304" i="32"/>
  <c r="AJ304" i="32"/>
  <c r="AI304" i="32"/>
  <c r="AH304" i="32"/>
  <c r="AG304" i="32"/>
  <c r="AD304" i="32"/>
  <c r="AC304" i="32"/>
  <c r="X304" i="32"/>
  <c r="W304" i="32"/>
  <c r="U304" i="32"/>
  <c r="T304" i="32"/>
  <c r="R304" i="32"/>
  <c r="Q304" i="32"/>
  <c r="P304" i="32"/>
  <c r="O304" i="32"/>
  <c r="N304" i="32"/>
  <c r="M304" i="32"/>
  <c r="L304" i="32"/>
  <c r="K304" i="32"/>
  <c r="J304" i="32"/>
  <c r="I304" i="32"/>
  <c r="R300" i="32"/>
  <c r="K18" i="45" s="1"/>
  <c r="Q300" i="32"/>
  <c r="P300" i="32"/>
  <c r="I18" i="45" s="1"/>
  <c r="O300" i="32"/>
  <c r="H18" i="45" s="1"/>
  <c r="N300" i="32"/>
  <c r="G18" i="45" s="1"/>
  <c r="M300" i="32"/>
  <c r="F18" i="45" s="1"/>
  <c r="L300" i="32"/>
  <c r="E18" i="45" s="1"/>
  <c r="K300" i="32"/>
  <c r="J300" i="32"/>
  <c r="C18" i="45" s="1"/>
  <c r="I300" i="32"/>
  <c r="B18" i="45" s="1"/>
  <c r="AK299" i="32"/>
  <c r="AJ299" i="32"/>
  <c r="AI299" i="32"/>
  <c r="AH299" i="32"/>
  <c r="AG299" i="32"/>
  <c r="AE299" i="32"/>
  <c r="AD299" i="32"/>
  <c r="AC299" i="32"/>
  <c r="X299" i="32"/>
  <c r="W299" i="32"/>
  <c r="U299" i="32"/>
  <c r="T299" i="32"/>
  <c r="AR298" i="32"/>
  <c r="AR299" i="32" s="1"/>
  <c r="AM298" i="32"/>
  <c r="AL298" i="32"/>
  <c r="AL299" i="32" s="1"/>
  <c r="AE298" i="32"/>
  <c r="AU298" i="32" s="1"/>
  <c r="AU299" i="32" s="1"/>
  <c r="Y298" i="32"/>
  <c r="S298" i="32"/>
  <c r="AK297" i="32"/>
  <c r="AJ297" i="32"/>
  <c r="AI297" i="32"/>
  <c r="AH297" i="32"/>
  <c r="AG297" i="32"/>
  <c r="AD297" i="32"/>
  <c r="AC297" i="32"/>
  <c r="X297" i="32"/>
  <c r="W297" i="32"/>
  <c r="U297" i="32"/>
  <c r="T297" i="32"/>
  <c r="AX296" i="32"/>
  <c r="AR296" i="32"/>
  <c r="AM296" i="32"/>
  <c r="AL296" i="32"/>
  <c r="AE296" i="32"/>
  <c r="AU296" i="32" s="1"/>
  <c r="Y296" i="32"/>
  <c r="AQ296" i="32" s="1"/>
  <c r="S296" i="32"/>
  <c r="V296" i="32" s="1"/>
  <c r="AR295" i="32"/>
  <c r="AM295" i="32"/>
  <c r="AX295" i="32" s="1"/>
  <c r="AL295" i="32"/>
  <c r="AW295" i="32" s="1"/>
  <c r="AE295" i="32"/>
  <c r="AU295" i="32" s="1"/>
  <c r="Y295" i="32"/>
  <c r="AQ295" i="32" s="1"/>
  <c r="V295" i="32"/>
  <c r="AB295" i="32" s="1"/>
  <c r="AT295" i="32" s="1"/>
  <c r="S295" i="32"/>
  <c r="AR294" i="32"/>
  <c r="AM294" i="32"/>
  <c r="AX294" i="32" s="1"/>
  <c r="AL294" i="32"/>
  <c r="AE294" i="32"/>
  <c r="AU294" i="32" s="1"/>
  <c r="Y294" i="32"/>
  <c r="AQ294" i="32" s="1"/>
  <c r="S294" i="32"/>
  <c r="V294" i="32" s="1"/>
  <c r="AP294" i="32" s="1"/>
  <c r="AR293" i="32"/>
  <c r="AM293" i="32"/>
  <c r="AX293" i="32" s="1"/>
  <c r="AL293" i="32"/>
  <c r="AW293" i="32" s="1"/>
  <c r="AE293" i="32"/>
  <c r="AU293" i="32" s="1"/>
  <c r="Y293" i="32"/>
  <c r="S293" i="32"/>
  <c r="V293" i="32" s="1"/>
  <c r="AB293" i="32" s="1"/>
  <c r="AT293" i="32" s="1"/>
  <c r="AR292" i="32"/>
  <c r="AM292" i="32"/>
  <c r="AX292" i="32" s="1"/>
  <c r="AL292" i="32"/>
  <c r="AE292" i="32"/>
  <c r="AU292" i="32" s="1"/>
  <c r="Y292" i="32"/>
  <c r="AQ292" i="32" s="1"/>
  <c r="S292" i="32"/>
  <c r="V292" i="32" s="1"/>
  <c r="AR291" i="32"/>
  <c r="AM291" i="32"/>
  <c r="AX291" i="32" s="1"/>
  <c r="AL291" i="32"/>
  <c r="AE291" i="32"/>
  <c r="AU291" i="32" s="1"/>
  <c r="Y291" i="32"/>
  <c r="AQ291" i="32" s="1"/>
  <c r="S291" i="32"/>
  <c r="AK290" i="32"/>
  <c r="AJ290" i="32"/>
  <c r="AI290" i="32"/>
  <c r="AH290" i="32"/>
  <c r="AG290" i="32"/>
  <c r="AD290" i="32"/>
  <c r="AC290" i="32"/>
  <c r="X290" i="32"/>
  <c r="W290" i="32"/>
  <c r="U290" i="32"/>
  <c r="T290" i="32"/>
  <c r="AR289" i="32"/>
  <c r="AM289" i="32"/>
  <c r="AX289" i="32" s="1"/>
  <c r="AL289" i="32"/>
  <c r="AE289" i="32"/>
  <c r="AU289" i="32" s="1"/>
  <c r="Y289" i="32"/>
  <c r="AQ289" i="32" s="1"/>
  <c r="S289" i="32"/>
  <c r="V289" i="32" s="1"/>
  <c r="AR288" i="32"/>
  <c r="AM288" i="32"/>
  <c r="AL288" i="32"/>
  <c r="AW288" i="32" s="1"/>
  <c r="AE288" i="32"/>
  <c r="Y288" i="32"/>
  <c r="AQ288" i="32" s="1"/>
  <c r="S288" i="32"/>
  <c r="V288" i="32" s="1"/>
  <c r="Z288" i="32" s="1"/>
  <c r="AR287" i="32"/>
  <c r="AM287" i="32"/>
  <c r="AX287" i="32" s="1"/>
  <c r="AL287" i="32"/>
  <c r="AW287" i="32" s="1"/>
  <c r="AE287" i="32"/>
  <c r="AU287" i="32" s="1"/>
  <c r="Y287" i="32"/>
  <c r="AQ287" i="32" s="1"/>
  <c r="S287" i="32"/>
  <c r="V287" i="32" s="1"/>
  <c r="AR286" i="32"/>
  <c r="AM286" i="32"/>
  <c r="AX286" i="32" s="1"/>
  <c r="AL286" i="32"/>
  <c r="AE286" i="32"/>
  <c r="AU286" i="32" s="1"/>
  <c r="Y286" i="32"/>
  <c r="AQ286" i="32" s="1"/>
  <c r="S286" i="32"/>
  <c r="V286" i="32" s="1"/>
  <c r="AR285" i="32"/>
  <c r="AM285" i="32"/>
  <c r="AX285" i="32" s="1"/>
  <c r="AL285" i="32"/>
  <c r="AE285" i="32"/>
  <c r="AU285" i="32" s="1"/>
  <c r="Y285" i="32"/>
  <c r="AQ285" i="32" s="1"/>
  <c r="S285" i="32"/>
  <c r="V285" i="32" s="1"/>
  <c r="AR284" i="32"/>
  <c r="AM284" i="32"/>
  <c r="AX284" i="32" s="1"/>
  <c r="AL284" i="32"/>
  <c r="AE284" i="32"/>
  <c r="AU284" i="32" s="1"/>
  <c r="Y284" i="32"/>
  <c r="S284" i="32"/>
  <c r="AK283" i="32"/>
  <c r="AJ283" i="32"/>
  <c r="AI283" i="32"/>
  <c r="AH283" i="32"/>
  <c r="AG283" i="32"/>
  <c r="AD283" i="32"/>
  <c r="AC283" i="32"/>
  <c r="X283" i="32"/>
  <c r="W283" i="32"/>
  <c r="U283" i="32"/>
  <c r="T283" i="32"/>
  <c r="AR282" i="32"/>
  <c r="AM282" i="32"/>
  <c r="AX282" i="32" s="1"/>
  <c r="AL282" i="32"/>
  <c r="AN282" i="32" s="1"/>
  <c r="AV282" i="32" s="1"/>
  <c r="AE282" i="32"/>
  <c r="AU282" i="32" s="1"/>
  <c r="Y282" i="32"/>
  <c r="AQ282" i="32" s="1"/>
  <c r="S282" i="32"/>
  <c r="V282" i="32" s="1"/>
  <c r="AR281" i="32"/>
  <c r="AM281" i="32"/>
  <c r="AX281" i="32" s="1"/>
  <c r="AL281" i="32"/>
  <c r="AE281" i="32"/>
  <c r="AU281" i="32" s="1"/>
  <c r="Y281" i="32"/>
  <c r="AQ281" i="32" s="1"/>
  <c r="S281" i="32"/>
  <c r="AR280" i="32"/>
  <c r="AM280" i="32"/>
  <c r="AX280" i="32" s="1"/>
  <c r="AL280" i="32"/>
  <c r="AW280" i="32" s="1"/>
  <c r="AE280" i="32"/>
  <c r="AU280" i="32" s="1"/>
  <c r="Y280" i="32"/>
  <c r="AQ280" i="32" s="1"/>
  <c r="V280" i="32"/>
  <c r="S280" i="32"/>
  <c r="AR279" i="32"/>
  <c r="AM279" i="32"/>
  <c r="AX279" i="32" s="1"/>
  <c r="AL279" i="32"/>
  <c r="AW279" i="32" s="1"/>
  <c r="AE279" i="32"/>
  <c r="Y279" i="32"/>
  <c r="AQ279" i="32" s="1"/>
  <c r="V279" i="32"/>
  <c r="AP279" i="32" s="1"/>
  <c r="S279" i="32"/>
  <c r="AR278" i="32"/>
  <c r="AM278" i="32"/>
  <c r="AL278" i="32"/>
  <c r="AW278" i="32" s="1"/>
  <c r="AE278" i="32"/>
  <c r="AU278" i="32" s="1"/>
  <c r="Y278" i="32"/>
  <c r="V278" i="32"/>
  <c r="AB278" i="32" s="1"/>
  <c r="AT278" i="32" s="1"/>
  <c r="S278" i="32"/>
  <c r="AR277" i="32"/>
  <c r="AM277" i="32"/>
  <c r="AX277" i="32" s="1"/>
  <c r="AL277" i="32"/>
  <c r="AW277" i="32" s="1"/>
  <c r="AE277" i="32"/>
  <c r="AU277" i="32" s="1"/>
  <c r="Y277" i="32"/>
  <c r="S277" i="32"/>
  <c r="V277" i="32" s="1"/>
  <c r="AP277" i="32" s="1"/>
  <c r="AK276" i="32"/>
  <c r="AJ276" i="32"/>
  <c r="AI276" i="32"/>
  <c r="AH276" i="32"/>
  <c r="AG276" i="32"/>
  <c r="AD276" i="32"/>
  <c r="AC276" i="32"/>
  <c r="X276" i="32"/>
  <c r="W276" i="32"/>
  <c r="U276" i="32"/>
  <c r="T276" i="32"/>
  <c r="AU275" i="32"/>
  <c r="AR275" i="32"/>
  <c r="AM275" i="32"/>
  <c r="AX275" i="32" s="1"/>
  <c r="AL275" i="32"/>
  <c r="AW275" i="32" s="1"/>
  <c r="AE275" i="32"/>
  <c r="Y275" i="32"/>
  <c r="AQ275" i="32" s="1"/>
  <c r="V275" i="32"/>
  <c r="AP275" i="32" s="1"/>
  <c r="S275" i="32"/>
  <c r="AR274" i="32"/>
  <c r="AM274" i="32"/>
  <c r="AX274" i="32" s="1"/>
  <c r="AL274" i="32"/>
  <c r="AW274" i="32" s="1"/>
  <c r="AE274" i="32"/>
  <c r="AU274" i="32" s="1"/>
  <c r="Y274" i="32"/>
  <c r="AQ274" i="32" s="1"/>
  <c r="V274" i="32"/>
  <c r="S274" i="32"/>
  <c r="AW273" i="32"/>
  <c r="AR273" i="32"/>
  <c r="AM273" i="32"/>
  <c r="AL273" i="32"/>
  <c r="AE273" i="32"/>
  <c r="AU273" i="32" s="1"/>
  <c r="Y273" i="32"/>
  <c r="V273" i="32"/>
  <c r="AB273" i="32" s="1"/>
  <c r="AT273" i="32" s="1"/>
  <c r="S273" i="32"/>
  <c r="AR272" i="32"/>
  <c r="AM272" i="32"/>
  <c r="AX272" i="32" s="1"/>
  <c r="AL272" i="32"/>
  <c r="AE272" i="32"/>
  <c r="AU272" i="32" s="1"/>
  <c r="Y272" i="32"/>
  <c r="AQ272" i="32" s="1"/>
  <c r="S272" i="32"/>
  <c r="V272" i="32" s="1"/>
  <c r="AR271" i="32"/>
  <c r="AM271" i="32"/>
  <c r="AX271" i="32" s="1"/>
  <c r="AL271" i="32"/>
  <c r="AE271" i="32"/>
  <c r="AU271" i="32" s="1"/>
  <c r="Y271" i="32"/>
  <c r="AQ271" i="32" s="1"/>
  <c r="S271" i="32"/>
  <c r="V271" i="32" s="1"/>
  <c r="AA271" i="32" s="1"/>
  <c r="AS271" i="32" s="1"/>
  <c r="AR270" i="32"/>
  <c r="AM270" i="32"/>
  <c r="AX270" i="32" s="1"/>
  <c r="AL270" i="32"/>
  <c r="AE270" i="32"/>
  <c r="AU270" i="32" s="1"/>
  <c r="Y270" i="32"/>
  <c r="S270" i="32"/>
  <c r="AK269" i="32"/>
  <c r="AJ269" i="32"/>
  <c r="AI269" i="32"/>
  <c r="AH269" i="32"/>
  <c r="AG269" i="32"/>
  <c r="AD269" i="32"/>
  <c r="AC269" i="32"/>
  <c r="X269" i="32"/>
  <c r="W269" i="32"/>
  <c r="U269" i="32"/>
  <c r="T269" i="32"/>
  <c r="AW268" i="32"/>
  <c r="AR268" i="32"/>
  <c r="AM268" i="32"/>
  <c r="AX268" i="32" s="1"/>
  <c r="AL268" i="32"/>
  <c r="AE268" i="32"/>
  <c r="Y268" i="32"/>
  <c r="AQ268" i="32" s="1"/>
  <c r="S268" i="32"/>
  <c r="V268" i="32" s="1"/>
  <c r="AR267" i="32"/>
  <c r="AM267" i="32"/>
  <c r="AX267" i="32" s="1"/>
  <c r="AL267" i="32"/>
  <c r="AE267" i="32"/>
  <c r="AU267" i="32" s="1"/>
  <c r="Y267" i="32"/>
  <c r="AQ267" i="32" s="1"/>
  <c r="S267" i="32"/>
  <c r="AR266" i="32"/>
  <c r="AM266" i="32"/>
  <c r="AX266" i="32" s="1"/>
  <c r="AL266" i="32"/>
  <c r="AW266" i="32" s="1"/>
  <c r="AE266" i="32"/>
  <c r="AU266" i="32" s="1"/>
  <c r="Y266" i="32"/>
  <c r="AQ266" i="32" s="1"/>
  <c r="V266" i="32"/>
  <c r="S266" i="32"/>
  <c r="AR265" i="32"/>
  <c r="AM265" i="32"/>
  <c r="AX265" i="32" s="1"/>
  <c r="AL265" i="32"/>
  <c r="AE265" i="32"/>
  <c r="AU265" i="32" s="1"/>
  <c r="Y265" i="32"/>
  <c r="AQ265" i="32" s="1"/>
  <c r="V265" i="32"/>
  <c r="S265" i="32"/>
  <c r="AR264" i="32"/>
  <c r="AM264" i="32"/>
  <c r="AL264" i="32"/>
  <c r="AW264" i="32" s="1"/>
  <c r="AE264" i="32"/>
  <c r="AU264" i="32" s="1"/>
  <c r="Y264" i="32"/>
  <c r="AQ264" i="32" s="1"/>
  <c r="S264" i="32"/>
  <c r="V264" i="32" s="1"/>
  <c r="AB264" i="32" s="1"/>
  <c r="AK263" i="32"/>
  <c r="AJ263" i="32"/>
  <c r="AI263" i="32"/>
  <c r="AH263" i="32"/>
  <c r="AG263" i="32"/>
  <c r="AD263" i="32"/>
  <c r="AC263" i="32"/>
  <c r="X263" i="32"/>
  <c r="W263" i="32"/>
  <c r="U263" i="32"/>
  <c r="T263" i="32"/>
  <c r="AR262" i="32"/>
  <c r="AM262" i="32"/>
  <c r="AX262" i="32" s="1"/>
  <c r="AL262" i="32"/>
  <c r="AE262" i="32"/>
  <c r="AU262" i="32" s="1"/>
  <c r="Y262" i="32"/>
  <c r="AQ262" i="32" s="1"/>
  <c r="S262" i="32"/>
  <c r="V262" i="32" s="1"/>
  <c r="AR261" i="32"/>
  <c r="AM261" i="32"/>
  <c r="AL261" i="32"/>
  <c r="AE261" i="32"/>
  <c r="Y261" i="32"/>
  <c r="Y263" i="32" s="1"/>
  <c r="S261" i="32"/>
  <c r="V261" i="32" s="1"/>
  <c r="AK260" i="32"/>
  <c r="AJ260" i="32"/>
  <c r="AI260" i="32"/>
  <c r="AH260" i="32"/>
  <c r="AG260" i="32"/>
  <c r="AD260" i="32"/>
  <c r="AC260" i="32"/>
  <c r="X260" i="32"/>
  <c r="W260" i="32"/>
  <c r="U260" i="32"/>
  <c r="T260" i="32"/>
  <c r="AR259" i="32"/>
  <c r="AM259" i="32"/>
  <c r="AX259" i="32" s="1"/>
  <c r="AL259" i="32"/>
  <c r="AE259" i="32"/>
  <c r="AU259" i="32" s="1"/>
  <c r="Y259" i="32"/>
  <c r="AQ259" i="32" s="1"/>
  <c r="S259" i="32"/>
  <c r="V259" i="32" s="1"/>
  <c r="AR258" i="32"/>
  <c r="AM258" i="32"/>
  <c r="AX258" i="32" s="1"/>
  <c r="AL258" i="32"/>
  <c r="AE258" i="32"/>
  <c r="AU258" i="32" s="1"/>
  <c r="Y258" i="32"/>
  <c r="AQ258" i="32" s="1"/>
  <c r="S258" i="32"/>
  <c r="V258" i="32" s="1"/>
  <c r="Z258" i="32" s="1"/>
  <c r="AR257" i="32"/>
  <c r="AM257" i="32"/>
  <c r="AX257" i="32" s="1"/>
  <c r="AL257" i="32"/>
  <c r="AE257" i="32"/>
  <c r="AU257" i="32" s="1"/>
  <c r="Y257" i="32"/>
  <c r="AQ257" i="32" s="1"/>
  <c r="S257" i="32"/>
  <c r="V257" i="32" s="1"/>
  <c r="AR256" i="32"/>
  <c r="AM256" i="32"/>
  <c r="AX256" i="32" s="1"/>
  <c r="AL256" i="32"/>
  <c r="AW256" i="32" s="1"/>
  <c r="AE256" i="32"/>
  <c r="AU256" i="32" s="1"/>
  <c r="Y256" i="32"/>
  <c r="AQ256" i="32" s="1"/>
  <c r="V256" i="32"/>
  <c r="AP256" i="32" s="1"/>
  <c r="S256" i="32"/>
  <c r="AR255" i="32"/>
  <c r="AM255" i="32"/>
  <c r="AL255" i="32"/>
  <c r="AW255" i="32" s="1"/>
  <c r="AE255" i="32"/>
  <c r="AU255" i="32" s="1"/>
  <c r="Y255" i="32"/>
  <c r="AQ255" i="32" s="1"/>
  <c r="S255" i="32"/>
  <c r="V255" i="32" s="1"/>
  <c r="AR254" i="32"/>
  <c r="AM254" i="32"/>
  <c r="AX254" i="32" s="1"/>
  <c r="AL254" i="32"/>
  <c r="AW254" i="32" s="1"/>
  <c r="AE254" i="32"/>
  <c r="Y254" i="32"/>
  <c r="S254" i="32"/>
  <c r="V254" i="32" s="1"/>
  <c r="AA254" i="32" s="1"/>
  <c r="AK253" i="32"/>
  <c r="AJ253" i="32"/>
  <c r="AI253" i="32"/>
  <c r="AH253" i="32"/>
  <c r="AG253" i="32"/>
  <c r="AD253" i="32"/>
  <c r="AC253" i="32"/>
  <c r="X253" i="32"/>
  <c r="W253" i="32"/>
  <c r="U253" i="32"/>
  <c r="T253" i="32"/>
  <c r="AR252" i="32"/>
  <c r="AM252" i="32"/>
  <c r="AX252" i="32" s="1"/>
  <c r="AL252" i="32"/>
  <c r="AW252" i="32" s="1"/>
  <c r="AE252" i="32"/>
  <c r="AU252" i="32" s="1"/>
  <c r="Y252" i="32"/>
  <c r="AQ252" i="32" s="1"/>
  <c r="S252" i="32"/>
  <c r="AR251" i="32"/>
  <c r="AM251" i="32"/>
  <c r="AX251" i="32" s="1"/>
  <c r="AL251" i="32"/>
  <c r="AE251" i="32"/>
  <c r="Y251" i="32"/>
  <c r="S251" i="32"/>
  <c r="V251" i="32" s="1"/>
  <c r="AK250" i="32"/>
  <c r="AJ250" i="32"/>
  <c r="AI250" i="32"/>
  <c r="AH250" i="32"/>
  <c r="AG250" i="32"/>
  <c r="AD250" i="32"/>
  <c r="AC250" i="32"/>
  <c r="X250" i="32"/>
  <c r="W250" i="32"/>
  <c r="U250" i="32"/>
  <c r="T250" i="32"/>
  <c r="AR249" i="32"/>
  <c r="AM249" i="32"/>
  <c r="AX249" i="32" s="1"/>
  <c r="AL249" i="32"/>
  <c r="AE249" i="32"/>
  <c r="AU249" i="32" s="1"/>
  <c r="Y249" i="32"/>
  <c r="AQ249" i="32" s="1"/>
  <c r="V249" i="32"/>
  <c r="S249" i="32"/>
  <c r="AR248" i="32"/>
  <c r="AM248" i="32"/>
  <c r="AX248" i="32" s="1"/>
  <c r="AL248" i="32"/>
  <c r="AE248" i="32"/>
  <c r="AU248" i="32" s="1"/>
  <c r="Y248" i="32"/>
  <c r="AQ248" i="32" s="1"/>
  <c r="S248" i="32"/>
  <c r="V248" i="32" s="1"/>
  <c r="AR247" i="32"/>
  <c r="AM247" i="32"/>
  <c r="AX247" i="32" s="1"/>
  <c r="AL247" i="32"/>
  <c r="AE247" i="32"/>
  <c r="AU247" i="32" s="1"/>
  <c r="Y247" i="32"/>
  <c r="AQ247" i="32" s="1"/>
  <c r="S247" i="32"/>
  <c r="V247" i="32" s="1"/>
  <c r="AR246" i="32"/>
  <c r="AM246" i="32"/>
  <c r="AX246" i="32" s="1"/>
  <c r="AL246" i="32"/>
  <c r="AE246" i="32"/>
  <c r="AU246" i="32" s="1"/>
  <c r="Y246" i="32"/>
  <c r="AQ246" i="32" s="1"/>
  <c r="S246" i="32"/>
  <c r="V246" i="32" s="1"/>
  <c r="AR245" i="32"/>
  <c r="AM245" i="32"/>
  <c r="AX245" i="32" s="1"/>
  <c r="AL245" i="32"/>
  <c r="AN245" i="32" s="1"/>
  <c r="AV245" i="32" s="1"/>
  <c r="AE245" i="32"/>
  <c r="AU245" i="32" s="1"/>
  <c r="Y245" i="32"/>
  <c r="S245" i="32"/>
  <c r="V245" i="32" s="1"/>
  <c r="AX244" i="32"/>
  <c r="AR244" i="32"/>
  <c r="AM244" i="32"/>
  <c r="AL244" i="32"/>
  <c r="AE244" i="32"/>
  <c r="Y244" i="32"/>
  <c r="AQ244" i="32" s="1"/>
  <c r="S244" i="32"/>
  <c r="V244" i="32" s="1"/>
  <c r="AK243" i="32"/>
  <c r="AJ243" i="32"/>
  <c r="AI243" i="32"/>
  <c r="AH243" i="32"/>
  <c r="AG243" i="32"/>
  <c r="AD243" i="32"/>
  <c r="AC243" i="32"/>
  <c r="X243" i="32"/>
  <c r="W243" i="32"/>
  <c r="U243" i="32"/>
  <c r="T243" i="32"/>
  <c r="AR242" i="32"/>
  <c r="AM242" i="32"/>
  <c r="AX242" i="32" s="1"/>
  <c r="AL242" i="32"/>
  <c r="AW242" i="32" s="1"/>
  <c r="AE242" i="32"/>
  <c r="AU242" i="32" s="1"/>
  <c r="Y242" i="32"/>
  <c r="AQ242" i="32" s="1"/>
  <c r="S242" i="32"/>
  <c r="V242" i="32" s="1"/>
  <c r="AR241" i="32"/>
  <c r="AM241" i="32"/>
  <c r="AX241" i="32" s="1"/>
  <c r="AL241" i="32"/>
  <c r="AE241" i="32"/>
  <c r="AU241" i="32" s="1"/>
  <c r="Y241" i="32"/>
  <c r="AQ241" i="32" s="1"/>
  <c r="S241" i="32"/>
  <c r="AR240" i="32"/>
  <c r="AM240" i="32"/>
  <c r="AL240" i="32"/>
  <c r="AE240" i="32"/>
  <c r="Y240" i="32"/>
  <c r="S240" i="32"/>
  <c r="V240" i="32" s="1"/>
  <c r="AK239" i="32"/>
  <c r="AJ239" i="32"/>
  <c r="AI239" i="32"/>
  <c r="AH239" i="32"/>
  <c r="AG239" i="32"/>
  <c r="AD239" i="32"/>
  <c r="AC239" i="32"/>
  <c r="X239" i="32"/>
  <c r="W239" i="32"/>
  <c r="U239" i="32"/>
  <c r="T239" i="32"/>
  <c r="AR238" i="32"/>
  <c r="AM238" i="32"/>
  <c r="AX238" i="32" s="1"/>
  <c r="AL238" i="32"/>
  <c r="AE238" i="32"/>
  <c r="AU238" i="32" s="1"/>
  <c r="Y238" i="32"/>
  <c r="AQ238" i="32" s="1"/>
  <c r="S238" i="32"/>
  <c r="V238" i="32" s="1"/>
  <c r="AR237" i="32"/>
  <c r="AM237" i="32"/>
  <c r="AX237" i="32" s="1"/>
  <c r="AL237" i="32"/>
  <c r="AE237" i="32"/>
  <c r="AU237" i="32" s="1"/>
  <c r="Y237" i="32"/>
  <c r="AQ237" i="32" s="1"/>
  <c r="S237" i="32"/>
  <c r="V237" i="32" s="1"/>
  <c r="AR236" i="32"/>
  <c r="AM236" i="32"/>
  <c r="AX236" i="32" s="1"/>
  <c r="AL236" i="32"/>
  <c r="AE236" i="32"/>
  <c r="AU236" i="32" s="1"/>
  <c r="Y236" i="32"/>
  <c r="AQ236" i="32" s="1"/>
  <c r="S236" i="32"/>
  <c r="V236" i="32" s="1"/>
  <c r="AB236" i="32" s="1"/>
  <c r="AT236" i="32" s="1"/>
  <c r="AR235" i="32"/>
  <c r="AM235" i="32"/>
  <c r="AL235" i="32"/>
  <c r="AW235" i="32" s="1"/>
  <c r="AE235" i="32"/>
  <c r="AU235" i="32" s="1"/>
  <c r="Y235" i="32"/>
  <c r="AQ235" i="32" s="1"/>
  <c r="V235" i="32"/>
  <c r="AB235" i="32" s="1"/>
  <c r="AT235" i="32" s="1"/>
  <c r="S235" i="32"/>
  <c r="AR234" i="32"/>
  <c r="AP234" i="32"/>
  <c r="AM234" i="32"/>
  <c r="AX234" i="32" s="1"/>
  <c r="AL234" i="32"/>
  <c r="AE234" i="32"/>
  <c r="AU234" i="32" s="1"/>
  <c r="Y234" i="32"/>
  <c r="S234" i="32"/>
  <c r="V234" i="32" s="1"/>
  <c r="AB234" i="32" s="1"/>
  <c r="AT234" i="32" s="1"/>
  <c r="AR233" i="32"/>
  <c r="AM233" i="32"/>
  <c r="AL233" i="32"/>
  <c r="AE233" i="32"/>
  <c r="AU233" i="32" s="1"/>
  <c r="Y233" i="32"/>
  <c r="AQ233" i="32" s="1"/>
  <c r="S233" i="32"/>
  <c r="V233" i="32" s="1"/>
  <c r="AK232" i="32"/>
  <c r="AJ232" i="32"/>
  <c r="AI232" i="32"/>
  <c r="AH232" i="32"/>
  <c r="AG232" i="32"/>
  <c r="AD232" i="32"/>
  <c r="AC232" i="32"/>
  <c r="X232" i="32"/>
  <c r="W232" i="32"/>
  <c r="U232" i="32"/>
  <c r="T232" i="32"/>
  <c r="AR231" i="32"/>
  <c r="AM231" i="32"/>
  <c r="AL231" i="32"/>
  <c r="AW231" i="32" s="1"/>
  <c r="AE231" i="32"/>
  <c r="AU231" i="32" s="1"/>
  <c r="Y231" i="32"/>
  <c r="AQ231" i="32" s="1"/>
  <c r="S231" i="32"/>
  <c r="V231" i="32" s="1"/>
  <c r="AR230" i="32"/>
  <c r="AM230" i="32"/>
  <c r="AL230" i="32"/>
  <c r="AW230" i="32" s="1"/>
  <c r="AE230" i="32"/>
  <c r="AU230" i="32" s="1"/>
  <c r="Y230" i="32"/>
  <c r="AQ230" i="32" s="1"/>
  <c r="V230" i="32"/>
  <c r="S230" i="32"/>
  <c r="AX229" i="32"/>
  <c r="AW229" i="32"/>
  <c r="AR229" i="32"/>
  <c r="AM229" i="32"/>
  <c r="AL229" i="32"/>
  <c r="AN229" i="32" s="1"/>
  <c r="AV229" i="32" s="1"/>
  <c r="AE229" i="32"/>
  <c r="AU229" i="32" s="1"/>
  <c r="Y229" i="32"/>
  <c r="AQ229" i="32" s="1"/>
  <c r="S229" i="32"/>
  <c r="V229" i="32" s="1"/>
  <c r="Z229" i="32" s="1"/>
  <c r="AR228" i="32"/>
  <c r="AM228" i="32"/>
  <c r="AX228" i="32" s="1"/>
  <c r="AL228" i="32"/>
  <c r="AW228" i="32" s="1"/>
  <c r="AE228" i="32"/>
  <c r="AU228" i="32" s="1"/>
  <c r="Y228" i="32"/>
  <c r="AQ228" i="32" s="1"/>
  <c r="S228" i="32"/>
  <c r="V228" i="32" s="1"/>
  <c r="AB228" i="32" s="1"/>
  <c r="AT228" i="32" s="1"/>
  <c r="AR227" i="32"/>
  <c r="AM227" i="32"/>
  <c r="AX227" i="32" s="1"/>
  <c r="AL227" i="32"/>
  <c r="AE227" i="32"/>
  <c r="AU227" i="32" s="1"/>
  <c r="Y227" i="32"/>
  <c r="AQ227" i="32" s="1"/>
  <c r="S227" i="32"/>
  <c r="V227" i="32" s="1"/>
  <c r="AR226" i="32"/>
  <c r="AM226" i="32"/>
  <c r="AX226" i="32" s="1"/>
  <c r="AL226" i="32"/>
  <c r="AW226" i="32" s="1"/>
  <c r="AE226" i="32"/>
  <c r="AU226" i="32" s="1"/>
  <c r="Y226" i="32"/>
  <c r="AQ226" i="32" s="1"/>
  <c r="S226" i="32"/>
  <c r="V226" i="32" s="1"/>
  <c r="AK225" i="32"/>
  <c r="AJ225" i="32"/>
  <c r="AI225" i="32"/>
  <c r="AH225" i="32"/>
  <c r="AG225" i="32"/>
  <c r="AD225" i="32"/>
  <c r="AC225" i="32"/>
  <c r="X225" i="32"/>
  <c r="W225" i="32"/>
  <c r="U225" i="32"/>
  <c r="T225" i="32"/>
  <c r="AR224" i="32"/>
  <c r="AM224" i="32"/>
  <c r="AX224" i="32" s="1"/>
  <c r="AL224" i="32"/>
  <c r="AE224" i="32"/>
  <c r="AU224" i="32" s="1"/>
  <c r="Y224" i="32"/>
  <c r="AQ224" i="32" s="1"/>
  <c r="S224" i="32"/>
  <c r="V224" i="32" s="1"/>
  <c r="AR223" i="32"/>
  <c r="AM223" i="32"/>
  <c r="AX223" i="32" s="1"/>
  <c r="AL223" i="32"/>
  <c r="AW223" i="32" s="1"/>
  <c r="AE223" i="32"/>
  <c r="AU223" i="32" s="1"/>
  <c r="Y223" i="32"/>
  <c r="AQ223" i="32" s="1"/>
  <c r="V223" i="32"/>
  <c r="AB223" i="32" s="1"/>
  <c r="AT223" i="32" s="1"/>
  <c r="S223" i="32"/>
  <c r="AR222" i="32"/>
  <c r="AM222" i="32"/>
  <c r="AX222" i="32" s="1"/>
  <c r="AL222" i="32"/>
  <c r="AE222" i="32"/>
  <c r="Y222" i="32"/>
  <c r="S222" i="32"/>
  <c r="V222" i="32" s="1"/>
  <c r="AB222" i="32" s="1"/>
  <c r="AK221" i="32"/>
  <c r="AJ221" i="32"/>
  <c r="AI221" i="32"/>
  <c r="AH221" i="32"/>
  <c r="AG221" i="32"/>
  <c r="AD221" i="32"/>
  <c r="AC221" i="32"/>
  <c r="X221" i="32"/>
  <c r="W221" i="32"/>
  <c r="U221" i="32"/>
  <c r="T221" i="32"/>
  <c r="AX220" i="32"/>
  <c r="AX221" i="32" s="1"/>
  <c r="AR220" i="32"/>
  <c r="AR221" i="32" s="1"/>
  <c r="AM220" i="32"/>
  <c r="AM221" i="32" s="1"/>
  <c r="AL220" i="32"/>
  <c r="AE220" i="32"/>
  <c r="AE221" i="32" s="1"/>
  <c r="Y220" i="32"/>
  <c r="AQ220" i="32" s="1"/>
  <c r="AQ221" i="32" s="1"/>
  <c r="S220" i="32"/>
  <c r="AK219" i="32"/>
  <c r="AJ219" i="32"/>
  <c r="AI219" i="32"/>
  <c r="AH219" i="32"/>
  <c r="AG219" i="32"/>
  <c r="AD219" i="32"/>
  <c r="AC219" i="32"/>
  <c r="X219" i="32"/>
  <c r="W219" i="32"/>
  <c r="U219" i="32"/>
  <c r="T219" i="32"/>
  <c r="AR218" i="32"/>
  <c r="AQ218" i="32"/>
  <c r="AM218" i="32"/>
  <c r="AX218" i="32" s="1"/>
  <c r="AL218" i="32"/>
  <c r="AE218" i="32"/>
  <c r="AU218" i="32" s="1"/>
  <c r="Y218" i="32"/>
  <c r="S218" i="32"/>
  <c r="V218" i="32" s="1"/>
  <c r="AA218" i="32" s="1"/>
  <c r="AS218" i="32" s="1"/>
  <c r="AR217" i="32"/>
  <c r="AM217" i="32"/>
  <c r="AX217" i="32" s="1"/>
  <c r="AL217" i="32"/>
  <c r="AE217" i="32"/>
  <c r="AU217" i="32" s="1"/>
  <c r="Y217" i="32"/>
  <c r="AQ217" i="32" s="1"/>
  <c r="S217" i="32"/>
  <c r="V217" i="32" s="1"/>
  <c r="AB217" i="32" s="1"/>
  <c r="AT217" i="32" s="1"/>
  <c r="AR216" i="32"/>
  <c r="AM216" i="32"/>
  <c r="AX216" i="32" s="1"/>
  <c r="AL216" i="32"/>
  <c r="AW216" i="32" s="1"/>
  <c r="AE216" i="32"/>
  <c r="AU216" i="32" s="1"/>
  <c r="Y216" i="32"/>
  <c r="AQ216" i="32" s="1"/>
  <c r="S216" i="32"/>
  <c r="V216" i="32" s="1"/>
  <c r="AX215" i="32"/>
  <c r="AR215" i="32"/>
  <c r="AM215" i="32"/>
  <c r="AL215" i="32"/>
  <c r="AE215" i="32"/>
  <c r="AU215" i="32" s="1"/>
  <c r="Y215" i="32"/>
  <c r="AQ215" i="32" s="1"/>
  <c r="S215" i="32"/>
  <c r="V215" i="32" s="1"/>
  <c r="AR214" i="32"/>
  <c r="AM214" i="32"/>
  <c r="AX214" i="32" s="1"/>
  <c r="AL214" i="32"/>
  <c r="AE214" i="32"/>
  <c r="AU214" i="32" s="1"/>
  <c r="Y214" i="32"/>
  <c r="AQ214" i="32" s="1"/>
  <c r="S214" i="32"/>
  <c r="AR213" i="32"/>
  <c r="AM213" i="32"/>
  <c r="AL213" i="32"/>
  <c r="AW213" i="32" s="1"/>
  <c r="AE213" i="32"/>
  <c r="Y213" i="32"/>
  <c r="S213" i="32"/>
  <c r="V213" i="32" s="1"/>
  <c r="AB213" i="32" s="1"/>
  <c r="AK212" i="32"/>
  <c r="AJ212" i="32"/>
  <c r="AI212" i="32"/>
  <c r="AH212" i="32"/>
  <c r="AG212" i="32"/>
  <c r="AD212" i="32"/>
  <c r="AC212" i="32"/>
  <c r="X212" i="32"/>
  <c r="W212" i="32"/>
  <c r="U212" i="32"/>
  <c r="T212" i="32"/>
  <c r="AR211" i="32"/>
  <c r="AM211" i="32"/>
  <c r="AX211" i="32" s="1"/>
  <c r="AL211" i="32"/>
  <c r="AE211" i="32"/>
  <c r="AU211" i="32" s="1"/>
  <c r="Y211" i="32"/>
  <c r="S211" i="32"/>
  <c r="V211" i="32" s="1"/>
  <c r="AR210" i="32"/>
  <c r="AM210" i="32"/>
  <c r="AX210" i="32" s="1"/>
  <c r="AL210" i="32"/>
  <c r="AE210" i="32"/>
  <c r="AU210" i="32" s="1"/>
  <c r="Y210" i="32"/>
  <c r="AQ210" i="32" s="1"/>
  <c r="S210" i="32"/>
  <c r="V210" i="32" s="1"/>
  <c r="AR209" i="32"/>
  <c r="AM209" i="32"/>
  <c r="AX209" i="32" s="1"/>
  <c r="AL209" i="32"/>
  <c r="AE209" i="32"/>
  <c r="AU209" i="32" s="1"/>
  <c r="Y209" i="32"/>
  <c r="AQ209" i="32" s="1"/>
  <c r="S209" i="32"/>
  <c r="V209" i="32" s="1"/>
  <c r="AR208" i="32"/>
  <c r="AM208" i="32"/>
  <c r="AL208" i="32"/>
  <c r="AW208" i="32" s="1"/>
  <c r="AE208" i="32"/>
  <c r="AU208" i="32" s="1"/>
  <c r="Y208" i="32"/>
  <c r="AQ208" i="32" s="1"/>
  <c r="V208" i="32"/>
  <c r="AB208" i="32" s="1"/>
  <c r="AT208" i="32" s="1"/>
  <c r="S208" i="32"/>
  <c r="AR207" i="32"/>
  <c r="AM207" i="32"/>
  <c r="AX207" i="32" s="1"/>
  <c r="AL207" i="32"/>
  <c r="AW207" i="32" s="1"/>
  <c r="AE207" i="32"/>
  <c r="AU207" i="32" s="1"/>
  <c r="Y207" i="32"/>
  <c r="AQ207" i="32" s="1"/>
  <c r="S207" i="32"/>
  <c r="V207" i="32" s="1"/>
  <c r="AR206" i="32"/>
  <c r="AM206" i="32"/>
  <c r="AX206" i="32" s="1"/>
  <c r="AL206" i="32"/>
  <c r="AE206" i="32"/>
  <c r="AU206" i="32" s="1"/>
  <c r="Y206" i="32"/>
  <c r="AQ206" i="32" s="1"/>
  <c r="S206" i="32"/>
  <c r="V206" i="32" s="1"/>
  <c r="AR205" i="32"/>
  <c r="AQ205" i="32"/>
  <c r="AM205" i="32"/>
  <c r="AX205" i="32" s="1"/>
  <c r="AL205" i="32"/>
  <c r="AE205" i="32"/>
  <c r="AU205" i="32" s="1"/>
  <c r="Y205" i="32"/>
  <c r="S205" i="32"/>
  <c r="V205" i="32" s="1"/>
  <c r="AP205" i="32" s="1"/>
  <c r="AR204" i="32"/>
  <c r="AM204" i="32"/>
  <c r="AL204" i="32"/>
  <c r="AE204" i="32"/>
  <c r="Y204" i="32"/>
  <c r="S204" i="32"/>
  <c r="V204" i="32" s="1"/>
  <c r="AB204" i="32" s="1"/>
  <c r="AK203" i="32"/>
  <c r="AJ203" i="32"/>
  <c r="AI203" i="32"/>
  <c r="AH203" i="32"/>
  <c r="AG203" i="32"/>
  <c r="AD203" i="32"/>
  <c r="AC203" i="32"/>
  <c r="X203" i="32"/>
  <c r="W203" i="32"/>
  <c r="U203" i="32"/>
  <c r="T203" i="32"/>
  <c r="AR202" i="32"/>
  <c r="AN202" i="32"/>
  <c r="AV202" i="32" s="1"/>
  <c r="AM202" i="32"/>
  <c r="AX202" i="32" s="1"/>
  <c r="AL202" i="32"/>
  <c r="AW202" i="32" s="1"/>
  <c r="AE202" i="32"/>
  <c r="AU202" i="32" s="1"/>
  <c r="Y202" i="32"/>
  <c r="S202" i="32"/>
  <c r="V202" i="32" s="1"/>
  <c r="AR201" i="32"/>
  <c r="AM201" i="32"/>
  <c r="AX201" i="32" s="1"/>
  <c r="AL201" i="32"/>
  <c r="AE201" i="32"/>
  <c r="AU201" i="32" s="1"/>
  <c r="Y201" i="32"/>
  <c r="AQ201" i="32" s="1"/>
  <c r="S201" i="32"/>
  <c r="V201" i="32" s="1"/>
  <c r="Z201" i="32" s="1"/>
  <c r="AR200" i="32"/>
  <c r="AM200" i="32"/>
  <c r="AX200" i="32" s="1"/>
  <c r="AL200" i="32"/>
  <c r="AE200" i="32"/>
  <c r="AU200" i="32" s="1"/>
  <c r="Y200" i="32"/>
  <c r="AQ200" i="32" s="1"/>
  <c r="S200" i="32"/>
  <c r="V200" i="32" s="1"/>
  <c r="AR199" i="32"/>
  <c r="AM199" i="32"/>
  <c r="AL199" i="32"/>
  <c r="AW199" i="32" s="1"/>
  <c r="AE199" i="32"/>
  <c r="AU199" i="32" s="1"/>
  <c r="Y199" i="32"/>
  <c r="S199" i="32"/>
  <c r="V199" i="32" s="1"/>
  <c r="AB199" i="32" s="1"/>
  <c r="AT199" i="32" s="1"/>
  <c r="AR198" i="32"/>
  <c r="AM198" i="32"/>
  <c r="AL198" i="32"/>
  <c r="AW198" i="32" s="1"/>
  <c r="AE198" i="32"/>
  <c r="Y198" i="32"/>
  <c r="AQ198" i="32" s="1"/>
  <c r="S198" i="32"/>
  <c r="AK197" i="32"/>
  <c r="AJ197" i="32"/>
  <c r="AI197" i="32"/>
  <c r="AH197" i="32"/>
  <c r="AG197" i="32"/>
  <c r="AD197" i="32"/>
  <c r="AC197" i="32"/>
  <c r="X197" i="32"/>
  <c r="W197" i="32"/>
  <c r="U197" i="32"/>
  <c r="T197" i="32"/>
  <c r="AX196" i="32"/>
  <c r="AR196" i="32"/>
  <c r="AM196" i="32"/>
  <c r="AL196" i="32"/>
  <c r="AN196" i="32" s="1"/>
  <c r="AV196" i="32" s="1"/>
  <c r="AE196" i="32"/>
  <c r="AU196" i="32" s="1"/>
  <c r="Y196" i="32"/>
  <c r="AQ196" i="32" s="1"/>
  <c r="S196" i="32"/>
  <c r="V196" i="32" s="1"/>
  <c r="AB196" i="32" s="1"/>
  <c r="AT196" i="32" s="1"/>
  <c r="AR195" i="32"/>
  <c r="AM195" i="32"/>
  <c r="AX195" i="32" s="1"/>
  <c r="AL195" i="32"/>
  <c r="AE195" i="32"/>
  <c r="AU195" i="32" s="1"/>
  <c r="Y195" i="32"/>
  <c r="AQ195" i="32" s="1"/>
  <c r="S195" i="32"/>
  <c r="V195" i="32" s="1"/>
  <c r="AR194" i="32"/>
  <c r="AM194" i="32"/>
  <c r="AL194" i="32"/>
  <c r="AE194" i="32"/>
  <c r="AU194" i="32" s="1"/>
  <c r="Y194" i="32"/>
  <c r="Y197" i="32" s="1"/>
  <c r="V194" i="32"/>
  <c r="AB194" i="32" s="1"/>
  <c r="S194" i="32"/>
  <c r="AK193" i="32"/>
  <c r="AJ193" i="32"/>
  <c r="AI193" i="32"/>
  <c r="AH193" i="32"/>
  <c r="AG193" i="32"/>
  <c r="AD193" i="32"/>
  <c r="AC193" i="32"/>
  <c r="X193" i="32"/>
  <c r="W193" i="32"/>
  <c r="U193" i="32"/>
  <c r="T193" i="32"/>
  <c r="AR192" i="32"/>
  <c r="AM192" i="32"/>
  <c r="AX192" i="32" s="1"/>
  <c r="AL192" i="32"/>
  <c r="AW192" i="32" s="1"/>
  <c r="AE192" i="32"/>
  <c r="AU192" i="32" s="1"/>
  <c r="Y192" i="32"/>
  <c r="AQ192" i="32" s="1"/>
  <c r="S192" i="32"/>
  <c r="V192" i="32" s="1"/>
  <c r="Z192" i="32" s="1"/>
  <c r="AR191" i="32"/>
  <c r="AM191" i="32"/>
  <c r="AX191" i="32" s="1"/>
  <c r="AL191" i="32"/>
  <c r="AE191" i="32"/>
  <c r="AU191" i="32" s="1"/>
  <c r="Y191" i="32"/>
  <c r="AQ191" i="32" s="1"/>
  <c r="S191" i="32"/>
  <c r="V191" i="32" s="1"/>
  <c r="AP191" i="32" s="1"/>
  <c r="AR190" i="32"/>
  <c r="AM190" i="32"/>
  <c r="AX190" i="32" s="1"/>
  <c r="AL190" i="32"/>
  <c r="AE190" i="32"/>
  <c r="AU190" i="32" s="1"/>
  <c r="Y190" i="32"/>
  <c r="AQ190" i="32" s="1"/>
  <c r="S190" i="32"/>
  <c r="V190" i="32" s="1"/>
  <c r="AA190" i="32" s="1"/>
  <c r="AS190" i="32" s="1"/>
  <c r="AR189" i="32"/>
  <c r="AM189" i="32"/>
  <c r="AX189" i="32" s="1"/>
  <c r="AL189" i="32"/>
  <c r="AE189" i="32"/>
  <c r="AU189" i="32" s="1"/>
  <c r="Y189" i="32"/>
  <c r="AQ189" i="32" s="1"/>
  <c r="S189" i="32"/>
  <c r="V189" i="32" s="1"/>
  <c r="AB189" i="32" s="1"/>
  <c r="AT189" i="32" s="1"/>
  <c r="AR188" i="32"/>
  <c r="AM188" i="32"/>
  <c r="AX188" i="32" s="1"/>
  <c r="AL188" i="32"/>
  <c r="AW188" i="32" s="1"/>
  <c r="AE188" i="32"/>
  <c r="AU188" i="32" s="1"/>
  <c r="Y188" i="32"/>
  <c r="AQ188" i="32" s="1"/>
  <c r="S188" i="32"/>
  <c r="V188" i="32" s="1"/>
  <c r="Z188" i="32" s="1"/>
  <c r="AR187" i="32"/>
  <c r="AM187" i="32"/>
  <c r="AX187" i="32" s="1"/>
  <c r="AL187" i="32"/>
  <c r="AW187" i="32" s="1"/>
  <c r="AE187" i="32"/>
  <c r="Y187" i="32"/>
  <c r="AQ187" i="32" s="1"/>
  <c r="S187" i="32"/>
  <c r="AK186" i="32"/>
  <c r="AJ186" i="32"/>
  <c r="AI186" i="32"/>
  <c r="AH186" i="32"/>
  <c r="AG186" i="32"/>
  <c r="AD186" i="32"/>
  <c r="AC186" i="32"/>
  <c r="X186" i="32"/>
  <c r="W186" i="32"/>
  <c r="U186" i="32"/>
  <c r="T186" i="32"/>
  <c r="AR185" i="32"/>
  <c r="AM185" i="32"/>
  <c r="AX185" i="32" s="1"/>
  <c r="AL185" i="32"/>
  <c r="AE185" i="32"/>
  <c r="AU185" i="32" s="1"/>
  <c r="Y185" i="32"/>
  <c r="AQ185" i="32" s="1"/>
  <c r="S185" i="32"/>
  <c r="V185" i="32" s="1"/>
  <c r="AR184" i="32"/>
  <c r="AM184" i="32"/>
  <c r="AL184" i="32"/>
  <c r="AW184" i="32" s="1"/>
  <c r="AE184" i="32"/>
  <c r="AU184" i="32" s="1"/>
  <c r="Y184" i="32"/>
  <c r="AQ184" i="32" s="1"/>
  <c r="S184" i="32"/>
  <c r="V184" i="32" s="1"/>
  <c r="AB184" i="32" s="1"/>
  <c r="AT184" i="32" s="1"/>
  <c r="AR183" i="32"/>
  <c r="AN183" i="32"/>
  <c r="AM183" i="32"/>
  <c r="AX183" i="32" s="1"/>
  <c r="AL183" i="32"/>
  <c r="AW183" i="32" s="1"/>
  <c r="AE183" i="32"/>
  <c r="AU183" i="32" s="1"/>
  <c r="Y183" i="32"/>
  <c r="S183" i="32"/>
  <c r="S186" i="32" s="1"/>
  <c r="AK182" i="32"/>
  <c r="AJ182" i="32"/>
  <c r="AI182" i="32"/>
  <c r="AH182" i="32"/>
  <c r="AG182" i="32"/>
  <c r="AD182" i="32"/>
  <c r="AC182" i="32"/>
  <c r="X182" i="32"/>
  <c r="W182" i="32"/>
  <c r="U182" i="32"/>
  <c r="T182" i="32"/>
  <c r="AR181" i="32"/>
  <c r="AM181" i="32"/>
  <c r="AX181" i="32" s="1"/>
  <c r="AL181" i="32"/>
  <c r="AE181" i="32"/>
  <c r="AU181" i="32" s="1"/>
  <c r="Y181" i="32"/>
  <c r="AQ181" i="32" s="1"/>
  <c r="S181" i="32"/>
  <c r="V181" i="32" s="1"/>
  <c r="AR180" i="32"/>
  <c r="AP180" i="32"/>
  <c r="AM180" i="32"/>
  <c r="AX180" i="32" s="1"/>
  <c r="AL180" i="32"/>
  <c r="AE180" i="32"/>
  <c r="AU180" i="32" s="1"/>
  <c r="AB180" i="32"/>
  <c r="AT180" i="32" s="1"/>
  <c r="Y180" i="32"/>
  <c r="AQ180" i="32" s="1"/>
  <c r="S180" i="32"/>
  <c r="V180" i="32" s="1"/>
  <c r="AR179" i="32"/>
  <c r="AM179" i="32"/>
  <c r="AL179" i="32"/>
  <c r="AW179" i="32" s="1"/>
  <c r="AE179" i="32"/>
  <c r="AU179" i="32" s="1"/>
  <c r="Y179" i="32"/>
  <c r="AQ179" i="32" s="1"/>
  <c r="V179" i="32"/>
  <c r="AB179" i="32" s="1"/>
  <c r="AT179" i="32" s="1"/>
  <c r="S179" i="32"/>
  <c r="AR178" i="32"/>
  <c r="AM178" i="32"/>
  <c r="AX178" i="32" s="1"/>
  <c r="AL178" i="32"/>
  <c r="AW178" i="32" s="1"/>
  <c r="AE178" i="32"/>
  <c r="AU178" i="32" s="1"/>
  <c r="Y178" i="32"/>
  <c r="S178" i="32"/>
  <c r="V178" i="32" s="1"/>
  <c r="AB178" i="32" s="1"/>
  <c r="AT178" i="32" s="1"/>
  <c r="AR177" i="32"/>
  <c r="AM177" i="32"/>
  <c r="AL177" i="32"/>
  <c r="AW177" i="32" s="1"/>
  <c r="AE177" i="32"/>
  <c r="Y177" i="32"/>
  <c r="AQ177" i="32" s="1"/>
  <c r="S177" i="32"/>
  <c r="AK176" i="32"/>
  <c r="AJ176" i="32"/>
  <c r="AI176" i="32"/>
  <c r="AH176" i="32"/>
  <c r="AG176" i="32"/>
  <c r="AD176" i="32"/>
  <c r="AC176" i="32"/>
  <c r="X176" i="32"/>
  <c r="W176" i="32"/>
  <c r="U176" i="32"/>
  <c r="T176" i="32"/>
  <c r="AR175" i="32"/>
  <c r="AM175" i="32"/>
  <c r="AX175" i="32" s="1"/>
  <c r="AL175" i="32"/>
  <c r="AE175" i="32"/>
  <c r="AU175" i="32" s="1"/>
  <c r="Y175" i="32"/>
  <c r="AQ175" i="32" s="1"/>
  <c r="S175" i="32"/>
  <c r="V175" i="32" s="1"/>
  <c r="AR174" i="32"/>
  <c r="AM174" i="32"/>
  <c r="AX174" i="32" s="1"/>
  <c r="AL174" i="32"/>
  <c r="AW174" i="32" s="1"/>
  <c r="AE174" i="32"/>
  <c r="AU174" i="32" s="1"/>
  <c r="Y174" i="32"/>
  <c r="AQ174" i="32" s="1"/>
  <c r="S174" i="32"/>
  <c r="V174" i="32" s="1"/>
  <c r="AB174" i="32" s="1"/>
  <c r="AT174" i="32" s="1"/>
  <c r="AR173" i="32"/>
  <c r="AM173" i="32"/>
  <c r="AX173" i="32" s="1"/>
  <c r="AL173" i="32"/>
  <c r="AW173" i="32" s="1"/>
  <c r="AE173" i="32"/>
  <c r="Y173" i="32"/>
  <c r="S173" i="32"/>
  <c r="V173" i="32" s="1"/>
  <c r="AB173" i="32" s="1"/>
  <c r="AT173" i="32" s="1"/>
  <c r="AR172" i="32"/>
  <c r="AM172" i="32"/>
  <c r="AX172" i="32" s="1"/>
  <c r="AL172" i="32"/>
  <c r="AE172" i="32"/>
  <c r="AU172" i="32" s="1"/>
  <c r="Y172" i="32"/>
  <c r="AQ172" i="32" s="1"/>
  <c r="S172" i="32"/>
  <c r="V172" i="32" s="1"/>
  <c r="AA172" i="32" s="1"/>
  <c r="AS172" i="32" s="1"/>
  <c r="AR171" i="32"/>
  <c r="AM171" i="32"/>
  <c r="AX171" i="32" s="1"/>
  <c r="AL171" i="32"/>
  <c r="AE171" i="32"/>
  <c r="AU171" i="32" s="1"/>
  <c r="Y171" i="32"/>
  <c r="AQ171" i="32" s="1"/>
  <c r="V171" i="32"/>
  <c r="S171" i="32"/>
  <c r="AR170" i="32"/>
  <c r="AM170" i="32"/>
  <c r="AL170" i="32"/>
  <c r="AW170" i="32" s="1"/>
  <c r="AE170" i="32"/>
  <c r="AU170" i="32" s="1"/>
  <c r="Y170" i="32"/>
  <c r="V170" i="32"/>
  <c r="S170" i="32"/>
  <c r="AK169" i="32"/>
  <c r="AJ169" i="32"/>
  <c r="AI169" i="32"/>
  <c r="AH169" i="32"/>
  <c r="AG169" i="32"/>
  <c r="AD169" i="32"/>
  <c r="AC169" i="32"/>
  <c r="X169" i="32"/>
  <c r="W169" i="32"/>
  <c r="U169" i="32"/>
  <c r="T169" i="32"/>
  <c r="AR168" i="32"/>
  <c r="AM168" i="32"/>
  <c r="AX168" i="32" s="1"/>
  <c r="AL168" i="32"/>
  <c r="AE168" i="32"/>
  <c r="AU168" i="32" s="1"/>
  <c r="Y168" i="32"/>
  <c r="AQ168" i="32" s="1"/>
  <c r="S168" i="32"/>
  <c r="V168" i="32" s="1"/>
  <c r="AB168" i="32" s="1"/>
  <c r="AT168" i="32" s="1"/>
  <c r="AU167" i="32"/>
  <c r="AR167" i="32"/>
  <c r="AM167" i="32"/>
  <c r="AX167" i="32" s="1"/>
  <c r="AL167" i="32"/>
  <c r="AW167" i="32" s="1"/>
  <c r="AE167" i="32"/>
  <c r="Y167" i="32"/>
  <c r="AQ167" i="32" s="1"/>
  <c r="S167" i="32"/>
  <c r="V167" i="32" s="1"/>
  <c r="AB167" i="32" s="1"/>
  <c r="AT167" i="32" s="1"/>
  <c r="AR166" i="32"/>
  <c r="AM166" i="32"/>
  <c r="AX166" i="32" s="1"/>
  <c r="AL166" i="32"/>
  <c r="AW166" i="32" s="1"/>
  <c r="AE166" i="32"/>
  <c r="AU166" i="32" s="1"/>
  <c r="Y166" i="32"/>
  <c r="AQ166" i="32" s="1"/>
  <c r="S166" i="32"/>
  <c r="V166" i="32" s="1"/>
  <c r="AP166" i="32" s="1"/>
  <c r="AR165" i="32"/>
  <c r="AM165" i="32"/>
  <c r="AX165" i="32" s="1"/>
  <c r="AL165" i="32"/>
  <c r="AW165" i="32" s="1"/>
  <c r="AE165" i="32"/>
  <c r="AU165" i="32" s="1"/>
  <c r="Y165" i="32"/>
  <c r="V165" i="32"/>
  <c r="AB165" i="32" s="1"/>
  <c r="AT165" i="32" s="1"/>
  <c r="S165" i="32"/>
  <c r="AR164" i="32"/>
  <c r="AN164" i="32"/>
  <c r="AV164" i="32" s="1"/>
  <c r="AM164" i="32"/>
  <c r="AX164" i="32" s="1"/>
  <c r="AL164" i="32"/>
  <c r="AW164" i="32" s="1"/>
  <c r="AE164" i="32"/>
  <c r="AU164" i="32" s="1"/>
  <c r="Y164" i="32"/>
  <c r="AQ164" i="32" s="1"/>
  <c r="S164" i="32"/>
  <c r="V164" i="32" s="1"/>
  <c r="AR163" i="32"/>
  <c r="AM163" i="32"/>
  <c r="AX163" i="32" s="1"/>
  <c r="AL163" i="32"/>
  <c r="AW163" i="32" s="1"/>
  <c r="AE163" i="32"/>
  <c r="AU163" i="32" s="1"/>
  <c r="Y163" i="32"/>
  <c r="AQ163" i="32" s="1"/>
  <c r="S163" i="32"/>
  <c r="AK162" i="32"/>
  <c r="AJ162" i="32"/>
  <c r="AI162" i="32"/>
  <c r="AH162" i="32"/>
  <c r="AG162" i="32"/>
  <c r="AD162" i="32"/>
  <c r="AC162" i="32"/>
  <c r="X162" i="32"/>
  <c r="W162" i="32"/>
  <c r="U162" i="32"/>
  <c r="T162" i="32"/>
  <c r="AR161" i="32"/>
  <c r="AM161" i="32"/>
  <c r="AX161" i="32" s="1"/>
  <c r="AL161" i="32"/>
  <c r="AE161" i="32"/>
  <c r="AU161" i="32" s="1"/>
  <c r="Y161" i="32"/>
  <c r="AQ161" i="32" s="1"/>
  <c r="S161" i="32"/>
  <c r="V161" i="32" s="1"/>
  <c r="AW160" i="32"/>
  <c r="AR160" i="32"/>
  <c r="AM160" i="32"/>
  <c r="AL160" i="32"/>
  <c r="AE160" i="32"/>
  <c r="AU160" i="32" s="1"/>
  <c r="Y160" i="32"/>
  <c r="AQ160" i="32" s="1"/>
  <c r="S160" i="32"/>
  <c r="V160" i="32" s="1"/>
  <c r="AB160" i="32" s="1"/>
  <c r="AT160" i="32" s="1"/>
  <c r="AR159" i="32"/>
  <c r="AM159" i="32"/>
  <c r="AX159" i="32" s="1"/>
  <c r="AL159" i="32"/>
  <c r="AW159" i="32" s="1"/>
  <c r="AE159" i="32"/>
  <c r="AU159" i="32" s="1"/>
  <c r="Y159" i="32"/>
  <c r="AQ159" i="32" s="1"/>
  <c r="S159" i="32"/>
  <c r="V159" i="32" s="1"/>
  <c r="AR158" i="32"/>
  <c r="AM158" i="32"/>
  <c r="AX158" i="32" s="1"/>
  <c r="AL158" i="32"/>
  <c r="AE158" i="32"/>
  <c r="AU158" i="32" s="1"/>
  <c r="Y158" i="32"/>
  <c r="AQ158" i="32" s="1"/>
  <c r="S158" i="32"/>
  <c r="V158" i="32" s="1"/>
  <c r="AX157" i="32"/>
  <c r="AR157" i="32"/>
  <c r="AM157" i="32"/>
  <c r="AL157" i="32"/>
  <c r="AE157" i="32"/>
  <c r="AU157" i="32" s="1"/>
  <c r="Y157" i="32"/>
  <c r="AQ157" i="32" s="1"/>
  <c r="S157" i="32"/>
  <c r="AR156" i="32"/>
  <c r="AM156" i="32"/>
  <c r="AL156" i="32"/>
  <c r="AW156" i="32" s="1"/>
  <c r="AE156" i="32"/>
  <c r="AU156" i="32" s="1"/>
  <c r="Y156" i="32"/>
  <c r="AQ156" i="32" s="1"/>
  <c r="S156" i="32"/>
  <c r="V156" i="32" s="1"/>
  <c r="AK155" i="32"/>
  <c r="AJ155" i="32"/>
  <c r="AI155" i="32"/>
  <c r="AH155" i="32"/>
  <c r="AG155" i="32"/>
  <c r="AD155" i="32"/>
  <c r="AC155" i="32"/>
  <c r="X155" i="32"/>
  <c r="W155" i="32"/>
  <c r="U155" i="32"/>
  <c r="T155" i="32"/>
  <c r="AR154" i="32"/>
  <c r="AM154" i="32"/>
  <c r="AX154" i="32" s="1"/>
  <c r="AL154" i="32"/>
  <c r="AW154" i="32" s="1"/>
  <c r="AE154" i="32"/>
  <c r="AU154" i="32" s="1"/>
  <c r="Y154" i="32"/>
  <c r="AQ154" i="32" s="1"/>
  <c r="S154" i="32"/>
  <c r="V154" i="32" s="1"/>
  <c r="AR153" i="32"/>
  <c r="AM153" i="32"/>
  <c r="AX153" i="32" s="1"/>
  <c r="AL153" i="32"/>
  <c r="AW153" i="32" s="1"/>
  <c r="AE153" i="32"/>
  <c r="AU153" i="32" s="1"/>
  <c r="Y153" i="32"/>
  <c r="AQ153" i="32" s="1"/>
  <c r="S153" i="32"/>
  <c r="V153" i="32" s="1"/>
  <c r="Z153" i="32" s="1"/>
  <c r="AR152" i="32"/>
  <c r="AM152" i="32"/>
  <c r="AX152" i="32" s="1"/>
  <c r="AL152" i="32"/>
  <c r="AE152" i="32"/>
  <c r="AU152" i="32" s="1"/>
  <c r="Y152" i="32"/>
  <c r="AQ152" i="32" s="1"/>
  <c r="S152" i="32"/>
  <c r="V152" i="32" s="1"/>
  <c r="AR151" i="32"/>
  <c r="AM151" i="32"/>
  <c r="AL151" i="32"/>
  <c r="AW151" i="32" s="1"/>
  <c r="AE151" i="32"/>
  <c r="AU151" i="32" s="1"/>
  <c r="Y151" i="32"/>
  <c r="AQ151" i="32" s="1"/>
  <c r="S151" i="32"/>
  <c r="V151" i="32" s="1"/>
  <c r="AX150" i="32"/>
  <c r="AR150" i="32"/>
  <c r="AM150" i="32"/>
  <c r="AL150" i="32"/>
  <c r="AE150" i="32"/>
  <c r="AU150" i="32" s="1"/>
  <c r="Y150" i="32"/>
  <c r="S150" i="32"/>
  <c r="V150" i="32" s="1"/>
  <c r="AR149" i="32"/>
  <c r="AM149" i="32"/>
  <c r="AX149" i="32" s="1"/>
  <c r="AL149" i="32"/>
  <c r="AW149" i="32" s="1"/>
  <c r="AE149" i="32"/>
  <c r="AU149" i="32" s="1"/>
  <c r="Y149" i="32"/>
  <c r="AQ149" i="32" s="1"/>
  <c r="S149" i="32"/>
  <c r="AK148" i="32"/>
  <c r="AJ148" i="32"/>
  <c r="AI148" i="32"/>
  <c r="AH148" i="32"/>
  <c r="AG148" i="32"/>
  <c r="AD148" i="32"/>
  <c r="AC148" i="32"/>
  <c r="X148" i="32"/>
  <c r="W148" i="32"/>
  <c r="U148" i="32"/>
  <c r="T148" i="32"/>
  <c r="AR147" i="32"/>
  <c r="AM147" i="32"/>
  <c r="AX147" i="32" s="1"/>
  <c r="AL147" i="32"/>
  <c r="AE147" i="32"/>
  <c r="AU147" i="32" s="1"/>
  <c r="Y147" i="32"/>
  <c r="AQ147" i="32" s="1"/>
  <c r="S147" i="32"/>
  <c r="AR146" i="32"/>
  <c r="AM146" i="32"/>
  <c r="AL146" i="32"/>
  <c r="AW146" i="32" s="1"/>
  <c r="AE146" i="32"/>
  <c r="AU146" i="32" s="1"/>
  <c r="Y146" i="32"/>
  <c r="AQ146" i="32" s="1"/>
  <c r="S146" i="32"/>
  <c r="V146" i="32" s="1"/>
  <c r="AR145" i="32"/>
  <c r="AR148" i="32" s="1"/>
  <c r="AM145" i="32"/>
  <c r="AX145" i="32" s="1"/>
  <c r="AL145" i="32"/>
  <c r="AN145" i="32" s="1"/>
  <c r="AV145" i="32" s="1"/>
  <c r="AE145" i="32"/>
  <c r="Y145" i="32"/>
  <c r="S145" i="32"/>
  <c r="V145" i="32" s="1"/>
  <c r="AK144" i="32"/>
  <c r="AJ144" i="32"/>
  <c r="AI144" i="32"/>
  <c r="AH144" i="32"/>
  <c r="AG144" i="32"/>
  <c r="AD144" i="32"/>
  <c r="AC144" i="32"/>
  <c r="X144" i="32"/>
  <c r="W144" i="32"/>
  <c r="U144" i="32"/>
  <c r="T144" i="32"/>
  <c r="AR143" i="32"/>
  <c r="AR144" i="32" s="1"/>
  <c r="AM143" i="32"/>
  <c r="AL143" i="32"/>
  <c r="AE143" i="32"/>
  <c r="AE144" i="32" s="1"/>
  <c r="Y143" i="32"/>
  <c r="S143" i="32"/>
  <c r="S144" i="32" s="1"/>
  <c r="AK142" i="32"/>
  <c r="AJ142" i="32"/>
  <c r="AI142" i="32"/>
  <c r="AH142" i="32"/>
  <c r="AG142" i="32"/>
  <c r="AD142" i="32"/>
  <c r="AC142" i="32"/>
  <c r="X142" i="32"/>
  <c r="W142" i="32"/>
  <c r="U142" i="32"/>
  <c r="T142" i="32"/>
  <c r="AR141" i="32"/>
  <c r="AM141" i="32"/>
  <c r="AX141" i="32" s="1"/>
  <c r="AL141" i="32"/>
  <c r="AE141" i="32"/>
  <c r="AU141" i="32" s="1"/>
  <c r="Y141" i="32"/>
  <c r="AQ141" i="32" s="1"/>
  <c r="S141" i="32"/>
  <c r="V141" i="32" s="1"/>
  <c r="AP141" i="32" s="1"/>
  <c r="AR140" i="32"/>
  <c r="AM140" i="32"/>
  <c r="AL140" i="32"/>
  <c r="AW140" i="32" s="1"/>
  <c r="AE140" i="32"/>
  <c r="AU140" i="32" s="1"/>
  <c r="Y140" i="32"/>
  <c r="AQ140" i="32" s="1"/>
  <c r="V140" i="32"/>
  <c r="AB140" i="32" s="1"/>
  <c r="AT140" i="32" s="1"/>
  <c r="S140" i="32"/>
  <c r="AR139" i="32"/>
  <c r="AM139" i="32"/>
  <c r="AX139" i="32" s="1"/>
  <c r="AL139" i="32"/>
  <c r="AW139" i="32" s="1"/>
  <c r="AE139" i="32"/>
  <c r="AU139" i="32" s="1"/>
  <c r="Y139" i="32"/>
  <c r="AQ139" i="32" s="1"/>
  <c r="S139" i="32"/>
  <c r="V139" i="32" s="1"/>
  <c r="AR138" i="32"/>
  <c r="AM138" i="32"/>
  <c r="AX138" i="32" s="1"/>
  <c r="AL138" i="32"/>
  <c r="AW138" i="32" s="1"/>
  <c r="AE138" i="32"/>
  <c r="AU138" i="32" s="1"/>
  <c r="Y138" i="32"/>
  <c r="AQ138" i="32" s="1"/>
  <c r="S138" i="32"/>
  <c r="V138" i="32" s="1"/>
  <c r="AR137" i="32"/>
  <c r="AM137" i="32"/>
  <c r="AX137" i="32" s="1"/>
  <c r="AL137" i="32"/>
  <c r="AE137" i="32"/>
  <c r="AU137" i="32" s="1"/>
  <c r="Y137" i="32"/>
  <c r="AQ137" i="32" s="1"/>
  <c r="S137" i="32"/>
  <c r="AR136" i="32"/>
  <c r="AM136" i="32"/>
  <c r="AL136" i="32"/>
  <c r="AE136" i="32"/>
  <c r="Y136" i="32"/>
  <c r="AQ136" i="32" s="1"/>
  <c r="S136" i="32"/>
  <c r="V136" i="32" s="1"/>
  <c r="AB136" i="32" s="1"/>
  <c r="AK135" i="32"/>
  <c r="AJ135" i="32"/>
  <c r="AI135" i="32"/>
  <c r="AH135" i="32"/>
  <c r="AG135" i="32"/>
  <c r="AD135" i="32"/>
  <c r="AC135" i="32"/>
  <c r="X135" i="32"/>
  <c r="W135" i="32"/>
  <c r="U135" i="32"/>
  <c r="T135" i="32"/>
  <c r="AR134" i="32"/>
  <c r="AM134" i="32"/>
  <c r="AX134" i="32" s="1"/>
  <c r="AL134" i="32"/>
  <c r="AN134" i="32" s="1"/>
  <c r="AV134" i="32" s="1"/>
  <c r="AE134" i="32"/>
  <c r="AU134" i="32" s="1"/>
  <c r="Y134" i="32"/>
  <c r="AQ134" i="32" s="1"/>
  <c r="S134" i="32"/>
  <c r="V134" i="32" s="1"/>
  <c r="AR133" i="32"/>
  <c r="AM133" i="32"/>
  <c r="AX133" i="32" s="1"/>
  <c r="AL133" i="32"/>
  <c r="AW133" i="32" s="1"/>
  <c r="AE133" i="32"/>
  <c r="AU133" i="32" s="1"/>
  <c r="Y133" i="32"/>
  <c r="AQ133" i="32" s="1"/>
  <c r="S133" i="32"/>
  <c r="V133" i="32" s="1"/>
  <c r="AR132" i="32"/>
  <c r="AM132" i="32"/>
  <c r="AX132" i="32" s="1"/>
  <c r="AL132" i="32"/>
  <c r="AE132" i="32"/>
  <c r="AU132" i="32" s="1"/>
  <c r="Y132" i="32"/>
  <c r="AQ132" i="32" s="1"/>
  <c r="S132" i="32"/>
  <c r="V132" i="32" s="1"/>
  <c r="AR131" i="32"/>
  <c r="AM131" i="32"/>
  <c r="AL131" i="32"/>
  <c r="AW131" i="32" s="1"/>
  <c r="AE131" i="32"/>
  <c r="AU131" i="32" s="1"/>
  <c r="Y131" i="32"/>
  <c r="AQ131" i="32" s="1"/>
  <c r="V131" i="32"/>
  <c r="AB131" i="32" s="1"/>
  <c r="AT131" i="32" s="1"/>
  <c r="S131" i="32"/>
  <c r="AR130" i="32"/>
  <c r="AM130" i="32"/>
  <c r="AX130" i="32" s="1"/>
  <c r="AL130" i="32"/>
  <c r="AE130" i="32"/>
  <c r="AU130" i="32" s="1"/>
  <c r="Y130" i="32"/>
  <c r="S130" i="32"/>
  <c r="V130" i="32" s="1"/>
  <c r="AR129" i="32"/>
  <c r="AM129" i="32"/>
  <c r="AX129" i="32" s="1"/>
  <c r="AL129" i="32"/>
  <c r="AW129" i="32" s="1"/>
  <c r="AE129" i="32"/>
  <c r="Y129" i="32"/>
  <c r="AQ129" i="32" s="1"/>
  <c r="S129" i="32"/>
  <c r="AK128" i="32"/>
  <c r="AJ128" i="32"/>
  <c r="AI128" i="32"/>
  <c r="AH128" i="32"/>
  <c r="AG128" i="32"/>
  <c r="AD128" i="32"/>
  <c r="AC128" i="32"/>
  <c r="X128" i="32"/>
  <c r="W128" i="32"/>
  <c r="U128" i="32"/>
  <c r="T128" i="32"/>
  <c r="AR127" i="32"/>
  <c r="AM127" i="32"/>
  <c r="AX127" i="32" s="1"/>
  <c r="AL127" i="32"/>
  <c r="AE127" i="32"/>
  <c r="AU127" i="32" s="1"/>
  <c r="Y127" i="32"/>
  <c r="AQ127" i="32" s="1"/>
  <c r="S127" i="32"/>
  <c r="V127" i="32" s="1"/>
  <c r="AR126" i="32"/>
  <c r="AM126" i="32"/>
  <c r="AL126" i="32"/>
  <c r="AW126" i="32" s="1"/>
  <c r="AE126" i="32"/>
  <c r="AU126" i="32" s="1"/>
  <c r="Y126" i="32"/>
  <c r="AQ126" i="32" s="1"/>
  <c r="S126" i="32"/>
  <c r="V126" i="32" s="1"/>
  <c r="AB126" i="32" s="1"/>
  <c r="AT126" i="32" s="1"/>
  <c r="AR125" i="32"/>
  <c r="AM125" i="32"/>
  <c r="AX125" i="32" s="1"/>
  <c r="AL125" i="32"/>
  <c r="AE125" i="32"/>
  <c r="Y125" i="32"/>
  <c r="S125" i="32"/>
  <c r="V125" i="32" s="1"/>
  <c r="AB125" i="32" s="1"/>
  <c r="AT125" i="32" s="1"/>
  <c r="AX124" i="32"/>
  <c r="AR124" i="32"/>
  <c r="AM124" i="32"/>
  <c r="AL124" i="32"/>
  <c r="AE124" i="32"/>
  <c r="AU124" i="32" s="1"/>
  <c r="Y124" i="32"/>
  <c r="AQ124" i="32" s="1"/>
  <c r="S124" i="32"/>
  <c r="V124" i="32" s="1"/>
  <c r="AR123" i="32"/>
  <c r="AM123" i="32"/>
  <c r="AX123" i="32" s="1"/>
  <c r="AL123" i="32"/>
  <c r="AE123" i="32"/>
  <c r="AU123" i="32" s="1"/>
  <c r="Y123" i="32"/>
  <c r="S123" i="32"/>
  <c r="AK122" i="32"/>
  <c r="AJ122" i="32"/>
  <c r="AI122" i="32"/>
  <c r="AH122" i="32"/>
  <c r="AG122" i="32"/>
  <c r="AD122" i="32"/>
  <c r="AC122" i="32"/>
  <c r="X122" i="32"/>
  <c r="W122" i="32"/>
  <c r="U122" i="32"/>
  <c r="T122" i="32"/>
  <c r="AR121" i="32"/>
  <c r="AQ121" i="32"/>
  <c r="AM121" i="32"/>
  <c r="AL121" i="32"/>
  <c r="AW121" i="32" s="1"/>
  <c r="AE121" i="32"/>
  <c r="AU121" i="32" s="1"/>
  <c r="Y121" i="32"/>
  <c r="S121" i="32"/>
  <c r="V121" i="32" s="1"/>
  <c r="AB121" i="32" s="1"/>
  <c r="AT121" i="32" s="1"/>
  <c r="AR120" i="32"/>
  <c r="AM120" i="32"/>
  <c r="AX120" i="32" s="1"/>
  <c r="AL120" i="32"/>
  <c r="AN120" i="32" s="1"/>
  <c r="AV120" i="32" s="1"/>
  <c r="AE120" i="32"/>
  <c r="AU120" i="32" s="1"/>
  <c r="Y120" i="32"/>
  <c r="AQ120" i="32" s="1"/>
  <c r="S120" i="32"/>
  <c r="V120" i="32" s="1"/>
  <c r="AR119" i="32"/>
  <c r="AM119" i="32"/>
  <c r="AX119" i="32" s="1"/>
  <c r="AL119" i="32"/>
  <c r="AE119" i="32"/>
  <c r="AU119" i="32" s="1"/>
  <c r="Y119" i="32"/>
  <c r="Y122" i="32" s="1"/>
  <c r="S119" i="32"/>
  <c r="AK118" i="32"/>
  <c r="AJ118" i="32"/>
  <c r="AI118" i="32"/>
  <c r="AH118" i="32"/>
  <c r="AG118" i="32"/>
  <c r="AD118" i="32"/>
  <c r="AC118" i="32"/>
  <c r="X118" i="32"/>
  <c r="W118" i="32"/>
  <c r="U118" i="32"/>
  <c r="T118" i="32"/>
  <c r="AR117" i="32"/>
  <c r="AM117" i="32"/>
  <c r="AX117" i="32" s="1"/>
  <c r="AL117" i="32"/>
  <c r="AE117" i="32"/>
  <c r="AU117" i="32" s="1"/>
  <c r="Y117" i="32"/>
  <c r="AQ117" i="32" s="1"/>
  <c r="S117" i="32"/>
  <c r="V117" i="32" s="1"/>
  <c r="AP117" i="32" s="1"/>
  <c r="AR116" i="32"/>
  <c r="AQ116" i="32"/>
  <c r="AM116" i="32"/>
  <c r="AL116" i="32"/>
  <c r="AW116" i="32" s="1"/>
  <c r="AE116" i="32"/>
  <c r="AU116" i="32" s="1"/>
  <c r="AB116" i="32"/>
  <c r="AT116" i="32" s="1"/>
  <c r="Y116" i="32"/>
  <c r="S116" i="32"/>
  <c r="V116" i="32" s="1"/>
  <c r="AR115" i="32"/>
  <c r="AM115" i="32"/>
  <c r="AX115" i="32" s="1"/>
  <c r="AL115" i="32"/>
  <c r="AN115" i="32" s="1"/>
  <c r="AV115" i="32" s="1"/>
  <c r="AE115" i="32"/>
  <c r="AU115" i="32" s="1"/>
  <c r="Y115" i="32"/>
  <c r="S115" i="32"/>
  <c r="V115" i="32" s="1"/>
  <c r="AB115" i="32" s="1"/>
  <c r="AT115" i="32" s="1"/>
  <c r="AW114" i="32"/>
  <c r="AR114" i="32"/>
  <c r="AM114" i="32"/>
  <c r="AX114" i="32" s="1"/>
  <c r="AL114" i="32"/>
  <c r="AE114" i="32"/>
  <c r="AU114" i="32" s="1"/>
  <c r="Y114" i="32"/>
  <c r="AQ114" i="32" s="1"/>
  <c r="S114" i="32"/>
  <c r="V114" i="32" s="1"/>
  <c r="AR113" i="32"/>
  <c r="AM113" i="32"/>
  <c r="AX113" i="32" s="1"/>
  <c r="AL113" i="32"/>
  <c r="AE113" i="32"/>
  <c r="AU113" i="32" s="1"/>
  <c r="Y113" i="32"/>
  <c r="AQ113" i="32" s="1"/>
  <c r="S113" i="32"/>
  <c r="AR112" i="32"/>
  <c r="AM112" i="32"/>
  <c r="AL112" i="32"/>
  <c r="AL118" i="32" s="1"/>
  <c r="AE112" i="32"/>
  <c r="AU112" i="32" s="1"/>
  <c r="Y112" i="32"/>
  <c r="S112" i="32"/>
  <c r="V112" i="32" s="1"/>
  <c r="AB112" i="32" s="1"/>
  <c r="AK111" i="32"/>
  <c r="AJ111" i="32"/>
  <c r="AI111" i="32"/>
  <c r="AH111" i="32"/>
  <c r="AG111" i="32"/>
  <c r="AD111" i="32"/>
  <c r="AC111" i="32"/>
  <c r="X111" i="32"/>
  <c r="W111" i="32"/>
  <c r="U111" i="32"/>
  <c r="T111" i="32"/>
  <c r="AR110" i="32"/>
  <c r="AM110" i="32"/>
  <c r="AX110" i="32" s="1"/>
  <c r="AL110" i="32"/>
  <c r="AW110" i="32" s="1"/>
  <c r="AE110" i="32"/>
  <c r="AU110" i="32" s="1"/>
  <c r="Y110" i="32"/>
  <c r="S110" i="32"/>
  <c r="V110" i="32" s="1"/>
  <c r="AR109" i="32"/>
  <c r="AM109" i="32"/>
  <c r="AX109" i="32" s="1"/>
  <c r="AL109" i="32"/>
  <c r="AE109" i="32"/>
  <c r="AU109" i="32" s="1"/>
  <c r="Y109" i="32"/>
  <c r="AQ109" i="32" s="1"/>
  <c r="S109" i="32"/>
  <c r="V109" i="32" s="1"/>
  <c r="AR108" i="32"/>
  <c r="AM108" i="32"/>
  <c r="AL108" i="32"/>
  <c r="AE108" i="32"/>
  <c r="AU108" i="32" s="1"/>
  <c r="Y108" i="32"/>
  <c r="AQ108" i="32" s="1"/>
  <c r="S108" i="32"/>
  <c r="AK107" i="32"/>
  <c r="AJ107" i="32"/>
  <c r="AI107" i="32"/>
  <c r="AH107" i="32"/>
  <c r="AG107" i="32"/>
  <c r="AD107" i="32"/>
  <c r="AC107" i="32"/>
  <c r="X107" i="32"/>
  <c r="W107" i="32"/>
  <c r="U107" i="32"/>
  <c r="T107" i="32"/>
  <c r="S107" i="32"/>
  <c r="AR106" i="32"/>
  <c r="AM106" i="32"/>
  <c r="AM107" i="32" s="1"/>
  <c r="AL106" i="32"/>
  <c r="AE106" i="32"/>
  <c r="Y106" i="32"/>
  <c r="V106" i="32"/>
  <c r="S106" i="32"/>
  <c r="AK105" i="32"/>
  <c r="AJ105" i="32"/>
  <c r="AI105" i="32"/>
  <c r="AH105" i="32"/>
  <c r="AG105" i="32"/>
  <c r="AD105" i="32"/>
  <c r="AC105" i="32"/>
  <c r="X105" i="32"/>
  <c r="W105" i="32"/>
  <c r="U105" i="32"/>
  <c r="T105" i="32"/>
  <c r="AR104" i="32"/>
  <c r="AM104" i="32"/>
  <c r="AX104" i="32" s="1"/>
  <c r="AL104" i="32"/>
  <c r="AW104" i="32" s="1"/>
  <c r="AE104" i="32"/>
  <c r="AU104" i="32" s="1"/>
  <c r="Y104" i="32"/>
  <c r="S104" i="32"/>
  <c r="V104" i="32" s="1"/>
  <c r="AB104" i="32" s="1"/>
  <c r="AT104" i="32" s="1"/>
  <c r="AR103" i="32"/>
  <c r="AM103" i="32"/>
  <c r="AX103" i="32" s="1"/>
  <c r="AL103" i="32"/>
  <c r="AE103" i="32"/>
  <c r="AU103" i="32" s="1"/>
  <c r="Y103" i="32"/>
  <c r="AQ103" i="32" s="1"/>
  <c r="S103" i="32"/>
  <c r="V103" i="32" s="1"/>
  <c r="AR102" i="32"/>
  <c r="AM102" i="32"/>
  <c r="AX102" i="32" s="1"/>
  <c r="AL102" i="32"/>
  <c r="AE102" i="32"/>
  <c r="AU102" i="32" s="1"/>
  <c r="Y102" i="32"/>
  <c r="AQ102" i="32" s="1"/>
  <c r="S102" i="32"/>
  <c r="V102" i="32" s="1"/>
  <c r="AR101" i="32"/>
  <c r="AM101" i="32"/>
  <c r="AX101" i="32" s="1"/>
  <c r="AL101" i="32"/>
  <c r="AE101" i="32"/>
  <c r="AU101" i="32" s="1"/>
  <c r="Y101" i="32"/>
  <c r="AQ101" i="32" s="1"/>
  <c r="S101" i="32"/>
  <c r="V101" i="32" s="1"/>
  <c r="AB101" i="32" s="1"/>
  <c r="AT101" i="32" s="1"/>
  <c r="AR100" i="32"/>
  <c r="AM100" i="32"/>
  <c r="AX100" i="32" s="1"/>
  <c r="AL100" i="32"/>
  <c r="AW100" i="32" s="1"/>
  <c r="AE100" i="32"/>
  <c r="AU100" i="32" s="1"/>
  <c r="Y100" i="32"/>
  <c r="AQ100" i="32" s="1"/>
  <c r="S100" i="32"/>
  <c r="V100" i="32" s="1"/>
  <c r="AB100" i="32" s="1"/>
  <c r="AT100" i="32" s="1"/>
  <c r="AR99" i="32"/>
  <c r="AM99" i="32"/>
  <c r="AL99" i="32"/>
  <c r="AW99" i="32" s="1"/>
  <c r="AE99" i="32"/>
  <c r="AU99" i="32" s="1"/>
  <c r="AU309" i="32" s="1"/>
  <c r="Y99" i="32"/>
  <c r="AQ99" i="32" s="1"/>
  <c r="AQ309" i="32" s="1"/>
  <c r="S99" i="32"/>
  <c r="AR98" i="32"/>
  <c r="AM98" i="32"/>
  <c r="AX98" i="32" s="1"/>
  <c r="AL98" i="32"/>
  <c r="AE98" i="32"/>
  <c r="AU98" i="32" s="1"/>
  <c r="Y98" i="32"/>
  <c r="AQ98" i="32" s="1"/>
  <c r="S98" i="32"/>
  <c r="V98" i="32" s="1"/>
  <c r="AR97" i="32"/>
  <c r="AM97" i="32"/>
  <c r="AL97" i="32"/>
  <c r="AW97" i="32" s="1"/>
  <c r="AE97" i="32"/>
  <c r="AE306" i="32" s="1"/>
  <c r="Y97" i="32"/>
  <c r="S97" i="32"/>
  <c r="V97" i="32" s="1"/>
  <c r="AR96" i="32"/>
  <c r="AQ96" i="32"/>
  <c r="AM96" i="32"/>
  <c r="AL96" i="32"/>
  <c r="AW96" i="32" s="1"/>
  <c r="AE96" i="32"/>
  <c r="Y96" i="32"/>
  <c r="V96" i="32"/>
  <c r="S96" i="32"/>
  <c r="AK95" i="32"/>
  <c r="AJ95" i="32"/>
  <c r="AI95" i="32"/>
  <c r="AH95" i="32"/>
  <c r="AG95" i="32"/>
  <c r="AD95" i="32"/>
  <c r="AC95" i="32"/>
  <c r="X95" i="32"/>
  <c r="W95" i="32"/>
  <c r="U95" i="32"/>
  <c r="T95" i="32"/>
  <c r="AR94" i="32"/>
  <c r="AM94" i="32"/>
  <c r="AX94" i="32" s="1"/>
  <c r="AL94" i="32"/>
  <c r="AE94" i="32"/>
  <c r="AU94" i="32" s="1"/>
  <c r="Y94" i="32"/>
  <c r="AQ94" i="32" s="1"/>
  <c r="S94" i="32"/>
  <c r="V94" i="32" s="1"/>
  <c r="AB94" i="32" s="1"/>
  <c r="AT94" i="32" s="1"/>
  <c r="AR93" i="32"/>
  <c r="AM93" i="32"/>
  <c r="AX93" i="32" s="1"/>
  <c r="AL93" i="32"/>
  <c r="AW93" i="32" s="1"/>
  <c r="AE93" i="32"/>
  <c r="AU93" i="32" s="1"/>
  <c r="Y93" i="32"/>
  <c r="AQ93" i="32" s="1"/>
  <c r="S93" i="32"/>
  <c r="V93" i="32" s="1"/>
  <c r="AB93" i="32" s="1"/>
  <c r="AT93" i="32" s="1"/>
  <c r="AR92" i="32"/>
  <c r="AM92" i="32"/>
  <c r="AX92" i="32" s="1"/>
  <c r="AL92" i="32"/>
  <c r="AE92" i="32"/>
  <c r="AU92" i="32" s="1"/>
  <c r="Y92" i="32"/>
  <c r="AQ92" i="32" s="1"/>
  <c r="V92" i="32"/>
  <c r="AB92" i="32" s="1"/>
  <c r="AT92" i="32" s="1"/>
  <c r="S92" i="32"/>
  <c r="AR91" i="32"/>
  <c r="AM91" i="32"/>
  <c r="AX91" i="32" s="1"/>
  <c r="AL91" i="32"/>
  <c r="AW91" i="32" s="1"/>
  <c r="AE91" i="32"/>
  <c r="AU91" i="32" s="1"/>
  <c r="Y91" i="32"/>
  <c r="AQ91" i="32" s="1"/>
  <c r="S91" i="32"/>
  <c r="V91" i="32" s="1"/>
  <c r="AR90" i="32"/>
  <c r="AM90" i="32"/>
  <c r="AX90" i="32" s="1"/>
  <c r="AL90" i="32"/>
  <c r="AE90" i="32"/>
  <c r="Y90" i="32"/>
  <c r="S90" i="32"/>
  <c r="AK89" i="32"/>
  <c r="AJ89" i="32"/>
  <c r="AI89" i="32"/>
  <c r="AH89" i="32"/>
  <c r="AG89" i="32"/>
  <c r="AD89" i="32"/>
  <c r="AC89" i="32"/>
  <c r="X89" i="32"/>
  <c r="W89" i="32"/>
  <c r="U89" i="32"/>
  <c r="T89" i="32"/>
  <c r="AR88" i="32"/>
  <c r="AM88" i="32"/>
  <c r="AX88" i="32" s="1"/>
  <c r="AL88" i="32"/>
  <c r="AE88" i="32"/>
  <c r="AU88" i="32" s="1"/>
  <c r="Y88" i="32"/>
  <c r="AQ88" i="32" s="1"/>
  <c r="S88" i="32"/>
  <c r="V88" i="32" s="1"/>
  <c r="AR87" i="32"/>
  <c r="AM87" i="32"/>
  <c r="AX87" i="32" s="1"/>
  <c r="AL87" i="32"/>
  <c r="AW87" i="32" s="1"/>
  <c r="AE87" i="32"/>
  <c r="AU87" i="32" s="1"/>
  <c r="Y87" i="32"/>
  <c r="AQ87" i="32" s="1"/>
  <c r="S87" i="32"/>
  <c r="V87" i="32" s="1"/>
  <c r="AB87" i="32" s="1"/>
  <c r="AT87" i="32" s="1"/>
  <c r="AR86" i="32"/>
  <c r="AN86" i="32"/>
  <c r="AV86" i="32" s="1"/>
  <c r="AM86" i="32"/>
  <c r="AX86" i="32" s="1"/>
  <c r="AL86" i="32"/>
  <c r="AW86" i="32" s="1"/>
  <c r="AE86" i="32"/>
  <c r="AU86" i="32" s="1"/>
  <c r="Y86" i="32"/>
  <c r="AQ86" i="32" s="1"/>
  <c r="V86" i="32"/>
  <c r="AB86" i="32" s="1"/>
  <c r="AT86" i="32" s="1"/>
  <c r="S86" i="32"/>
  <c r="AR85" i="32"/>
  <c r="AM85" i="32"/>
  <c r="AX85" i="32" s="1"/>
  <c r="AL85" i="32"/>
  <c r="AW85" i="32" s="1"/>
  <c r="AE85" i="32"/>
  <c r="AU85" i="32" s="1"/>
  <c r="Y85" i="32"/>
  <c r="S85" i="32"/>
  <c r="V85" i="32" s="1"/>
  <c r="AR84" i="32"/>
  <c r="AM84" i="32"/>
  <c r="AL84" i="32"/>
  <c r="AE84" i="32"/>
  <c r="AU84" i="32" s="1"/>
  <c r="Y84" i="32"/>
  <c r="AQ84" i="32" s="1"/>
  <c r="S84" i="32"/>
  <c r="AK83" i="32"/>
  <c r="AJ83" i="32"/>
  <c r="AI83" i="32"/>
  <c r="AH83" i="32"/>
  <c r="AG83" i="32"/>
  <c r="AD83" i="32"/>
  <c r="AC83" i="32"/>
  <c r="X83" i="32"/>
  <c r="W83" i="32"/>
  <c r="U83" i="32"/>
  <c r="T83" i="32"/>
  <c r="AR82" i="32"/>
  <c r="AQ82" i="32"/>
  <c r="AM82" i="32"/>
  <c r="AX82" i="32" s="1"/>
  <c r="AL82" i="32"/>
  <c r="AW82" i="32" s="1"/>
  <c r="AE82" i="32"/>
  <c r="AU82" i="32" s="1"/>
  <c r="AB82" i="32"/>
  <c r="AT82" i="32" s="1"/>
  <c r="Y82" i="32"/>
  <c r="S82" i="32"/>
  <c r="V82" i="32" s="1"/>
  <c r="AR81" i="32"/>
  <c r="AM81" i="32"/>
  <c r="AX81" i="32" s="1"/>
  <c r="AL81" i="32"/>
  <c r="AW81" i="32" s="1"/>
  <c r="AE81" i="32"/>
  <c r="AU81" i="32" s="1"/>
  <c r="Y81" i="32"/>
  <c r="AQ81" i="32" s="1"/>
  <c r="V81" i="32"/>
  <c r="AB81" i="32" s="1"/>
  <c r="AT81" i="32" s="1"/>
  <c r="S81" i="32"/>
  <c r="AR80" i="32"/>
  <c r="AN80" i="32"/>
  <c r="AV80" i="32" s="1"/>
  <c r="AM80" i="32"/>
  <c r="AX80" i="32" s="1"/>
  <c r="AL80" i="32"/>
  <c r="AW80" i="32" s="1"/>
  <c r="AE80" i="32"/>
  <c r="AU80" i="32" s="1"/>
  <c r="Z80" i="32"/>
  <c r="Y80" i="32"/>
  <c r="AQ80" i="32" s="1"/>
  <c r="S80" i="32"/>
  <c r="V80" i="32" s="1"/>
  <c r="AR79" i="32"/>
  <c r="AP79" i="32"/>
  <c r="AM79" i="32"/>
  <c r="AX79" i="32" s="1"/>
  <c r="AL79" i="32"/>
  <c r="AE79" i="32"/>
  <c r="AU79" i="32" s="1"/>
  <c r="AA79" i="32"/>
  <c r="AS79" i="32" s="1"/>
  <c r="Y79" i="32"/>
  <c r="AQ79" i="32" s="1"/>
  <c r="S79" i="32"/>
  <c r="V79" i="32" s="1"/>
  <c r="AR78" i="32"/>
  <c r="AM78" i="32"/>
  <c r="AX78" i="32" s="1"/>
  <c r="AL78" i="32"/>
  <c r="AE78" i="32"/>
  <c r="AU78" i="32" s="1"/>
  <c r="Y78" i="32"/>
  <c r="AQ78" i="32" s="1"/>
  <c r="V78" i="32"/>
  <c r="S78" i="32"/>
  <c r="AR77" i="32"/>
  <c r="AM77" i="32"/>
  <c r="AX77" i="32" s="1"/>
  <c r="AL77" i="32"/>
  <c r="AW77" i="32" s="1"/>
  <c r="AE77" i="32"/>
  <c r="AU77" i="32" s="1"/>
  <c r="Y77" i="32"/>
  <c r="S77" i="32"/>
  <c r="AK76" i="32"/>
  <c r="AJ76" i="32"/>
  <c r="AI76" i="32"/>
  <c r="AH76" i="32"/>
  <c r="AG76" i="32"/>
  <c r="AD76" i="32"/>
  <c r="AC76" i="32"/>
  <c r="X76" i="32"/>
  <c r="W76" i="32"/>
  <c r="U76" i="32"/>
  <c r="T76" i="32"/>
  <c r="AR75" i="32"/>
  <c r="AM75" i="32"/>
  <c r="AX75" i="32" s="1"/>
  <c r="AL75" i="32"/>
  <c r="AW75" i="32" s="1"/>
  <c r="AE75" i="32"/>
  <c r="AU75" i="32" s="1"/>
  <c r="Y75" i="32"/>
  <c r="AQ75" i="32" s="1"/>
  <c r="S75" i="32"/>
  <c r="V75" i="32" s="1"/>
  <c r="AX74" i="32"/>
  <c r="AR74" i="32"/>
  <c r="AM74" i="32"/>
  <c r="AL74" i="32"/>
  <c r="AE74" i="32"/>
  <c r="AU74" i="32" s="1"/>
  <c r="Y74" i="32"/>
  <c r="AQ74" i="32" s="1"/>
  <c r="S74" i="32"/>
  <c r="V74" i="32" s="1"/>
  <c r="AR73" i="32"/>
  <c r="AM73" i="32"/>
  <c r="AX73" i="32" s="1"/>
  <c r="AL73" i="32"/>
  <c r="AW73" i="32" s="1"/>
  <c r="AE73" i="32"/>
  <c r="AU73" i="32" s="1"/>
  <c r="Y73" i="32"/>
  <c r="AQ73" i="32" s="1"/>
  <c r="V73" i="32"/>
  <c r="S73" i="32"/>
  <c r="AR72" i="32"/>
  <c r="AM72" i="32"/>
  <c r="AX72" i="32" s="1"/>
  <c r="AL72" i="32"/>
  <c r="AE72" i="32"/>
  <c r="AU72" i="32" s="1"/>
  <c r="Y72" i="32"/>
  <c r="AQ72" i="32" s="1"/>
  <c r="S72" i="32"/>
  <c r="V72" i="32" s="1"/>
  <c r="AB72" i="32" s="1"/>
  <c r="AT72" i="32" s="1"/>
  <c r="AR71" i="32"/>
  <c r="AM71" i="32"/>
  <c r="AL71" i="32"/>
  <c r="AN71" i="32" s="1"/>
  <c r="AE71" i="32"/>
  <c r="Y71" i="32"/>
  <c r="AQ71" i="32" s="1"/>
  <c r="S71" i="32"/>
  <c r="AK70" i="32"/>
  <c r="AJ70" i="32"/>
  <c r="AI70" i="32"/>
  <c r="AH70" i="32"/>
  <c r="AG70" i="32"/>
  <c r="AD70" i="32"/>
  <c r="AC70" i="32"/>
  <c r="X70" i="32"/>
  <c r="W70" i="32"/>
  <c r="U70" i="32"/>
  <c r="T70" i="32"/>
  <c r="AR69" i="32"/>
  <c r="AM69" i="32"/>
  <c r="AX69" i="32" s="1"/>
  <c r="AL69" i="32"/>
  <c r="AE69" i="32"/>
  <c r="AU69" i="32" s="1"/>
  <c r="Y69" i="32"/>
  <c r="AQ69" i="32" s="1"/>
  <c r="S69" i="32"/>
  <c r="V69" i="32" s="1"/>
  <c r="AP69" i="32" s="1"/>
  <c r="AR68" i="32"/>
  <c r="AM68" i="32"/>
  <c r="AX68" i="32" s="1"/>
  <c r="AL68" i="32"/>
  <c r="AW68" i="32" s="1"/>
  <c r="AE68" i="32"/>
  <c r="AU68" i="32" s="1"/>
  <c r="Y68" i="32"/>
  <c r="AQ68" i="32" s="1"/>
  <c r="S68" i="32"/>
  <c r="V68" i="32" s="1"/>
  <c r="AB68" i="32" s="1"/>
  <c r="AT68" i="32" s="1"/>
  <c r="AR67" i="32"/>
  <c r="AN67" i="32"/>
  <c r="AV67" i="32" s="1"/>
  <c r="AM67" i="32"/>
  <c r="AX67" i="32" s="1"/>
  <c r="AL67" i="32"/>
  <c r="AW67" i="32" s="1"/>
  <c r="AE67" i="32"/>
  <c r="AU67" i="32" s="1"/>
  <c r="Y67" i="32"/>
  <c r="AQ67" i="32" s="1"/>
  <c r="V67" i="32"/>
  <c r="AB67" i="32" s="1"/>
  <c r="AT67" i="32" s="1"/>
  <c r="S67" i="32"/>
  <c r="AR66" i="32"/>
  <c r="AM66" i="32"/>
  <c r="AX66" i="32" s="1"/>
  <c r="AL66" i="32"/>
  <c r="AW66" i="32" s="1"/>
  <c r="AE66" i="32"/>
  <c r="AU66" i="32" s="1"/>
  <c r="Y66" i="32"/>
  <c r="S66" i="32"/>
  <c r="V66" i="32" s="1"/>
  <c r="AR65" i="32"/>
  <c r="AM65" i="32"/>
  <c r="AX65" i="32" s="1"/>
  <c r="AL65" i="32"/>
  <c r="AE65" i="32"/>
  <c r="AU65" i="32" s="1"/>
  <c r="Y65" i="32"/>
  <c r="AQ65" i="32" s="1"/>
  <c r="S65" i="32"/>
  <c r="V65" i="32" s="1"/>
  <c r="AR64" i="32"/>
  <c r="AM64" i="32"/>
  <c r="AL64" i="32"/>
  <c r="AW64" i="32" s="1"/>
  <c r="AE64" i="32"/>
  <c r="Y64" i="32"/>
  <c r="AQ64" i="32" s="1"/>
  <c r="S64" i="32"/>
  <c r="V64" i="32" s="1"/>
  <c r="AK63" i="32"/>
  <c r="AJ63" i="32"/>
  <c r="AI63" i="32"/>
  <c r="AH63" i="32"/>
  <c r="AG63" i="32"/>
  <c r="AD63" i="32"/>
  <c r="AC63" i="32"/>
  <c r="X63" i="32"/>
  <c r="W63" i="32"/>
  <c r="U63" i="32"/>
  <c r="T63" i="32"/>
  <c r="AR62" i="32"/>
  <c r="AM62" i="32"/>
  <c r="AX62" i="32" s="1"/>
  <c r="AL62" i="32"/>
  <c r="AW62" i="32" s="1"/>
  <c r="AE62" i="32"/>
  <c r="AU62" i="32" s="1"/>
  <c r="Y62" i="32"/>
  <c r="AQ62" i="32" s="1"/>
  <c r="V62" i="32"/>
  <c r="AB62" i="32" s="1"/>
  <c r="AT62" i="32" s="1"/>
  <c r="S62" i="32"/>
  <c r="AR61" i="32"/>
  <c r="AM61" i="32"/>
  <c r="AX61" i="32" s="1"/>
  <c r="AL61" i="32"/>
  <c r="AW61" i="32" s="1"/>
  <c r="AE61" i="32"/>
  <c r="AU61" i="32" s="1"/>
  <c r="Y61" i="32"/>
  <c r="AQ61" i="32" s="1"/>
  <c r="V61" i="32"/>
  <c r="S61" i="32"/>
  <c r="AR60" i="32"/>
  <c r="AM60" i="32"/>
  <c r="AX60" i="32" s="1"/>
  <c r="AL60" i="32"/>
  <c r="AE60" i="32"/>
  <c r="AU60" i="32" s="1"/>
  <c r="Y60" i="32"/>
  <c r="AQ60" i="32" s="1"/>
  <c r="S60" i="32"/>
  <c r="V60" i="32" s="1"/>
  <c r="AP60" i="32" s="1"/>
  <c r="AR59" i="32"/>
  <c r="AM59" i="32"/>
  <c r="AX59" i="32" s="1"/>
  <c r="AL59" i="32"/>
  <c r="AW59" i="32" s="1"/>
  <c r="AE59" i="32"/>
  <c r="AU59" i="32" s="1"/>
  <c r="Y59" i="32"/>
  <c r="AQ59" i="32" s="1"/>
  <c r="S59" i="32"/>
  <c r="AR58" i="32"/>
  <c r="AM58" i="32"/>
  <c r="AL58" i="32"/>
  <c r="AE58" i="32"/>
  <c r="AU58" i="32" s="1"/>
  <c r="Y58" i="32"/>
  <c r="AQ58" i="32" s="1"/>
  <c r="V58" i="32"/>
  <c r="AB58" i="32" s="1"/>
  <c r="AT58" i="32" s="1"/>
  <c r="S58" i="32"/>
  <c r="AR57" i="32"/>
  <c r="AM57" i="32"/>
  <c r="AX57" i="32" s="1"/>
  <c r="AL57" i="32"/>
  <c r="AE57" i="32"/>
  <c r="Y57" i="32"/>
  <c r="AQ57" i="32" s="1"/>
  <c r="S57" i="32"/>
  <c r="V57" i="32" s="1"/>
  <c r="AK56" i="32"/>
  <c r="AJ56" i="32"/>
  <c r="AI56" i="32"/>
  <c r="AH56" i="32"/>
  <c r="AG56" i="32"/>
  <c r="AD56" i="32"/>
  <c r="AC56" i="32"/>
  <c r="X56" i="32"/>
  <c r="W56" i="32"/>
  <c r="U56" i="32"/>
  <c r="T56" i="32"/>
  <c r="AX55" i="32"/>
  <c r="AR55" i="32"/>
  <c r="AM55" i="32"/>
  <c r="AL55" i="32"/>
  <c r="AE55" i="32"/>
  <c r="AU55" i="32" s="1"/>
  <c r="Y55" i="32"/>
  <c r="AQ55" i="32" s="1"/>
  <c r="S55" i="32"/>
  <c r="V55" i="32" s="1"/>
  <c r="AR54" i="32"/>
  <c r="AM54" i="32"/>
  <c r="AX54" i="32" s="1"/>
  <c r="AL54" i="32"/>
  <c r="AW54" i="32" s="1"/>
  <c r="AE54" i="32"/>
  <c r="AU54" i="32" s="1"/>
  <c r="Y54" i="32"/>
  <c r="AQ54" i="32" s="1"/>
  <c r="S54" i="32"/>
  <c r="V54" i="32" s="1"/>
  <c r="AB54" i="32" s="1"/>
  <c r="AT54" i="32" s="1"/>
  <c r="AR53" i="32"/>
  <c r="AM53" i="32"/>
  <c r="AX53" i="32" s="1"/>
  <c r="AL53" i="32"/>
  <c r="AW53" i="32" s="1"/>
  <c r="AE53" i="32"/>
  <c r="AU53" i="32" s="1"/>
  <c r="Y53" i="32"/>
  <c r="AQ53" i="32" s="1"/>
  <c r="S53" i="32"/>
  <c r="V53" i="32" s="1"/>
  <c r="AB53" i="32" s="1"/>
  <c r="AT53" i="32" s="1"/>
  <c r="AR52" i="32"/>
  <c r="AM52" i="32"/>
  <c r="AX52" i="32" s="1"/>
  <c r="AL52" i="32"/>
  <c r="AE52" i="32"/>
  <c r="AU52" i="32" s="1"/>
  <c r="Z52" i="32"/>
  <c r="Y52" i="32"/>
  <c r="S52" i="32"/>
  <c r="V52" i="32" s="1"/>
  <c r="AB52" i="32" s="1"/>
  <c r="AT52" i="32" s="1"/>
  <c r="AX51" i="32"/>
  <c r="AR51" i="32"/>
  <c r="AM51" i="32"/>
  <c r="AL51" i="32"/>
  <c r="AE51" i="32"/>
  <c r="Y51" i="32"/>
  <c r="AQ51" i="32" s="1"/>
  <c r="S51" i="32"/>
  <c r="AK50" i="32"/>
  <c r="AJ50" i="32"/>
  <c r="AI50" i="32"/>
  <c r="AH50" i="32"/>
  <c r="AG50" i="32"/>
  <c r="AD50" i="32"/>
  <c r="AC50" i="32"/>
  <c r="X50" i="32"/>
  <c r="W50" i="32"/>
  <c r="U50" i="32"/>
  <c r="T50" i="32"/>
  <c r="AR49" i="32"/>
  <c r="AM49" i="32"/>
  <c r="AX49" i="32" s="1"/>
  <c r="AL49" i="32"/>
  <c r="AW49" i="32" s="1"/>
  <c r="AE49" i="32"/>
  <c r="AU49" i="32" s="1"/>
  <c r="Y49" i="32"/>
  <c r="AQ49" i="32" s="1"/>
  <c r="S49" i="32"/>
  <c r="V49" i="32" s="1"/>
  <c r="AR48" i="32"/>
  <c r="AM48" i="32"/>
  <c r="AX48" i="32" s="1"/>
  <c r="AL48" i="32"/>
  <c r="AW48" i="32" s="1"/>
  <c r="AE48" i="32"/>
  <c r="Y48" i="32"/>
  <c r="V48" i="32"/>
  <c r="AP48" i="32" s="1"/>
  <c r="S48" i="32"/>
  <c r="AR47" i="32"/>
  <c r="AN47" i="32"/>
  <c r="AV47" i="32" s="1"/>
  <c r="AM47" i="32"/>
  <c r="AX47" i="32" s="1"/>
  <c r="AL47" i="32"/>
  <c r="AW47" i="32" s="1"/>
  <c r="AE47" i="32"/>
  <c r="AU47" i="32" s="1"/>
  <c r="Y47" i="32"/>
  <c r="AQ47" i="32" s="1"/>
  <c r="S47" i="32"/>
  <c r="V47" i="32" s="1"/>
  <c r="AX46" i="32"/>
  <c r="AR46" i="32"/>
  <c r="AM46" i="32"/>
  <c r="AL46" i="32"/>
  <c r="AE46" i="32"/>
  <c r="AU46" i="32" s="1"/>
  <c r="Y46" i="32"/>
  <c r="AQ46" i="32" s="1"/>
  <c r="S46" i="32"/>
  <c r="V46" i="32" s="1"/>
  <c r="AR45" i="32"/>
  <c r="AM45" i="32"/>
  <c r="AL45" i="32"/>
  <c r="AW45" i="32" s="1"/>
  <c r="AE45" i="32"/>
  <c r="AU45" i="32" s="1"/>
  <c r="Y45" i="32"/>
  <c r="AQ45" i="32" s="1"/>
  <c r="V45" i="32"/>
  <c r="AB45" i="32" s="1"/>
  <c r="S45" i="32"/>
  <c r="AR44" i="32"/>
  <c r="AN44" i="32"/>
  <c r="AV44" i="32" s="1"/>
  <c r="AM44" i="32"/>
  <c r="AX44" i="32" s="1"/>
  <c r="AL44" i="32"/>
  <c r="AW44" i="32" s="1"/>
  <c r="AE44" i="32"/>
  <c r="AU44" i="32" s="1"/>
  <c r="Y44" i="32"/>
  <c r="S44" i="32"/>
  <c r="V44" i="32" s="1"/>
  <c r="AK43" i="32"/>
  <c r="AJ43" i="32"/>
  <c r="AI43" i="32"/>
  <c r="AH43" i="32"/>
  <c r="AG43" i="32"/>
  <c r="AD43" i="32"/>
  <c r="AC43" i="32"/>
  <c r="X43" i="32"/>
  <c r="W43" i="32"/>
  <c r="U43" i="32"/>
  <c r="T43" i="32"/>
  <c r="AR42" i="32"/>
  <c r="AR43" i="32" s="1"/>
  <c r="AM42" i="32"/>
  <c r="AM43" i="32" s="1"/>
  <c r="AL42" i="32"/>
  <c r="AE42" i="32"/>
  <c r="AE43" i="32" s="1"/>
  <c r="Y42" i="32"/>
  <c r="AQ42" i="32" s="1"/>
  <c r="AQ43" i="32" s="1"/>
  <c r="S42" i="32"/>
  <c r="S43" i="32" s="1"/>
  <c r="AK41" i="32"/>
  <c r="AJ41" i="32"/>
  <c r="AI41" i="32"/>
  <c r="AH41" i="32"/>
  <c r="AG41" i="32"/>
  <c r="AD41" i="32"/>
  <c r="AC41" i="32"/>
  <c r="X41" i="32"/>
  <c r="W41" i="32"/>
  <c r="U41" i="32"/>
  <c r="T41" i="32"/>
  <c r="AR40" i="32"/>
  <c r="AM40" i="32"/>
  <c r="AX40" i="32" s="1"/>
  <c r="AL40" i="32"/>
  <c r="AN40" i="32" s="1"/>
  <c r="AV40" i="32" s="1"/>
  <c r="AE40" i="32"/>
  <c r="AU40" i="32" s="1"/>
  <c r="Y40" i="32"/>
  <c r="AQ40" i="32" s="1"/>
  <c r="S40" i="32"/>
  <c r="V40" i="32" s="1"/>
  <c r="AR39" i="32"/>
  <c r="AM39" i="32"/>
  <c r="AX39" i="32" s="1"/>
  <c r="AL39" i="32"/>
  <c r="AE39" i="32"/>
  <c r="AU39" i="32" s="1"/>
  <c r="Y39" i="32"/>
  <c r="AQ39" i="32" s="1"/>
  <c r="S39" i="32"/>
  <c r="V39" i="32" s="1"/>
  <c r="AR38" i="32"/>
  <c r="AM38" i="32"/>
  <c r="AL38" i="32"/>
  <c r="AW38" i="32" s="1"/>
  <c r="AE38" i="32"/>
  <c r="Y38" i="32"/>
  <c r="S38" i="32"/>
  <c r="V38" i="32" s="1"/>
  <c r="AB38" i="32" s="1"/>
  <c r="AK37" i="32"/>
  <c r="AJ37" i="32"/>
  <c r="AI37" i="32"/>
  <c r="AH37" i="32"/>
  <c r="AG37" i="32"/>
  <c r="AD37" i="32"/>
  <c r="AC37" i="32"/>
  <c r="X37" i="32"/>
  <c r="W37" i="32"/>
  <c r="U37" i="32"/>
  <c r="T37" i="32"/>
  <c r="AR36" i="32"/>
  <c r="AM36" i="32"/>
  <c r="AX36" i="32" s="1"/>
  <c r="AL36" i="32"/>
  <c r="AW36" i="32" s="1"/>
  <c r="AE36" i="32"/>
  <c r="AU36" i="32" s="1"/>
  <c r="Y36" i="32"/>
  <c r="AQ36" i="32" s="1"/>
  <c r="S36" i="32"/>
  <c r="V36" i="32" s="1"/>
  <c r="AR35" i="32"/>
  <c r="AM35" i="32"/>
  <c r="AM37" i="32" s="1"/>
  <c r="AL35" i="32"/>
  <c r="AW35" i="32" s="1"/>
  <c r="AE35" i="32"/>
  <c r="AU35" i="32" s="1"/>
  <c r="Y35" i="32"/>
  <c r="AQ35" i="32" s="1"/>
  <c r="AQ37" i="32" s="1"/>
  <c r="S35" i="32"/>
  <c r="AK34" i="32"/>
  <c r="AJ34" i="32"/>
  <c r="AI34" i="32"/>
  <c r="AH34" i="32"/>
  <c r="AG34" i="32"/>
  <c r="AD34" i="32"/>
  <c r="AC34" i="32"/>
  <c r="X34" i="32"/>
  <c r="W34" i="32"/>
  <c r="U34" i="32"/>
  <c r="T34" i="32"/>
  <c r="AR33" i="32"/>
  <c r="AM33" i="32"/>
  <c r="AX33" i="32" s="1"/>
  <c r="AL33" i="32"/>
  <c r="AE33" i="32"/>
  <c r="AU33" i="32" s="1"/>
  <c r="Y33" i="32"/>
  <c r="AQ33" i="32" s="1"/>
  <c r="S33" i="32"/>
  <c r="V33" i="32" s="1"/>
  <c r="AR32" i="32"/>
  <c r="AM32" i="32"/>
  <c r="AX32" i="32" s="1"/>
  <c r="AL32" i="32"/>
  <c r="AW32" i="32" s="1"/>
  <c r="AE32" i="32"/>
  <c r="AE34" i="32" s="1"/>
  <c r="Y32" i="32"/>
  <c r="S32" i="32"/>
  <c r="V32" i="32" s="1"/>
  <c r="AB32" i="32" s="1"/>
  <c r="AK31" i="32"/>
  <c r="AJ31" i="32"/>
  <c r="AI31" i="32"/>
  <c r="AH31" i="32"/>
  <c r="AG31" i="32"/>
  <c r="AD31" i="32"/>
  <c r="AC31" i="32"/>
  <c r="X31" i="32"/>
  <c r="W31" i="32"/>
  <c r="U31" i="32"/>
  <c r="T31" i="32"/>
  <c r="AR30" i="32"/>
  <c r="AN30" i="32"/>
  <c r="AV30" i="32" s="1"/>
  <c r="AM30" i="32"/>
  <c r="AX30" i="32" s="1"/>
  <c r="AL30" i="32"/>
  <c r="AW30" i="32" s="1"/>
  <c r="AE30" i="32"/>
  <c r="AU30" i="32" s="1"/>
  <c r="Y30" i="32"/>
  <c r="AQ30" i="32" s="1"/>
  <c r="S30" i="32"/>
  <c r="V30" i="32" s="1"/>
  <c r="AR29" i="32"/>
  <c r="AM29" i="32"/>
  <c r="AX29" i="32" s="1"/>
  <c r="AL29" i="32"/>
  <c r="AE29" i="32"/>
  <c r="AU29" i="32" s="1"/>
  <c r="Y29" i="32"/>
  <c r="AQ29" i="32" s="1"/>
  <c r="S29" i="32"/>
  <c r="V29" i="32" s="1"/>
  <c r="AB29" i="32" s="1"/>
  <c r="AT29" i="32" s="1"/>
  <c r="AR28" i="32"/>
  <c r="AM28" i="32"/>
  <c r="AL28" i="32"/>
  <c r="AE28" i="32"/>
  <c r="AU28" i="32" s="1"/>
  <c r="Y28" i="32"/>
  <c r="AQ28" i="32" s="1"/>
  <c r="S28" i="32"/>
  <c r="AK27" i="32"/>
  <c r="AJ27" i="32"/>
  <c r="AI27" i="32"/>
  <c r="AH27" i="32"/>
  <c r="AG27" i="32"/>
  <c r="AD27" i="32"/>
  <c r="AC27" i="32"/>
  <c r="X27" i="32"/>
  <c r="W27" i="32"/>
  <c r="U27" i="32"/>
  <c r="T27" i="32"/>
  <c r="AR26" i="32"/>
  <c r="AM26" i="32"/>
  <c r="AX26" i="32" s="1"/>
  <c r="AL26" i="32"/>
  <c r="AW26" i="32" s="1"/>
  <c r="AE26" i="32"/>
  <c r="AU26" i="32" s="1"/>
  <c r="AB26" i="32"/>
  <c r="AT26" i="32" s="1"/>
  <c r="Y26" i="32"/>
  <c r="AQ26" i="32" s="1"/>
  <c r="S26" i="32"/>
  <c r="V26" i="32" s="1"/>
  <c r="AR25" i="32"/>
  <c r="AM25" i="32"/>
  <c r="AX25" i="32" s="1"/>
  <c r="AL25" i="32"/>
  <c r="AW25" i="32" s="1"/>
  <c r="AE25" i="32"/>
  <c r="AU25" i="32" s="1"/>
  <c r="Y25" i="32"/>
  <c r="AQ25" i="32" s="1"/>
  <c r="S25" i="32"/>
  <c r="V25" i="32" s="1"/>
  <c r="Z25" i="32" s="1"/>
  <c r="AR24" i="32"/>
  <c r="AM24" i="32"/>
  <c r="AX24" i="32" s="1"/>
  <c r="AL24" i="32"/>
  <c r="AE24" i="32"/>
  <c r="Y24" i="32"/>
  <c r="AQ24" i="32" s="1"/>
  <c r="S24" i="32"/>
  <c r="V24" i="32" s="1"/>
  <c r="AR23" i="32"/>
  <c r="AM23" i="32"/>
  <c r="AL23" i="32"/>
  <c r="AE23" i="32"/>
  <c r="AU23" i="32" s="1"/>
  <c r="Y23" i="32"/>
  <c r="AQ23" i="32" s="1"/>
  <c r="S23" i="32"/>
  <c r="AK22" i="32"/>
  <c r="AJ22" i="32"/>
  <c r="AI22" i="32"/>
  <c r="AH22" i="32"/>
  <c r="AG22" i="32"/>
  <c r="AD22" i="32"/>
  <c r="AC22" i="32"/>
  <c r="X22" i="32"/>
  <c r="W22" i="32"/>
  <c r="U22" i="32"/>
  <c r="T22" i="32"/>
  <c r="AR21" i="32"/>
  <c r="AM21" i="32"/>
  <c r="AX21" i="32" s="1"/>
  <c r="AL21" i="32"/>
  <c r="AW21" i="32" s="1"/>
  <c r="AE21" i="32"/>
  <c r="AU21" i="32" s="1"/>
  <c r="Y21" i="32"/>
  <c r="AQ21" i="32" s="1"/>
  <c r="S21" i="32"/>
  <c r="V21" i="32" s="1"/>
  <c r="AB21" i="32" s="1"/>
  <c r="AT21" i="32" s="1"/>
  <c r="AW20" i="32"/>
  <c r="AR20" i="32"/>
  <c r="AM20" i="32"/>
  <c r="AX20" i="32" s="1"/>
  <c r="AL20" i="32"/>
  <c r="AE20" i="32"/>
  <c r="AU20" i="32" s="1"/>
  <c r="Y20" i="32"/>
  <c r="AQ20" i="32" s="1"/>
  <c r="S20" i="32"/>
  <c r="V20" i="32" s="1"/>
  <c r="AB20" i="32" s="1"/>
  <c r="AT20" i="32" s="1"/>
  <c r="AR19" i="32"/>
  <c r="AM19" i="32"/>
  <c r="AX19" i="32" s="1"/>
  <c r="AL19" i="32"/>
  <c r="AE19" i="32"/>
  <c r="AU19" i="32" s="1"/>
  <c r="Y19" i="32"/>
  <c r="AQ19" i="32" s="1"/>
  <c r="S19" i="32"/>
  <c r="V19" i="32" s="1"/>
  <c r="AR18" i="32"/>
  <c r="AM18" i="32"/>
  <c r="AL18" i="32"/>
  <c r="AE18" i="32"/>
  <c r="AU18" i="32" s="1"/>
  <c r="Y18" i="32"/>
  <c r="S18" i="32"/>
  <c r="AK17" i="32"/>
  <c r="AJ17" i="32"/>
  <c r="AI17" i="32"/>
  <c r="AH17" i="32"/>
  <c r="AG17" i="32"/>
  <c r="AD17" i="32"/>
  <c r="AC17" i="32"/>
  <c r="X17" i="32"/>
  <c r="W17" i="32"/>
  <c r="U17" i="32"/>
  <c r="T17" i="32"/>
  <c r="AR16" i="32"/>
  <c r="AM16" i="32"/>
  <c r="AX16" i="32" s="1"/>
  <c r="AL16" i="32"/>
  <c r="AE16" i="32"/>
  <c r="AU16" i="32" s="1"/>
  <c r="Y16" i="32"/>
  <c r="AQ16" i="32" s="1"/>
  <c r="S16" i="32"/>
  <c r="AR15" i="32"/>
  <c r="AM15" i="32"/>
  <c r="AX15" i="32" s="1"/>
  <c r="AL15" i="32"/>
  <c r="AW15" i="32" s="1"/>
  <c r="AE15" i="32"/>
  <c r="AU15" i="32" s="1"/>
  <c r="Y15" i="32"/>
  <c r="AQ15" i="32" s="1"/>
  <c r="S15" i="32"/>
  <c r="V15" i="32" s="1"/>
  <c r="AP15" i="32" s="1"/>
  <c r="AR14" i="32"/>
  <c r="AM14" i="32"/>
  <c r="AX14" i="32" s="1"/>
  <c r="AL14" i="32"/>
  <c r="AE14" i="32"/>
  <c r="Y14" i="32"/>
  <c r="S14" i="32"/>
  <c r="V14" i="32" s="1"/>
  <c r="AP14" i="32" s="1"/>
  <c r="AK13" i="32"/>
  <c r="AJ13" i="32"/>
  <c r="AI13" i="32"/>
  <c r="AH13" i="32"/>
  <c r="AG13" i="32"/>
  <c r="AD13" i="32"/>
  <c r="AC13" i="32"/>
  <c r="X13" i="32"/>
  <c r="W13" i="32"/>
  <c r="U13" i="32"/>
  <c r="T13" i="32"/>
  <c r="AX12" i="32"/>
  <c r="AX313" i="32" s="1"/>
  <c r="AR12" i="32"/>
  <c r="AM12" i="32"/>
  <c r="AM313" i="32" s="1"/>
  <c r="AL12" i="32"/>
  <c r="AL313" i="32" s="1"/>
  <c r="AE12" i="32"/>
  <c r="AE313" i="32" s="1"/>
  <c r="Y12" i="32"/>
  <c r="Y13" i="32" s="1"/>
  <c r="S12" i="32"/>
  <c r="S313" i="32" s="1"/>
  <c r="AK86" i="31"/>
  <c r="AJ86" i="31"/>
  <c r="AI86" i="31"/>
  <c r="AH86" i="31"/>
  <c r="AG86" i="31"/>
  <c r="AD86" i="31"/>
  <c r="AC86" i="31"/>
  <c r="X86" i="31"/>
  <c r="W86" i="31"/>
  <c r="U86" i="31"/>
  <c r="T86" i="31"/>
  <c r="R86" i="31"/>
  <c r="Q86" i="31"/>
  <c r="P86" i="31"/>
  <c r="O86" i="31"/>
  <c r="N86" i="31"/>
  <c r="M86" i="31"/>
  <c r="L86" i="31"/>
  <c r="K86" i="31"/>
  <c r="J86" i="31"/>
  <c r="I86" i="31"/>
  <c r="AK85" i="31"/>
  <c r="AJ85" i="31"/>
  <c r="AI85" i="31"/>
  <c r="AH85" i="31"/>
  <c r="AG85" i="31"/>
  <c r="AD85" i="31"/>
  <c r="AC85" i="31"/>
  <c r="Y85" i="31"/>
  <c r="X85" i="31"/>
  <c r="W85" i="31"/>
  <c r="U85" i="31"/>
  <c r="T85" i="31"/>
  <c r="R85" i="31"/>
  <c r="Q85" i="31"/>
  <c r="P85" i="31"/>
  <c r="O85" i="31"/>
  <c r="N85" i="31"/>
  <c r="M85" i="31"/>
  <c r="L85" i="31"/>
  <c r="K85" i="31"/>
  <c r="J85" i="31"/>
  <c r="I85" i="31"/>
  <c r="AK84" i="31"/>
  <c r="AJ84" i="31"/>
  <c r="AI84" i="31"/>
  <c r="AH84" i="31"/>
  <c r="AG84" i="31"/>
  <c r="AD84" i="31"/>
  <c r="AC84" i="31"/>
  <c r="X84" i="31"/>
  <c r="W84" i="31"/>
  <c r="U84" i="31"/>
  <c r="T84" i="31"/>
  <c r="R84" i="31"/>
  <c r="Q84" i="31"/>
  <c r="P84" i="31"/>
  <c r="O84" i="31"/>
  <c r="N84" i="31"/>
  <c r="M84" i="31"/>
  <c r="L84" i="31"/>
  <c r="K84" i="31"/>
  <c r="J84" i="31"/>
  <c r="I84" i="31"/>
  <c r="AK83" i="31"/>
  <c r="AJ83" i="31"/>
  <c r="AI83" i="31"/>
  <c r="AH83" i="31"/>
  <c r="AG83" i="31"/>
  <c r="AD83" i="31"/>
  <c r="AC83" i="31"/>
  <c r="X83" i="31"/>
  <c r="W83" i="31"/>
  <c r="U83" i="31"/>
  <c r="T83" i="31"/>
  <c r="R83" i="31"/>
  <c r="Q83" i="31"/>
  <c r="P83" i="31"/>
  <c r="O83" i="31"/>
  <c r="N83" i="31"/>
  <c r="M83" i="31"/>
  <c r="L83" i="31"/>
  <c r="K83" i="31"/>
  <c r="J83" i="31"/>
  <c r="I83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M80" i="31"/>
  <c r="AK80" i="31"/>
  <c r="AJ80" i="31"/>
  <c r="AI80" i="31"/>
  <c r="AH80" i="31"/>
  <c r="AG80" i="31"/>
  <c r="AD80" i="31"/>
  <c r="AC80" i="31"/>
  <c r="X80" i="31"/>
  <c r="W80" i="31"/>
  <c r="U80" i="31"/>
  <c r="T80" i="31"/>
  <c r="R80" i="31"/>
  <c r="Q80" i="31"/>
  <c r="P80" i="31"/>
  <c r="O80" i="31"/>
  <c r="N80" i="31"/>
  <c r="M80" i="31"/>
  <c r="L80" i="31"/>
  <c r="K80" i="31"/>
  <c r="J80" i="31"/>
  <c r="I80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K78" i="31"/>
  <c r="AJ78" i="31"/>
  <c r="AI78" i="31"/>
  <c r="AH78" i="31"/>
  <c r="AG78" i="31"/>
  <c r="AD78" i="31"/>
  <c r="AC78" i="31"/>
  <c r="X78" i="31"/>
  <c r="W78" i="31"/>
  <c r="U78" i="31"/>
  <c r="T78" i="31"/>
  <c r="R78" i="31"/>
  <c r="Q78" i="31"/>
  <c r="P78" i="31"/>
  <c r="O78" i="31"/>
  <c r="N78" i="31"/>
  <c r="M78" i="31"/>
  <c r="L78" i="31"/>
  <c r="K78" i="31"/>
  <c r="J78" i="31"/>
  <c r="I78" i="31"/>
  <c r="AK77" i="31"/>
  <c r="AK76" i="31" s="1"/>
  <c r="AJ77" i="31"/>
  <c r="AI77" i="31"/>
  <c r="AH77" i="31"/>
  <c r="AH76" i="31" s="1"/>
  <c r="AG77" i="31"/>
  <c r="AG76" i="31" s="1"/>
  <c r="AD77" i="31"/>
  <c r="AC77" i="31"/>
  <c r="AC76" i="31" s="1"/>
  <c r="X77" i="31"/>
  <c r="W77" i="31"/>
  <c r="U77" i="31"/>
  <c r="T77" i="31"/>
  <c r="R77" i="31"/>
  <c r="Q77" i="31"/>
  <c r="P77" i="31"/>
  <c r="O77" i="31"/>
  <c r="N77" i="31"/>
  <c r="M77" i="31"/>
  <c r="L77" i="31"/>
  <c r="K77" i="31"/>
  <c r="J77" i="31"/>
  <c r="I77" i="31"/>
  <c r="AJ76" i="31"/>
  <c r="R73" i="31"/>
  <c r="K17" i="45" s="1"/>
  <c r="Q73" i="31"/>
  <c r="P73" i="31"/>
  <c r="I17" i="45" s="1"/>
  <c r="O73" i="31"/>
  <c r="H17" i="45" s="1"/>
  <c r="N73" i="31"/>
  <c r="G17" i="45" s="1"/>
  <c r="M73" i="31"/>
  <c r="F17" i="45" s="1"/>
  <c r="L73" i="31"/>
  <c r="E17" i="45" s="1"/>
  <c r="K73" i="31"/>
  <c r="D17" i="45" s="1"/>
  <c r="J73" i="31"/>
  <c r="C17" i="45" s="1"/>
  <c r="I73" i="31"/>
  <c r="B17" i="45" s="1"/>
  <c r="AK72" i="31"/>
  <c r="AJ72" i="31"/>
  <c r="AI72" i="31"/>
  <c r="AH72" i="31"/>
  <c r="AG72" i="31"/>
  <c r="AD72" i="31"/>
  <c r="AC72" i="31"/>
  <c r="Y72" i="31"/>
  <c r="X72" i="31"/>
  <c r="W72" i="31"/>
  <c r="U72" i="31"/>
  <c r="T72" i="31"/>
  <c r="AW71" i="31"/>
  <c r="AR71" i="31"/>
  <c r="AN71" i="31"/>
  <c r="AV71" i="31" s="1"/>
  <c r="AM71" i="31"/>
  <c r="AX71" i="31" s="1"/>
  <c r="AL71" i="31"/>
  <c r="AE71" i="31"/>
  <c r="AU71" i="31" s="1"/>
  <c r="Y71" i="31"/>
  <c r="AQ71" i="31" s="1"/>
  <c r="S71" i="31"/>
  <c r="V71" i="31" s="1"/>
  <c r="AX70" i="31"/>
  <c r="AR70" i="31"/>
  <c r="AM70" i="31"/>
  <c r="AL70" i="31"/>
  <c r="AE70" i="31"/>
  <c r="AU70" i="31" s="1"/>
  <c r="AA70" i="31"/>
  <c r="AS70" i="31" s="1"/>
  <c r="Z70" i="31"/>
  <c r="Y70" i="31"/>
  <c r="AQ70" i="31" s="1"/>
  <c r="S70" i="31"/>
  <c r="V70" i="31" s="1"/>
  <c r="AX69" i="31"/>
  <c r="AU69" i="31"/>
  <c r="AR69" i="31"/>
  <c r="AQ69" i="31"/>
  <c r="AP69" i="31"/>
  <c r="AM69" i="31"/>
  <c r="AL69" i="31"/>
  <c r="AE69" i="31"/>
  <c r="AB69" i="31"/>
  <c r="AT69" i="31" s="1"/>
  <c r="Y69" i="31"/>
  <c r="V69" i="31"/>
  <c r="S69" i="31"/>
  <c r="AU68" i="31"/>
  <c r="AR68" i="31"/>
  <c r="AM68" i="31"/>
  <c r="AL68" i="31"/>
  <c r="AW68" i="31" s="1"/>
  <c r="AE68" i="31"/>
  <c r="Y68" i="31"/>
  <c r="AQ68" i="31" s="1"/>
  <c r="S68" i="31"/>
  <c r="V68" i="31" s="1"/>
  <c r="AU67" i="31"/>
  <c r="AR67" i="31"/>
  <c r="AQ67" i="31"/>
  <c r="AM67" i="31"/>
  <c r="AL67" i="31"/>
  <c r="AE67" i="31"/>
  <c r="AB67" i="31"/>
  <c r="Y67" i="31"/>
  <c r="V67" i="31"/>
  <c r="S67" i="31"/>
  <c r="AK66" i="31"/>
  <c r="AJ66" i="31"/>
  <c r="AI66" i="31"/>
  <c r="AH66" i="31"/>
  <c r="AG66" i="31"/>
  <c r="AD66" i="31"/>
  <c r="AC66" i="31"/>
  <c r="X66" i="31"/>
  <c r="W66" i="31"/>
  <c r="U66" i="31"/>
  <c r="T66" i="31"/>
  <c r="AR65" i="31"/>
  <c r="AP65" i="31"/>
  <c r="AN65" i="31"/>
  <c r="AV65" i="31" s="1"/>
  <c r="AM65" i="31"/>
  <c r="AX65" i="31" s="1"/>
  <c r="AL65" i="31"/>
  <c r="AW65" i="31" s="1"/>
  <c r="AE65" i="31"/>
  <c r="AU65" i="31" s="1"/>
  <c r="Y65" i="31"/>
  <c r="AQ65" i="31" s="1"/>
  <c r="V65" i="31"/>
  <c r="S65" i="31"/>
  <c r="S66" i="31" s="1"/>
  <c r="AW64" i="31"/>
  <c r="AR64" i="31"/>
  <c r="AR66" i="31" s="1"/>
  <c r="AN64" i="31"/>
  <c r="AN66" i="31" s="1"/>
  <c r="AM64" i="31"/>
  <c r="AX64" i="31" s="1"/>
  <c r="AL64" i="31"/>
  <c r="AE64" i="31"/>
  <c r="AE66" i="31" s="1"/>
  <c r="Y64" i="31"/>
  <c r="V64" i="31"/>
  <c r="V66" i="31" s="1"/>
  <c r="S64" i="31"/>
  <c r="AK63" i="31"/>
  <c r="AJ63" i="31"/>
  <c r="AI63" i="31"/>
  <c r="AH63" i="31"/>
  <c r="AG63" i="31"/>
  <c r="AD63" i="31"/>
  <c r="AC63" i="31"/>
  <c r="X63" i="31"/>
  <c r="W63" i="31"/>
  <c r="U63" i="31"/>
  <c r="T63" i="31"/>
  <c r="AX62" i="31"/>
  <c r="AW62" i="31"/>
  <c r="AR62" i="31"/>
  <c r="AN62" i="31"/>
  <c r="AV62" i="31" s="1"/>
  <c r="AM62" i="31"/>
  <c r="AL62" i="31"/>
  <c r="AE62" i="31"/>
  <c r="AU62" i="31" s="1"/>
  <c r="Y62" i="31"/>
  <c r="AQ62" i="31" s="1"/>
  <c r="S62" i="31"/>
  <c r="V62" i="31" s="1"/>
  <c r="AX61" i="31"/>
  <c r="AU61" i="31"/>
  <c r="AR61" i="31"/>
  <c r="AQ61" i="31"/>
  <c r="AM61" i="31"/>
  <c r="AL61" i="31"/>
  <c r="AE61" i="31"/>
  <c r="Z61" i="31"/>
  <c r="Y61" i="31"/>
  <c r="S61" i="31"/>
  <c r="V61" i="31" s="1"/>
  <c r="AB61" i="31" s="1"/>
  <c r="AT61" i="31" s="1"/>
  <c r="AR60" i="31"/>
  <c r="AN60" i="31"/>
  <c r="AV60" i="31" s="1"/>
  <c r="AM60" i="31"/>
  <c r="AX60" i="31" s="1"/>
  <c r="AL60" i="31"/>
  <c r="AW60" i="31" s="1"/>
  <c r="AE60" i="31"/>
  <c r="AU60" i="31" s="1"/>
  <c r="Y60" i="31"/>
  <c r="AQ60" i="31" s="1"/>
  <c r="S60" i="31"/>
  <c r="V60" i="31" s="1"/>
  <c r="AW59" i="31"/>
  <c r="AR59" i="31"/>
  <c r="AQ59" i="31"/>
  <c r="AN59" i="31"/>
  <c r="AV59" i="31" s="1"/>
  <c r="AM59" i="31"/>
  <c r="AX59" i="31" s="1"/>
  <c r="AL59" i="31"/>
  <c r="AE59" i="31"/>
  <c r="AU59" i="31" s="1"/>
  <c r="Y59" i="31"/>
  <c r="V59" i="31"/>
  <c r="S59" i="31"/>
  <c r="AX58" i="31"/>
  <c r="AT58" i="31"/>
  <c r="AR58" i="31"/>
  <c r="AP58" i="31"/>
  <c r="AM58" i="31"/>
  <c r="AL58" i="31"/>
  <c r="AE58" i="31"/>
  <c r="AU58" i="31" s="1"/>
  <c r="Y58" i="31"/>
  <c r="S58" i="31"/>
  <c r="V58" i="31" s="1"/>
  <c r="AB58" i="31" s="1"/>
  <c r="AU57" i="31"/>
  <c r="AR57" i="31"/>
  <c r="AQ57" i="31"/>
  <c r="AM57" i="31"/>
  <c r="AL57" i="31"/>
  <c r="AN57" i="31" s="1"/>
  <c r="AE57" i="31"/>
  <c r="Y57" i="31"/>
  <c r="V57" i="31"/>
  <c r="S57" i="31"/>
  <c r="AK56" i="31"/>
  <c r="AJ56" i="31"/>
  <c r="AI56" i="31"/>
  <c r="AH56" i="31"/>
  <c r="AG56" i="31"/>
  <c r="AD56" i="31"/>
  <c r="AC56" i="31"/>
  <c r="X56" i="31"/>
  <c r="W56" i="31"/>
  <c r="U56" i="31"/>
  <c r="T56" i="31"/>
  <c r="AU55" i="31"/>
  <c r="AR55" i="31"/>
  <c r="AP55" i="31"/>
  <c r="AN55" i="31"/>
  <c r="AV55" i="31" s="1"/>
  <c r="AM55" i="31"/>
  <c r="AX55" i="31" s="1"/>
  <c r="AL55" i="31"/>
  <c r="AW55" i="31" s="1"/>
  <c r="AE55" i="31"/>
  <c r="AB55" i="31"/>
  <c r="AT55" i="31" s="1"/>
  <c r="Y55" i="31"/>
  <c r="AQ55" i="31" s="1"/>
  <c r="V55" i="31"/>
  <c r="S55" i="31"/>
  <c r="AW54" i="31"/>
  <c r="AR54" i="31"/>
  <c r="AN54" i="31"/>
  <c r="AV54" i="31" s="1"/>
  <c r="AM54" i="31"/>
  <c r="AX54" i="31" s="1"/>
  <c r="AL54" i="31"/>
  <c r="AE54" i="31"/>
  <c r="AU54" i="31" s="1"/>
  <c r="Y54" i="31"/>
  <c r="AQ54" i="31" s="1"/>
  <c r="V54" i="31"/>
  <c r="AB54" i="31" s="1"/>
  <c r="AT54" i="31" s="1"/>
  <c r="S54" i="31"/>
  <c r="AX53" i="31"/>
  <c r="AW53" i="31"/>
  <c r="AR53" i="31"/>
  <c r="AM53" i="31"/>
  <c r="AL53" i="31"/>
  <c r="AN53" i="31" s="1"/>
  <c r="AV53" i="31" s="1"/>
  <c r="AE53" i="31"/>
  <c r="AE56" i="31" s="1"/>
  <c r="Y53" i="31"/>
  <c r="AQ53" i="31" s="1"/>
  <c r="S53" i="31"/>
  <c r="AU52" i="31"/>
  <c r="AR52" i="31"/>
  <c r="AQ52" i="31"/>
  <c r="AM52" i="31"/>
  <c r="AM56" i="31" s="1"/>
  <c r="AL52" i="31"/>
  <c r="AE52" i="31"/>
  <c r="AA52" i="31"/>
  <c r="Y52" i="31"/>
  <c r="V52" i="31"/>
  <c r="AP52" i="31" s="1"/>
  <c r="S52" i="31"/>
  <c r="AM51" i="31"/>
  <c r="AK51" i="31"/>
  <c r="AJ51" i="31"/>
  <c r="AI51" i="31"/>
  <c r="AH51" i="31"/>
  <c r="AG51" i="31"/>
  <c r="AD51" i="31"/>
  <c r="AC51" i="31"/>
  <c r="X51" i="31"/>
  <c r="W51" i="31"/>
  <c r="U51" i="31"/>
  <c r="T51" i="31"/>
  <c r="S51" i="31"/>
  <c r="AR50" i="31"/>
  <c r="AQ50" i="31"/>
  <c r="AN50" i="31"/>
  <c r="AV50" i="31" s="1"/>
  <c r="AM50" i="31"/>
  <c r="AX50" i="31" s="1"/>
  <c r="AL50" i="31"/>
  <c r="AW50" i="31" s="1"/>
  <c r="AE50" i="31"/>
  <c r="AU50" i="31" s="1"/>
  <c r="Y50" i="31"/>
  <c r="V50" i="31"/>
  <c r="S50" i="31"/>
  <c r="AW49" i="31"/>
  <c r="AR49" i="31"/>
  <c r="AN49" i="31"/>
  <c r="AV49" i="31" s="1"/>
  <c r="AM49" i="31"/>
  <c r="AX49" i="31" s="1"/>
  <c r="AL49" i="31"/>
  <c r="AE49" i="31"/>
  <c r="AU49" i="31" s="1"/>
  <c r="Y49" i="31"/>
  <c r="V49" i="31"/>
  <c r="S49" i="31"/>
  <c r="AX48" i="31"/>
  <c r="AW48" i="31"/>
  <c r="AW51" i="31" s="1"/>
  <c r="AR48" i="31"/>
  <c r="AN48" i="31"/>
  <c r="AV48" i="31" s="1"/>
  <c r="AM48" i="31"/>
  <c r="AL48" i="31"/>
  <c r="AL51" i="31" s="1"/>
  <c r="AE48" i="31"/>
  <c r="AU48" i="31" s="1"/>
  <c r="AU51" i="31" s="1"/>
  <c r="AA48" i="31"/>
  <c r="Y48" i="31"/>
  <c r="S48" i="31"/>
  <c r="V48" i="31" s="1"/>
  <c r="AM47" i="31"/>
  <c r="AK47" i="31"/>
  <c r="AJ47" i="31"/>
  <c r="AI47" i="31"/>
  <c r="AH47" i="31"/>
  <c r="AG47" i="31"/>
  <c r="AD47" i="31"/>
  <c r="AC47" i="31"/>
  <c r="Y47" i="31"/>
  <c r="X47" i="31"/>
  <c r="W47" i="31"/>
  <c r="U47" i="31"/>
  <c r="T47" i="31"/>
  <c r="AW46" i="31"/>
  <c r="AU46" i="31"/>
  <c r="AR46" i="31"/>
  <c r="AQ46" i="31"/>
  <c r="AM46" i="31"/>
  <c r="AX46" i="31" s="1"/>
  <c r="AL46" i="31"/>
  <c r="AE46" i="31"/>
  <c r="AB46" i="31"/>
  <c r="AT46" i="31" s="1"/>
  <c r="Y46" i="31"/>
  <c r="V46" i="31"/>
  <c r="S46" i="31"/>
  <c r="AU45" i="31"/>
  <c r="AR45" i="31"/>
  <c r="AM45" i="31"/>
  <c r="AX45" i="31" s="1"/>
  <c r="AL45" i="31"/>
  <c r="AW45" i="31" s="1"/>
  <c r="AE45" i="31"/>
  <c r="Y45" i="31"/>
  <c r="AQ45" i="31" s="1"/>
  <c r="V45" i="31"/>
  <c r="S45" i="31"/>
  <c r="AW44" i="31"/>
  <c r="AV44" i="31"/>
  <c r="AU44" i="31"/>
  <c r="AR44" i="31"/>
  <c r="AN44" i="31"/>
  <c r="AM44" i="31"/>
  <c r="AX44" i="31" s="1"/>
  <c r="AL44" i="31"/>
  <c r="AE44" i="31"/>
  <c r="Y44" i="31"/>
  <c r="V44" i="31"/>
  <c r="AB44" i="31" s="1"/>
  <c r="AT44" i="31" s="1"/>
  <c r="S44" i="31"/>
  <c r="AX43" i="31"/>
  <c r="AX80" i="31" s="1"/>
  <c r="AW43" i="31"/>
  <c r="AR43" i="31"/>
  <c r="AN43" i="31"/>
  <c r="AM43" i="31"/>
  <c r="AL43" i="31"/>
  <c r="AE43" i="31"/>
  <c r="Y43" i="31"/>
  <c r="S43" i="31"/>
  <c r="AX42" i="31"/>
  <c r="AK42" i="31"/>
  <c r="AJ42" i="31"/>
  <c r="AI42" i="31"/>
  <c r="AH42" i="31"/>
  <c r="AG42" i="31"/>
  <c r="AD42" i="31"/>
  <c r="AC42" i="31"/>
  <c r="Y42" i="31"/>
  <c r="X42" i="31"/>
  <c r="W42" i="31"/>
  <c r="U42" i="31"/>
  <c r="T42" i="31"/>
  <c r="AW41" i="31"/>
  <c r="AU41" i="31"/>
  <c r="AR41" i="31"/>
  <c r="AQ41" i="31"/>
  <c r="AM41" i="31"/>
  <c r="AX41" i="31" s="1"/>
  <c r="AL41" i="31"/>
  <c r="AE41" i="31"/>
  <c r="Y41" i="31"/>
  <c r="V41" i="31"/>
  <c r="AB41" i="31" s="1"/>
  <c r="AT41" i="31" s="1"/>
  <c r="S41" i="31"/>
  <c r="AR40" i="31"/>
  <c r="AR42" i="31" s="1"/>
  <c r="AP40" i="31"/>
  <c r="AM40" i="31"/>
  <c r="AX40" i="31" s="1"/>
  <c r="AL40" i="31"/>
  <c r="AW40" i="31" s="1"/>
  <c r="AE40" i="31"/>
  <c r="AE42" i="31" s="1"/>
  <c r="Y40" i="31"/>
  <c r="AQ40" i="31" s="1"/>
  <c r="AQ42" i="31" s="1"/>
  <c r="V40" i="31"/>
  <c r="S40" i="31"/>
  <c r="S42" i="31" s="1"/>
  <c r="AK39" i="31"/>
  <c r="AJ39" i="31"/>
  <c r="AI39" i="31"/>
  <c r="AH39" i="31"/>
  <c r="AG39" i="31"/>
  <c r="AD39" i="31"/>
  <c r="AC39" i="31"/>
  <c r="X39" i="31"/>
  <c r="W39" i="31"/>
  <c r="U39" i="31"/>
  <c r="T39" i="31"/>
  <c r="S39" i="31"/>
  <c r="AW38" i="31"/>
  <c r="AR38" i="31"/>
  <c r="AM38" i="31"/>
  <c r="AL38" i="31"/>
  <c r="AL85" i="31" s="1"/>
  <c r="AE38" i="31"/>
  <c r="Y38" i="31"/>
  <c r="Y39" i="31" s="1"/>
  <c r="V38" i="31"/>
  <c r="AB38" i="31" s="1"/>
  <c r="S38" i="31"/>
  <c r="S85" i="31" s="1"/>
  <c r="AK37" i="31"/>
  <c r="AJ37" i="31"/>
  <c r="AI37" i="31"/>
  <c r="AH37" i="31"/>
  <c r="AG37" i="31"/>
  <c r="AD37" i="31"/>
  <c r="AC37" i="31"/>
  <c r="X37" i="31"/>
  <c r="W37" i="31"/>
  <c r="U37" i="31"/>
  <c r="T37" i="31"/>
  <c r="AX36" i="31"/>
  <c r="AW36" i="31"/>
  <c r="AR36" i="31"/>
  <c r="AN36" i="31"/>
  <c r="AV36" i="31" s="1"/>
  <c r="AM36" i="31"/>
  <c r="AL36" i="31"/>
  <c r="AE36" i="31"/>
  <c r="AU36" i="31" s="1"/>
  <c r="Y36" i="31"/>
  <c r="AQ36" i="31" s="1"/>
  <c r="S36" i="31"/>
  <c r="V36" i="31" s="1"/>
  <c r="AX35" i="31"/>
  <c r="AW35" i="31"/>
  <c r="AU35" i="31"/>
  <c r="AR35" i="31"/>
  <c r="AQ35" i="31"/>
  <c r="AP35" i="31"/>
  <c r="AM35" i="31"/>
  <c r="AL35" i="31"/>
  <c r="AE35" i="31"/>
  <c r="Z35" i="31"/>
  <c r="Y35" i="31"/>
  <c r="V35" i="31"/>
  <c r="AB35" i="31" s="1"/>
  <c r="AT35" i="31" s="1"/>
  <c r="S35" i="31"/>
  <c r="AR34" i="31"/>
  <c r="AQ34" i="31"/>
  <c r="AM34" i="31"/>
  <c r="AX34" i="31" s="1"/>
  <c r="AL34" i="31"/>
  <c r="AE34" i="31"/>
  <c r="AU34" i="31" s="1"/>
  <c r="AA34" i="31"/>
  <c r="AS34" i="31" s="1"/>
  <c r="Y34" i="31"/>
  <c r="V34" i="31"/>
  <c r="AB34" i="31" s="1"/>
  <c r="AT34" i="31" s="1"/>
  <c r="S34" i="31"/>
  <c r="AW33" i="31"/>
  <c r="AU33" i="31"/>
  <c r="AR33" i="31"/>
  <c r="AQ33" i="31"/>
  <c r="AM33" i="31"/>
  <c r="AL33" i="31"/>
  <c r="AE33" i="31"/>
  <c r="AB33" i="31"/>
  <c r="AT33" i="31" s="1"/>
  <c r="Z33" i="31"/>
  <c r="Y33" i="31"/>
  <c r="V33" i="31"/>
  <c r="S33" i="31"/>
  <c r="AX32" i="31"/>
  <c r="AR32" i="31"/>
  <c r="AR37" i="31" s="1"/>
  <c r="AM32" i="31"/>
  <c r="AL32" i="31"/>
  <c r="AE32" i="31"/>
  <c r="Y32" i="31"/>
  <c r="Y37" i="31" s="1"/>
  <c r="S32" i="31"/>
  <c r="AK31" i="31"/>
  <c r="AJ31" i="31"/>
  <c r="AI31" i="31"/>
  <c r="AH31" i="31"/>
  <c r="AG31" i="31"/>
  <c r="AD31" i="31"/>
  <c r="AC31" i="31"/>
  <c r="X31" i="31"/>
  <c r="W31" i="31"/>
  <c r="U31" i="31"/>
  <c r="T31" i="31"/>
  <c r="AU30" i="31"/>
  <c r="AR30" i="31"/>
  <c r="AQ30" i="31"/>
  <c r="AM30" i="31"/>
  <c r="AX30" i="31" s="1"/>
  <c r="AL30" i="31"/>
  <c r="AE30" i="31"/>
  <c r="Y30" i="31"/>
  <c r="S30" i="31"/>
  <c r="V30" i="31" s="1"/>
  <c r="AR29" i="31"/>
  <c r="AQ29" i="31"/>
  <c r="AN29" i="31"/>
  <c r="AM29" i="31"/>
  <c r="AL29" i="31"/>
  <c r="AW29" i="31" s="1"/>
  <c r="AE29" i="31"/>
  <c r="AB29" i="31"/>
  <c r="Y29" i="31"/>
  <c r="Y84" i="31" s="1"/>
  <c r="V29" i="31"/>
  <c r="S29" i="31"/>
  <c r="AW28" i="31"/>
  <c r="AR28" i="31"/>
  <c r="AN28" i="31"/>
  <c r="AV28" i="31" s="1"/>
  <c r="AM28" i="31"/>
  <c r="AX28" i="31" s="1"/>
  <c r="AL28" i="31"/>
  <c r="AE28" i="31"/>
  <c r="AU28" i="31" s="1"/>
  <c r="Y28" i="31"/>
  <c r="AQ28" i="31" s="1"/>
  <c r="V28" i="31"/>
  <c r="AB28" i="31" s="1"/>
  <c r="AT28" i="31" s="1"/>
  <c r="S28" i="31"/>
  <c r="AX27" i="31"/>
  <c r="AW27" i="31"/>
  <c r="AR27" i="31"/>
  <c r="AM27" i="31"/>
  <c r="AL27" i="31"/>
  <c r="AN27" i="31" s="1"/>
  <c r="AV27" i="31" s="1"/>
  <c r="AE27" i="31"/>
  <c r="AU27" i="31" s="1"/>
  <c r="Y27" i="31"/>
  <c r="AQ27" i="31" s="1"/>
  <c r="S27" i="31"/>
  <c r="V27" i="31" s="1"/>
  <c r="AB27" i="31" s="1"/>
  <c r="AT27" i="31" s="1"/>
  <c r="AU26" i="31"/>
  <c r="AR26" i="31"/>
  <c r="AQ26" i="31"/>
  <c r="AM26" i="31"/>
  <c r="AX26" i="31" s="1"/>
  <c r="AL26" i="31"/>
  <c r="AE26" i="31"/>
  <c r="Y26" i="31"/>
  <c r="S26" i="31"/>
  <c r="S31" i="31" s="1"/>
  <c r="AR25" i="31"/>
  <c r="AM25" i="31"/>
  <c r="AM31" i="31" s="1"/>
  <c r="AL25" i="31"/>
  <c r="AW25" i="31" s="1"/>
  <c r="AE25" i="31"/>
  <c r="AE78" i="31" s="1"/>
  <c r="Y25" i="31"/>
  <c r="AQ25" i="31" s="1"/>
  <c r="V25" i="31"/>
  <c r="AB25" i="31" s="1"/>
  <c r="S25" i="31"/>
  <c r="AN24" i="31"/>
  <c r="AK24" i="31"/>
  <c r="AJ24" i="31"/>
  <c r="AI24" i="31"/>
  <c r="AH24" i="31"/>
  <c r="AG24" i="31"/>
  <c r="AD24" i="31"/>
  <c r="AC24" i="31"/>
  <c r="X24" i="31"/>
  <c r="W24" i="31"/>
  <c r="U24" i="31"/>
  <c r="T24" i="31"/>
  <c r="S24" i="31"/>
  <c r="AW23" i="31"/>
  <c r="AW86" i="31" s="1"/>
  <c r="AR23" i="31"/>
  <c r="AR86" i="31" s="1"/>
  <c r="AN23" i="31"/>
  <c r="AN86" i="31" s="1"/>
  <c r="AM23" i="31"/>
  <c r="AM86" i="31" s="1"/>
  <c r="AL23" i="31"/>
  <c r="AL86" i="31" s="1"/>
  <c r="AE23" i="31"/>
  <c r="Y23" i="31"/>
  <c r="V23" i="31"/>
  <c r="V86" i="31" s="1"/>
  <c r="S23" i="31"/>
  <c r="S86" i="31" s="1"/>
  <c r="AL22" i="31"/>
  <c r="AK22" i="31"/>
  <c r="AJ22" i="31"/>
  <c r="AI22" i="31"/>
  <c r="AH22" i="31"/>
  <c r="AG22" i="31"/>
  <c r="AD22" i="31"/>
  <c r="AC22" i="31"/>
  <c r="X22" i="31"/>
  <c r="W22" i="31"/>
  <c r="U22" i="31"/>
  <c r="T22" i="31"/>
  <c r="AX21" i="31"/>
  <c r="AW21" i="31"/>
  <c r="AR21" i="31"/>
  <c r="AP21" i="31"/>
  <c r="AM21" i="31"/>
  <c r="AL21" i="31"/>
  <c r="AN21" i="31" s="1"/>
  <c r="AV21" i="31" s="1"/>
  <c r="AF21" i="31"/>
  <c r="AO21" i="31" s="1"/>
  <c r="AE21" i="31"/>
  <c r="AU21" i="31" s="1"/>
  <c r="AA21" i="31"/>
  <c r="AS21" i="31" s="1"/>
  <c r="Z21" i="31"/>
  <c r="Y21" i="31"/>
  <c r="AQ21" i="31" s="1"/>
  <c r="S21" i="31"/>
  <c r="V21" i="31" s="1"/>
  <c r="AB21" i="31" s="1"/>
  <c r="AT21" i="31" s="1"/>
  <c r="AU20" i="31"/>
  <c r="AR20" i="31"/>
  <c r="AQ20" i="31"/>
  <c r="AM20" i="31"/>
  <c r="AX20" i="31" s="1"/>
  <c r="AL20" i="31"/>
  <c r="AE20" i="31"/>
  <c r="Y20" i="31"/>
  <c r="S20" i="31"/>
  <c r="V20" i="31" s="1"/>
  <c r="AR19" i="31"/>
  <c r="AR22" i="31" s="1"/>
  <c r="AQ19" i="31"/>
  <c r="AN19" i="31"/>
  <c r="AM19" i="31"/>
  <c r="AL19" i="31"/>
  <c r="AW19" i="31" s="1"/>
  <c r="AE19" i="31"/>
  <c r="AE22" i="31" s="1"/>
  <c r="AB19" i="31"/>
  <c r="Y19" i="31"/>
  <c r="Y22" i="31" s="1"/>
  <c r="V19" i="31"/>
  <c r="S19" i="31"/>
  <c r="S22" i="31" s="1"/>
  <c r="AK18" i="31"/>
  <c r="AJ18" i="31"/>
  <c r="AI18" i="31"/>
  <c r="AH18" i="31"/>
  <c r="AG18" i="31"/>
  <c r="AD18" i="31"/>
  <c r="AC18" i="31"/>
  <c r="X18" i="31"/>
  <c r="W18" i="31"/>
  <c r="U18" i="31"/>
  <c r="T18" i="31"/>
  <c r="AW17" i="31"/>
  <c r="AW18" i="31" s="1"/>
  <c r="AR17" i="31"/>
  <c r="AN17" i="31"/>
  <c r="AV17" i="31" s="1"/>
  <c r="AM17" i="31"/>
  <c r="AM18" i="31" s="1"/>
  <c r="AL17" i="31"/>
  <c r="AE17" i="31"/>
  <c r="AU17" i="31" s="1"/>
  <c r="Y17" i="31"/>
  <c r="AQ17" i="31" s="1"/>
  <c r="V17" i="31"/>
  <c r="AB17" i="31" s="1"/>
  <c r="AT17" i="31" s="1"/>
  <c r="S17" i="31"/>
  <c r="AX16" i="31"/>
  <c r="AW16" i="31"/>
  <c r="AR16" i="31"/>
  <c r="AM16" i="31"/>
  <c r="AL16" i="31"/>
  <c r="AE16" i="31"/>
  <c r="AE18" i="31" s="1"/>
  <c r="Y16" i="31"/>
  <c r="AQ16" i="31" s="1"/>
  <c r="AQ18" i="31" s="1"/>
  <c r="S16" i="31"/>
  <c r="AK15" i="31"/>
  <c r="AJ15" i="31"/>
  <c r="AI15" i="31"/>
  <c r="AH15" i="31"/>
  <c r="AG15" i="31"/>
  <c r="AD15" i="31"/>
  <c r="AC15" i="31"/>
  <c r="X15" i="31"/>
  <c r="W15" i="31"/>
  <c r="U15" i="31"/>
  <c r="T15" i="31"/>
  <c r="S15" i="31"/>
  <c r="AX14" i="31"/>
  <c r="AU14" i="31"/>
  <c r="AR14" i="31"/>
  <c r="AQ14" i="31"/>
  <c r="AM14" i="31"/>
  <c r="AL14" i="31"/>
  <c r="AE14" i="31"/>
  <c r="Y14" i="31"/>
  <c r="V14" i="31"/>
  <c r="S14" i="31"/>
  <c r="S83" i="31" s="1"/>
  <c r="AW13" i="31"/>
  <c r="AU13" i="31"/>
  <c r="AR13" i="31"/>
  <c r="AQ13" i="31"/>
  <c r="AM13" i="31"/>
  <c r="AX13" i="31" s="1"/>
  <c r="AL13" i="31"/>
  <c r="AE13" i="31"/>
  <c r="AB13" i="31"/>
  <c r="AT13" i="31" s="1"/>
  <c r="Z13" i="31"/>
  <c r="Y13" i="31"/>
  <c r="V13" i="31"/>
  <c r="S13" i="31"/>
  <c r="AX12" i="31"/>
  <c r="AR12" i="31"/>
  <c r="AN12" i="31"/>
  <c r="AV12" i="31" s="1"/>
  <c r="AM12" i="31"/>
  <c r="AL12" i="31"/>
  <c r="AL77" i="31" s="1"/>
  <c r="AE12" i="31"/>
  <c r="Y12" i="31"/>
  <c r="S12" i="31"/>
  <c r="AK111" i="30"/>
  <c r="AJ111" i="30"/>
  <c r="AI111" i="30"/>
  <c r="AH111" i="30"/>
  <c r="AG111" i="30"/>
  <c r="AD111" i="30"/>
  <c r="AC111" i="30"/>
  <c r="X111" i="30"/>
  <c r="W111" i="30"/>
  <c r="U111" i="30"/>
  <c r="T111" i="30"/>
  <c r="R111" i="30"/>
  <c r="Q111" i="30"/>
  <c r="P111" i="30"/>
  <c r="O111" i="30"/>
  <c r="N111" i="30"/>
  <c r="M111" i="30"/>
  <c r="L111" i="30"/>
  <c r="K111" i="30"/>
  <c r="J111" i="30"/>
  <c r="I111" i="30"/>
  <c r="AK110" i="30"/>
  <c r="AJ110" i="30"/>
  <c r="AI110" i="30"/>
  <c r="AH110" i="30"/>
  <c r="AG110" i="30"/>
  <c r="AD110" i="30"/>
  <c r="AC110" i="30"/>
  <c r="X110" i="30"/>
  <c r="W110" i="30"/>
  <c r="U110" i="30"/>
  <c r="T110" i="30"/>
  <c r="R110" i="30"/>
  <c r="Q110" i="30"/>
  <c r="P110" i="30"/>
  <c r="O110" i="30"/>
  <c r="N110" i="30"/>
  <c r="M110" i="30"/>
  <c r="L110" i="30"/>
  <c r="K110" i="30"/>
  <c r="J110" i="30"/>
  <c r="I110" i="30"/>
  <c r="AK109" i="30"/>
  <c r="AJ109" i="30"/>
  <c r="AI109" i="30"/>
  <c r="AH109" i="30"/>
  <c r="AG109" i="30"/>
  <c r="AD109" i="30"/>
  <c r="AC109" i="30"/>
  <c r="X109" i="30"/>
  <c r="W109" i="30"/>
  <c r="U109" i="30"/>
  <c r="T109" i="30"/>
  <c r="R109" i="30"/>
  <c r="Q109" i="30"/>
  <c r="P109" i="30"/>
  <c r="O109" i="30"/>
  <c r="N109" i="30"/>
  <c r="M109" i="30"/>
  <c r="L109" i="30"/>
  <c r="K109" i="30"/>
  <c r="J109" i="30"/>
  <c r="I109" i="30"/>
  <c r="AK108" i="30"/>
  <c r="AJ108" i="30"/>
  <c r="AI108" i="30"/>
  <c r="AH108" i="30"/>
  <c r="AG108" i="30"/>
  <c r="AD108" i="30"/>
  <c r="AC108" i="30"/>
  <c r="X108" i="30"/>
  <c r="W108" i="30"/>
  <c r="U108" i="30"/>
  <c r="T108" i="30"/>
  <c r="R108" i="30"/>
  <c r="Q108" i="30"/>
  <c r="P108" i="30"/>
  <c r="O108" i="30"/>
  <c r="N108" i="30"/>
  <c r="M108" i="30"/>
  <c r="L108" i="30"/>
  <c r="K108" i="30"/>
  <c r="J108" i="30"/>
  <c r="I108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K105" i="30"/>
  <c r="AJ105" i="30"/>
  <c r="AI105" i="30"/>
  <c r="AH105" i="30"/>
  <c r="AG105" i="30"/>
  <c r="AD105" i="30"/>
  <c r="AC105" i="30"/>
  <c r="X105" i="30"/>
  <c r="W105" i="30"/>
  <c r="U105" i="30"/>
  <c r="T105" i="30"/>
  <c r="R105" i="30"/>
  <c r="Q105" i="30"/>
  <c r="P105" i="30"/>
  <c r="O105" i="30"/>
  <c r="N105" i="30"/>
  <c r="M105" i="30"/>
  <c r="L105" i="30"/>
  <c r="K105" i="30"/>
  <c r="J105" i="30"/>
  <c r="I105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AK103" i="30"/>
  <c r="AJ103" i="30"/>
  <c r="AI103" i="30"/>
  <c r="AH103" i="30"/>
  <c r="AG103" i="30"/>
  <c r="AD103" i="30"/>
  <c r="AC103" i="30"/>
  <c r="X103" i="30"/>
  <c r="W103" i="30"/>
  <c r="U103" i="30"/>
  <c r="T103" i="30"/>
  <c r="R103" i="30"/>
  <c r="Q103" i="30"/>
  <c r="P103" i="30"/>
  <c r="O103" i="30"/>
  <c r="N103" i="30"/>
  <c r="M103" i="30"/>
  <c r="L103" i="30"/>
  <c r="K103" i="30"/>
  <c r="J103" i="30"/>
  <c r="I103" i="30"/>
  <c r="AK102" i="30"/>
  <c r="AJ102" i="30"/>
  <c r="AI102" i="30"/>
  <c r="AH102" i="30"/>
  <c r="AG102" i="30"/>
  <c r="AD102" i="30"/>
  <c r="AC102" i="30"/>
  <c r="X102" i="30"/>
  <c r="W102" i="30"/>
  <c r="W101" i="30" s="1"/>
  <c r="U102" i="30"/>
  <c r="T102" i="30"/>
  <c r="R102" i="30"/>
  <c r="Q102" i="30"/>
  <c r="P102" i="30"/>
  <c r="O102" i="30"/>
  <c r="N102" i="30"/>
  <c r="M102" i="30"/>
  <c r="L102" i="30"/>
  <c r="K102" i="30"/>
  <c r="J102" i="30"/>
  <c r="I102" i="30"/>
  <c r="R98" i="30"/>
  <c r="K16" i="45" s="1"/>
  <c r="Q98" i="30"/>
  <c r="J16" i="45" s="1"/>
  <c r="P98" i="30"/>
  <c r="I16" i="45" s="1"/>
  <c r="O98" i="30"/>
  <c r="H16" i="45" s="1"/>
  <c r="N98" i="30"/>
  <c r="G16" i="45" s="1"/>
  <c r="M98" i="30"/>
  <c r="F16" i="45" s="1"/>
  <c r="L98" i="30"/>
  <c r="E16" i="45" s="1"/>
  <c r="K98" i="30"/>
  <c r="J98" i="30"/>
  <c r="C16" i="45" s="1"/>
  <c r="I98" i="30"/>
  <c r="B16" i="45" s="1"/>
  <c r="AK97" i="30"/>
  <c r="AJ97" i="30"/>
  <c r="AI97" i="30"/>
  <c r="AH97" i="30"/>
  <c r="AG97" i="30"/>
  <c r="AD97" i="30"/>
  <c r="AC97" i="30"/>
  <c r="X97" i="30"/>
  <c r="W97" i="30"/>
  <c r="U97" i="30"/>
  <c r="T97" i="30"/>
  <c r="S97" i="30"/>
  <c r="AW96" i="30"/>
  <c r="AU96" i="30"/>
  <c r="AR96" i="30"/>
  <c r="AN96" i="30"/>
  <c r="AV96" i="30" s="1"/>
  <c r="AM96" i="30"/>
  <c r="AX96" i="30" s="1"/>
  <c r="AL96" i="30"/>
  <c r="AE96" i="30"/>
  <c r="Y96" i="30"/>
  <c r="AQ96" i="30" s="1"/>
  <c r="V96" i="30"/>
  <c r="S96" i="30"/>
  <c r="AX95" i="30"/>
  <c r="AW95" i="30"/>
  <c r="AT95" i="30"/>
  <c r="AR95" i="30"/>
  <c r="AP95" i="30"/>
  <c r="AM95" i="30"/>
  <c r="AL95" i="30"/>
  <c r="AN95" i="30" s="1"/>
  <c r="AV95" i="30" s="1"/>
  <c r="AE95" i="30"/>
  <c r="AU95" i="30" s="1"/>
  <c r="AA95" i="30"/>
  <c r="AS95" i="30" s="1"/>
  <c r="Z95" i="30"/>
  <c r="Y95" i="30"/>
  <c r="AQ95" i="30" s="1"/>
  <c r="S95" i="30"/>
  <c r="V95" i="30" s="1"/>
  <c r="AB95" i="30" s="1"/>
  <c r="AW94" i="30"/>
  <c r="AU94" i="30"/>
  <c r="AR94" i="30"/>
  <c r="AQ94" i="30"/>
  <c r="AM94" i="30"/>
  <c r="AL94" i="30"/>
  <c r="AE94" i="30"/>
  <c r="Y94" i="30"/>
  <c r="V94" i="30"/>
  <c r="S94" i="30"/>
  <c r="AU93" i="30"/>
  <c r="AR93" i="30"/>
  <c r="AM93" i="30"/>
  <c r="AX93" i="30" s="1"/>
  <c r="AL93" i="30"/>
  <c r="AE93" i="30"/>
  <c r="Y93" i="30"/>
  <c r="AQ93" i="30" s="1"/>
  <c r="V93" i="30"/>
  <c r="S93" i="30"/>
  <c r="AW92" i="30"/>
  <c r="AV92" i="30"/>
  <c r="AU92" i="30"/>
  <c r="AR92" i="30"/>
  <c r="AN92" i="30"/>
  <c r="AM92" i="30"/>
  <c r="AX92" i="30" s="1"/>
  <c r="AL92" i="30"/>
  <c r="AE92" i="30"/>
  <c r="Z92" i="30"/>
  <c r="Y92" i="30"/>
  <c r="AQ92" i="30" s="1"/>
  <c r="V92" i="30"/>
  <c r="AB92" i="30" s="1"/>
  <c r="AT92" i="30" s="1"/>
  <c r="S92" i="30"/>
  <c r="AX91" i="30"/>
  <c r="AW91" i="30"/>
  <c r="AR91" i="30"/>
  <c r="AN91" i="30"/>
  <c r="AM91" i="30"/>
  <c r="AL91" i="30"/>
  <c r="AE91" i="30"/>
  <c r="Y91" i="30"/>
  <c r="V91" i="30"/>
  <c r="AP91" i="30" s="1"/>
  <c r="S91" i="30"/>
  <c r="AK90" i="30"/>
  <c r="AJ90" i="30"/>
  <c r="AI90" i="30"/>
  <c r="AH90" i="30"/>
  <c r="AG90" i="30"/>
  <c r="AD90" i="30"/>
  <c r="AC90" i="30"/>
  <c r="X90" i="30"/>
  <c r="W90" i="30"/>
  <c r="U90" i="30"/>
  <c r="T90" i="30"/>
  <c r="AX89" i="30"/>
  <c r="AR89" i="30"/>
  <c r="AP89" i="30"/>
  <c r="AM89" i="30"/>
  <c r="AL89" i="30"/>
  <c r="AE89" i="30"/>
  <c r="AU89" i="30" s="1"/>
  <c r="AA89" i="30"/>
  <c r="AS89" i="30" s="1"/>
  <c r="Z89" i="30"/>
  <c r="AF89" i="30" s="1"/>
  <c r="AO89" i="30" s="1"/>
  <c r="Y89" i="30"/>
  <c r="AQ89" i="30" s="1"/>
  <c r="S89" i="30"/>
  <c r="V89" i="30" s="1"/>
  <c r="AB89" i="30" s="1"/>
  <c r="AT89" i="30" s="1"/>
  <c r="AU88" i="30"/>
  <c r="AT88" i="30"/>
  <c r="AR88" i="30"/>
  <c r="AQ88" i="30"/>
  <c r="AP88" i="30"/>
  <c r="AM88" i="30"/>
  <c r="AX88" i="30" s="1"/>
  <c r="AL88" i="30"/>
  <c r="AE88" i="30"/>
  <c r="AB88" i="30"/>
  <c r="AA88" i="30"/>
  <c r="AS88" i="30" s="1"/>
  <c r="Y88" i="30"/>
  <c r="S88" i="30"/>
  <c r="V88" i="30" s="1"/>
  <c r="Z88" i="30" s="1"/>
  <c r="AV87" i="30"/>
  <c r="AR87" i="30"/>
  <c r="AQ87" i="30"/>
  <c r="AN87" i="30"/>
  <c r="AM87" i="30"/>
  <c r="AX87" i="30" s="1"/>
  <c r="AL87" i="30"/>
  <c r="AW87" i="30" s="1"/>
  <c r="AE87" i="30"/>
  <c r="AU87" i="30" s="1"/>
  <c r="AB87" i="30"/>
  <c r="AT87" i="30" s="1"/>
  <c r="Y87" i="30"/>
  <c r="V87" i="30"/>
  <c r="S87" i="30"/>
  <c r="AW86" i="30"/>
  <c r="AR86" i="30"/>
  <c r="AN86" i="30"/>
  <c r="AV86" i="30" s="1"/>
  <c r="AM86" i="30"/>
  <c r="AX86" i="30" s="1"/>
  <c r="AL86" i="30"/>
  <c r="AE86" i="30"/>
  <c r="AU86" i="30" s="1"/>
  <c r="Y86" i="30"/>
  <c r="V86" i="30"/>
  <c r="AB86" i="30" s="1"/>
  <c r="AT86" i="30" s="1"/>
  <c r="S86" i="30"/>
  <c r="AX85" i="30"/>
  <c r="AW85" i="30"/>
  <c r="AR85" i="30"/>
  <c r="AM85" i="30"/>
  <c r="AL85" i="30"/>
  <c r="AN85" i="30" s="1"/>
  <c r="AV85" i="30" s="1"/>
  <c r="AE85" i="30"/>
  <c r="AU85" i="30" s="1"/>
  <c r="Y85" i="30"/>
  <c r="AQ85" i="30" s="1"/>
  <c r="S85" i="30"/>
  <c r="V85" i="30" s="1"/>
  <c r="AU84" i="30"/>
  <c r="AR84" i="30"/>
  <c r="AQ84" i="30"/>
  <c r="AM84" i="30"/>
  <c r="AL84" i="30"/>
  <c r="AE84" i="30"/>
  <c r="Y84" i="30"/>
  <c r="S84" i="30"/>
  <c r="AM83" i="30"/>
  <c r="AK83" i="30"/>
  <c r="AJ83" i="30"/>
  <c r="AI83" i="30"/>
  <c r="AH83" i="30"/>
  <c r="AG83" i="30"/>
  <c r="AD83" i="30"/>
  <c r="AC83" i="30"/>
  <c r="X83" i="30"/>
  <c r="W83" i="30"/>
  <c r="U83" i="30"/>
  <c r="T83" i="30"/>
  <c r="AX82" i="30"/>
  <c r="AR82" i="30"/>
  <c r="AQ82" i="30"/>
  <c r="AM82" i="30"/>
  <c r="AL82" i="30"/>
  <c r="AE82" i="30"/>
  <c r="AU82" i="30" s="1"/>
  <c r="Y82" i="30"/>
  <c r="V82" i="30"/>
  <c r="S82" i="30"/>
  <c r="AW81" i="30"/>
  <c r="AU81" i="30"/>
  <c r="AR81" i="30"/>
  <c r="AM81" i="30"/>
  <c r="AL81" i="30"/>
  <c r="AE81" i="30"/>
  <c r="AB81" i="30"/>
  <c r="AT81" i="30" s="1"/>
  <c r="Z81" i="30"/>
  <c r="Y81" i="30"/>
  <c r="AQ81" i="30" s="1"/>
  <c r="V81" i="30"/>
  <c r="S81" i="30"/>
  <c r="AX80" i="30"/>
  <c r="AW80" i="30"/>
  <c r="AR80" i="30"/>
  <c r="AN80" i="30"/>
  <c r="AM80" i="30"/>
  <c r="AL80" i="30"/>
  <c r="AE80" i="30"/>
  <c r="AU80" i="30" s="1"/>
  <c r="Y80" i="30"/>
  <c r="S80" i="30"/>
  <c r="AM79" i="30"/>
  <c r="AK79" i="30"/>
  <c r="AJ79" i="30"/>
  <c r="AI79" i="30"/>
  <c r="AH79" i="30"/>
  <c r="AG79" i="30"/>
  <c r="AD79" i="30"/>
  <c r="AC79" i="30"/>
  <c r="Y79" i="30"/>
  <c r="X79" i="30"/>
  <c r="W79" i="30"/>
  <c r="U79" i="30"/>
  <c r="T79" i="30"/>
  <c r="AW78" i="30"/>
  <c r="AU78" i="30"/>
  <c r="AR78" i="30"/>
  <c r="AQ78" i="30"/>
  <c r="AP78" i="30"/>
  <c r="AM78" i="30"/>
  <c r="AX78" i="30" s="1"/>
  <c r="AL78" i="30"/>
  <c r="AE78" i="30"/>
  <c r="AB78" i="30"/>
  <c r="AT78" i="30" s="1"/>
  <c r="Z78" i="30"/>
  <c r="Y78" i="30"/>
  <c r="V78" i="30"/>
  <c r="AA78" i="30" s="1"/>
  <c r="AS78" i="30" s="1"/>
  <c r="S78" i="30"/>
  <c r="AX77" i="30"/>
  <c r="AR77" i="30"/>
  <c r="AQ77" i="30"/>
  <c r="AM77" i="30"/>
  <c r="AL77" i="30"/>
  <c r="AE77" i="30"/>
  <c r="AU77" i="30" s="1"/>
  <c r="Y77" i="30"/>
  <c r="V77" i="30"/>
  <c r="S77" i="30"/>
  <c r="AW76" i="30"/>
  <c r="AU76" i="30"/>
  <c r="AR76" i="30"/>
  <c r="AM76" i="30"/>
  <c r="AL76" i="30"/>
  <c r="AE76" i="30"/>
  <c r="AB76" i="30"/>
  <c r="AT76" i="30" s="1"/>
  <c r="Z76" i="30"/>
  <c r="Y76" i="30"/>
  <c r="AQ76" i="30" s="1"/>
  <c r="V76" i="30"/>
  <c r="S76" i="30"/>
  <c r="AX75" i="30"/>
  <c r="AW75" i="30"/>
  <c r="AS75" i="30"/>
  <c r="AR75" i="30"/>
  <c r="AN75" i="30"/>
  <c r="AV75" i="30" s="1"/>
  <c r="AM75" i="30"/>
  <c r="AL75" i="30"/>
  <c r="AE75" i="30"/>
  <c r="AU75" i="30" s="1"/>
  <c r="AA75" i="30"/>
  <c r="Y75" i="30"/>
  <c r="AQ75" i="30" s="1"/>
  <c r="S75" i="30"/>
  <c r="V75" i="30" s="1"/>
  <c r="AX74" i="30"/>
  <c r="AU74" i="30"/>
  <c r="AT74" i="30"/>
  <c r="AR74" i="30"/>
  <c r="AQ74" i="30"/>
  <c r="AP74" i="30"/>
  <c r="AM74" i="30"/>
  <c r="AL74" i="30"/>
  <c r="AE74" i="30"/>
  <c r="Z74" i="30"/>
  <c r="Y74" i="30"/>
  <c r="S74" i="30"/>
  <c r="V74" i="30" s="1"/>
  <c r="AB74" i="30" s="1"/>
  <c r="AM73" i="30"/>
  <c r="AK73" i="30"/>
  <c r="AJ73" i="30"/>
  <c r="AI73" i="30"/>
  <c r="AH73" i="30"/>
  <c r="AG73" i="30"/>
  <c r="AE73" i="30"/>
  <c r="AD73" i="30"/>
  <c r="AC73" i="30"/>
  <c r="X73" i="30"/>
  <c r="W73" i="30"/>
  <c r="U73" i="30"/>
  <c r="T73" i="30"/>
  <c r="AX72" i="30"/>
  <c r="AR72" i="30"/>
  <c r="AN72" i="30"/>
  <c r="AV72" i="30" s="1"/>
  <c r="AM72" i="30"/>
  <c r="AL72" i="30"/>
  <c r="AW72" i="30" s="1"/>
  <c r="AE72" i="30"/>
  <c r="AU72" i="30" s="1"/>
  <c r="Y72" i="30"/>
  <c r="AQ72" i="30" s="1"/>
  <c r="S72" i="30"/>
  <c r="V72" i="30" s="1"/>
  <c r="AA72" i="30" s="1"/>
  <c r="AS72" i="30" s="1"/>
  <c r="AX71" i="30"/>
  <c r="AW71" i="30"/>
  <c r="AR71" i="30"/>
  <c r="AQ71" i="30"/>
  <c r="AQ73" i="30" s="1"/>
  <c r="AM71" i="30"/>
  <c r="AL71" i="30"/>
  <c r="AE71" i="30"/>
  <c r="AU71" i="30" s="1"/>
  <c r="Y71" i="30"/>
  <c r="V71" i="30"/>
  <c r="AB71" i="30" s="1"/>
  <c r="AT71" i="30" s="1"/>
  <c r="S71" i="30"/>
  <c r="AK70" i="30"/>
  <c r="AJ70" i="30"/>
  <c r="AI70" i="30"/>
  <c r="AH70" i="30"/>
  <c r="AG70" i="30"/>
  <c r="AD70" i="30"/>
  <c r="AC70" i="30"/>
  <c r="X70" i="30"/>
  <c r="W70" i="30"/>
  <c r="U70" i="30"/>
  <c r="T70" i="30"/>
  <c r="AR69" i="30"/>
  <c r="AM69" i="30"/>
  <c r="AX69" i="30" s="1"/>
  <c r="AL69" i="30"/>
  <c r="AE69" i="30"/>
  <c r="AU69" i="30" s="1"/>
  <c r="AA69" i="30"/>
  <c r="AS69" i="30" s="1"/>
  <c r="Y69" i="30"/>
  <c r="AQ69" i="30" s="1"/>
  <c r="V69" i="30"/>
  <c r="AB69" i="30" s="1"/>
  <c r="AT69" i="30" s="1"/>
  <c r="S69" i="30"/>
  <c r="AW68" i="30"/>
  <c r="AU68" i="30"/>
  <c r="AR68" i="30"/>
  <c r="AQ68" i="30"/>
  <c r="AM68" i="30"/>
  <c r="AL68" i="30"/>
  <c r="AE68" i="30"/>
  <c r="AB68" i="30"/>
  <c r="AT68" i="30" s="1"/>
  <c r="Z68" i="30"/>
  <c r="Y68" i="30"/>
  <c r="V68" i="30"/>
  <c r="S68" i="30"/>
  <c r="AX67" i="30"/>
  <c r="AW67" i="30"/>
  <c r="AR67" i="30"/>
  <c r="AN67" i="30"/>
  <c r="AV67" i="30" s="1"/>
  <c r="AM67" i="30"/>
  <c r="AL67" i="30"/>
  <c r="AE67" i="30"/>
  <c r="AU67" i="30" s="1"/>
  <c r="Y67" i="30"/>
  <c r="AQ67" i="30" s="1"/>
  <c r="S67" i="30"/>
  <c r="V67" i="30" s="1"/>
  <c r="AX66" i="30"/>
  <c r="AU66" i="30"/>
  <c r="AR66" i="30"/>
  <c r="AQ66" i="30"/>
  <c r="AM66" i="30"/>
  <c r="AL66" i="30"/>
  <c r="AE66" i="30"/>
  <c r="Z66" i="30"/>
  <c r="Y66" i="30"/>
  <c r="S66" i="30"/>
  <c r="V66" i="30" s="1"/>
  <c r="AB66" i="30" s="1"/>
  <c r="AT66" i="30" s="1"/>
  <c r="AR65" i="30"/>
  <c r="AR70" i="30" s="1"/>
  <c r="AN65" i="30"/>
  <c r="AM65" i="30"/>
  <c r="AM70" i="30" s="1"/>
  <c r="AL65" i="30"/>
  <c r="AW65" i="30" s="1"/>
  <c r="AE65" i="30"/>
  <c r="AU65" i="30" s="1"/>
  <c r="AU70" i="30" s="1"/>
  <c r="Y65" i="30"/>
  <c r="S65" i="30"/>
  <c r="AM64" i="30"/>
  <c r="AK64" i="30"/>
  <c r="AJ64" i="30"/>
  <c r="AI64" i="30"/>
  <c r="AH64" i="30"/>
  <c r="AG64" i="30"/>
  <c r="AD64" i="30"/>
  <c r="AC64" i="30"/>
  <c r="X64" i="30"/>
  <c r="W64" i="30"/>
  <c r="U64" i="30"/>
  <c r="T64" i="30"/>
  <c r="AW63" i="30"/>
  <c r="AV63" i="30"/>
  <c r="AU63" i="30"/>
  <c r="AR63" i="30"/>
  <c r="AN63" i="30"/>
  <c r="AM63" i="30"/>
  <c r="AX63" i="30" s="1"/>
  <c r="AL63" i="30"/>
  <c r="AE63" i="30"/>
  <c r="Y63" i="30"/>
  <c r="AQ63" i="30" s="1"/>
  <c r="V63" i="30"/>
  <c r="AB63" i="30" s="1"/>
  <c r="AT63" i="30" s="1"/>
  <c r="S63" i="30"/>
  <c r="AX62" i="30"/>
  <c r="AW62" i="30"/>
  <c r="AW64" i="30" s="1"/>
  <c r="AR62" i="30"/>
  <c r="AN62" i="30"/>
  <c r="AV62" i="30" s="1"/>
  <c r="AM62" i="30"/>
  <c r="AL62" i="30"/>
  <c r="AE62" i="30"/>
  <c r="AU62" i="30" s="1"/>
  <c r="Y62" i="30"/>
  <c r="AQ62" i="30" s="1"/>
  <c r="S62" i="30"/>
  <c r="AX61" i="30"/>
  <c r="AW61" i="30"/>
  <c r="AR61" i="30"/>
  <c r="AR64" i="30" s="1"/>
  <c r="AQ61" i="30"/>
  <c r="AM61" i="30"/>
  <c r="AL61" i="30"/>
  <c r="AE61" i="30"/>
  <c r="AE64" i="30" s="1"/>
  <c r="Y61" i="30"/>
  <c r="V61" i="30"/>
  <c r="AA61" i="30" s="1"/>
  <c r="S61" i="30"/>
  <c r="AK60" i="30"/>
  <c r="AJ60" i="30"/>
  <c r="AI60" i="30"/>
  <c r="AH60" i="30"/>
  <c r="AG60" i="30"/>
  <c r="AD60" i="30"/>
  <c r="AC60" i="30"/>
  <c r="X60" i="30"/>
  <c r="W60" i="30"/>
  <c r="U60" i="30"/>
  <c r="T60" i="30"/>
  <c r="AR59" i="30"/>
  <c r="AM59" i="30"/>
  <c r="AX59" i="30" s="1"/>
  <c r="AL59" i="30"/>
  <c r="AE59" i="30"/>
  <c r="AU59" i="30" s="1"/>
  <c r="AA59" i="30"/>
  <c r="AS59" i="30" s="1"/>
  <c r="Y59" i="30"/>
  <c r="AQ59" i="30" s="1"/>
  <c r="V59" i="30"/>
  <c r="AB59" i="30" s="1"/>
  <c r="AT59" i="30" s="1"/>
  <c r="S59" i="30"/>
  <c r="AW58" i="30"/>
  <c r="AU58" i="30"/>
  <c r="AR58" i="30"/>
  <c r="AQ58" i="30"/>
  <c r="AM58" i="30"/>
  <c r="AL58" i="30"/>
  <c r="AE58" i="30"/>
  <c r="AB58" i="30"/>
  <c r="AT58" i="30" s="1"/>
  <c r="Z58" i="30"/>
  <c r="Y58" i="30"/>
  <c r="V58" i="30"/>
  <c r="S58" i="30"/>
  <c r="AX57" i="30"/>
  <c r="AW57" i="30"/>
  <c r="AR57" i="30"/>
  <c r="AN57" i="30"/>
  <c r="AV57" i="30" s="1"/>
  <c r="AM57" i="30"/>
  <c r="AL57" i="30"/>
  <c r="AE57" i="30"/>
  <c r="AU57" i="30" s="1"/>
  <c r="Y57" i="30"/>
  <c r="AQ57" i="30" s="1"/>
  <c r="S57" i="30"/>
  <c r="V57" i="30" s="1"/>
  <c r="AX56" i="30"/>
  <c r="AU56" i="30"/>
  <c r="AR56" i="30"/>
  <c r="AQ56" i="30"/>
  <c r="AM56" i="30"/>
  <c r="AL56" i="30"/>
  <c r="AE56" i="30"/>
  <c r="Z56" i="30"/>
  <c r="Y56" i="30"/>
  <c r="S56" i="30"/>
  <c r="V56" i="30" s="1"/>
  <c r="AB56" i="30" s="1"/>
  <c r="AT56" i="30" s="1"/>
  <c r="AR55" i="30"/>
  <c r="AM55" i="30"/>
  <c r="AX55" i="30" s="1"/>
  <c r="AL55" i="30"/>
  <c r="AW55" i="30" s="1"/>
  <c r="AE55" i="30"/>
  <c r="AU55" i="30" s="1"/>
  <c r="Y55" i="30"/>
  <c r="AQ55" i="30" s="1"/>
  <c r="S55" i="30"/>
  <c r="AW54" i="30"/>
  <c r="AR54" i="30"/>
  <c r="AR60" i="30" s="1"/>
  <c r="AQ54" i="30"/>
  <c r="AM54" i="30"/>
  <c r="AX54" i="30" s="1"/>
  <c r="AL54" i="30"/>
  <c r="AE54" i="30"/>
  <c r="AU54" i="30" s="1"/>
  <c r="Y54" i="30"/>
  <c r="V54" i="30"/>
  <c r="AB54" i="30" s="1"/>
  <c r="S54" i="30"/>
  <c r="AK53" i="30"/>
  <c r="AJ53" i="30"/>
  <c r="AI53" i="30"/>
  <c r="AH53" i="30"/>
  <c r="AG53" i="30"/>
  <c r="AD53" i="30"/>
  <c r="AC53" i="30"/>
  <c r="X53" i="30"/>
  <c r="W53" i="30"/>
  <c r="U53" i="30"/>
  <c r="T53" i="30"/>
  <c r="AX52" i="30"/>
  <c r="AW52" i="30"/>
  <c r="AR52" i="30"/>
  <c r="AN52" i="30"/>
  <c r="AV52" i="30" s="1"/>
  <c r="AM52" i="30"/>
  <c r="AL52" i="30"/>
  <c r="AE52" i="30"/>
  <c r="AU52" i="30" s="1"/>
  <c r="Y52" i="30"/>
  <c r="AQ52" i="30" s="1"/>
  <c r="S52" i="30"/>
  <c r="V52" i="30" s="1"/>
  <c r="AX51" i="30"/>
  <c r="AW51" i="30"/>
  <c r="AU51" i="30"/>
  <c r="AR51" i="30"/>
  <c r="AQ51" i="30"/>
  <c r="AP51" i="30"/>
  <c r="AM51" i="30"/>
  <c r="AL51" i="30"/>
  <c r="AE51" i="30"/>
  <c r="Z51" i="30"/>
  <c r="Y51" i="30"/>
  <c r="V51" i="30"/>
  <c r="AB51" i="30" s="1"/>
  <c r="AT51" i="30" s="1"/>
  <c r="S51" i="30"/>
  <c r="AR50" i="30"/>
  <c r="AQ50" i="30"/>
  <c r="AM50" i="30"/>
  <c r="AX50" i="30" s="1"/>
  <c r="AL50" i="30"/>
  <c r="AE50" i="30"/>
  <c r="AU50" i="30" s="1"/>
  <c r="AA50" i="30"/>
  <c r="AS50" i="30" s="1"/>
  <c r="Y50" i="30"/>
  <c r="V50" i="30"/>
  <c r="AB50" i="30" s="1"/>
  <c r="AT50" i="30" s="1"/>
  <c r="S50" i="30"/>
  <c r="AW49" i="30"/>
  <c r="AR49" i="30"/>
  <c r="AQ49" i="30"/>
  <c r="AM49" i="30"/>
  <c r="AX49" i="30" s="1"/>
  <c r="AL49" i="30"/>
  <c r="AE49" i="30"/>
  <c r="AU49" i="30" s="1"/>
  <c r="AB49" i="30"/>
  <c r="AT49" i="30" s="1"/>
  <c r="Y49" i="30"/>
  <c r="V49" i="30"/>
  <c r="S49" i="30"/>
  <c r="AX48" i="30"/>
  <c r="AR48" i="30"/>
  <c r="AM48" i="30"/>
  <c r="AL48" i="30"/>
  <c r="AL53" i="30" s="1"/>
  <c r="AE48" i="30"/>
  <c r="Y48" i="30"/>
  <c r="S48" i="30"/>
  <c r="AK47" i="30"/>
  <c r="AJ47" i="30"/>
  <c r="AI47" i="30"/>
  <c r="AH47" i="30"/>
  <c r="AG47" i="30"/>
  <c r="AD47" i="30"/>
  <c r="AC47" i="30"/>
  <c r="X47" i="30"/>
  <c r="W47" i="30"/>
  <c r="U47" i="30"/>
  <c r="T47" i="30"/>
  <c r="S47" i="30"/>
  <c r="AX46" i="30"/>
  <c r="AU46" i="30"/>
  <c r="AR46" i="30"/>
  <c r="AQ46" i="30"/>
  <c r="AM46" i="30"/>
  <c r="AL46" i="30"/>
  <c r="AN46" i="30" s="1"/>
  <c r="AV46" i="30" s="1"/>
  <c r="AE46" i="30"/>
  <c r="Y46" i="30"/>
  <c r="S46" i="30"/>
  <c r="V46" i="30" s="1"/>
  <c r="AR45" i="30"/>
  <c r="AM45" i="30"/>
  <c r="AN45" i="30" s="1"/>
  <c r="AV45" i="30" s="1"/>
  <c r="AL45" i="30"/>
  <c r="AW45" i="30" s="1"/>
  <c r="AE45" i="30"/>
  <c r="AU45" i="30" s="1"/>
  <c r="Y45" i="30"/>
  <c r="AQ45" i="30" s="1"/>
  <c r="S45" i="30"/>
  <c r="V45" i="30" s="1"/>
  <c r="AW44" i="30"/>
  <c r="AR44" i="30"/>
  <c r="AR47" i="30" s="1"/>
  <c r="AQ44" i="30"/>
  <c r="AM44" i="30"/>
  <c r="AX44" i="30" s="1"/>
  <c r="AL44" i="30"/>
  <c r="AE44" i="30"/>
  <c r="AE47" i="30" s="1"/>
  <c r="AB44" i="30"/>
  <c r="Y44" i="30"/>
  <c r="Y47" i="30" s="1"/>
  <c r="V44" i="30"/>
  <c r="S44" i="30"/>
  <c r="AK43" i="30"/>
  <c r="AJ43" i="30"/>
  <c r="AI43" i="30"/>
  <c r="AH43" i="30"/>
  <c r="AG43" i="30"/>
  <c r="AD43" i="30"/>
  <c r="AC43" i="30"/>
  <c r="X43" i="30"/>
  <c r="W43" i="30"/>
  <c r="U43" i="30"/>
  <c r="T43" i="30"/>
  <c r="AX42" i="30"/>
  <c r="AW42" i="30"/>
  <c r="AR42" i="30"/>
  <c r="AN42" i="30"/>
  <c r="AV42" i="30" s="1"/>
  <c r="AM42" i="30"/>
  <c r="AL42" i="30"/>
  <c r="AE42" i="30"/>
  <c r="AU42" i="30" s="1"/>
  <c r="AA42" i="30"/>
  <c r="AS42" i="30" s="1"/>
  <c r="Y42" i="30"/>
  <c r="AQ42" i="30" s="1"/>
  <c r="S42" i="30"/>
  <c r="V42" i="30" s="1"/>
  <c r="AB42" i="30" s="1"/>
  <c r="AT42" i="30" s="1"/>
  <c r="AX41" i="30"/>
  <c r="AW41" i="30"/>
  <c r="AU41" i="30"/>
  <c r="AR41" i="30"/>
  <c r="AQ41" i="30"/>
  <c r="AP41" i="30"/>
  <c r="AM41" i="30"/>
  <c r="AL41" i="30"/>
  <c r="AE41" i="30"/>
  <c r="Z41" i="30"/>
  <c r="Y41" i="30"/>
  <c r="V41" i="30"/>
  <c r="AB41" i="30" s="1"/>
  <c r="AT41" i="30" s="1"/>
  <c r="S41" i="30"/>
  <c r="AR40" i="30"/>
  <c r="AM40" i="30"/>
  <c r="AX40" i="30" s="1"/>
  <c r="AL40" i="30"/>
  <c r="AW40" i="30" s="1"/>
  <c r="AE40" i="30"/>
  <c r="AU40" i="30" s="1"/>
  <c r="AA40" i="30"/>
  <c r="AS40" i="30" s="1"/>
  <c r="Y40" i="30"/>
  <c r="AQ40" i="30" s="1"/>
  <c r="V40" i="30"/>
  <c r="AB40" i="30" s="1"/>
  <c r="AT40" i="30" s="1"/>
  <c r="S40" i="30"/>
  <c r="AW39" i="30"/>
  <c r="AU39" i="30"/>
  <c r="AR39" i="30"/>
  <c r="AQ39" i="30"/>
  <c r="AM39" i="30"/>
  <c r="AX39" i="30" s="1"/>
  <c r="AL39" i="30"/>
  <c r="AE39" i="30"/>
  <c r="AB39" i="30"/>
  <c r="AT39" i="30" s="1"/>
  <c r="Z39" i="30"/>
  <c r="Y39" i="30"/>
  <c r="V39" i="30"/>
  <c r="S39" i="30"/>
  <c r="AX38" i="30"/>
  <c r="AW38" i="30"/>
  <c r="AR38" i="30"/>
  <c r="AR43" i="30" s="1"/>
  <c r="AN38" i="30"/>
  <c r="AV38" i="30" s="1"/>
  <c r="AM38" i="30"/>
  <c r="AL38" i="30"/>
  <c r="AE38" i="30"/>
  <c r="AU38" i="30" s="1"/>
  <c r="Y38" i="30"/>
  <c r="AQ38" i="30" s="1"/>
  <c r="S38" i="30"/>
  <c r="V38" i="30" s="1"/>
  <c r="AB38" i="30" s="1"/>
  <c r="AT38" i="30" s="1"/>
  <c r="AX37" i="30"/>
  <c r="AX43" i="30" s="1"/>
  <c r="AU37" i="30"/>
  <c r="AR37" i="30"/>
  <c r="AQ37" i="30"/>
  <c r="AM37" i="30"/>
  <c r="AL37" i="30"/>
  <c r="AN37" i="30" s="1"/>
  <c r="AV37" i="30" s="1"/>
  <c r="AE37" i="30"/>
  <c r="Y37" i="30"/>
  <c r="S37" i="30"/>
  <c r="V37" i="30" s="1"/>
  <c r="AK36" i="30"/>
  <c r="AJ36" i="30"/>
  <c r="AI36" i="30"/>
  <c r="AH36" i="30"/>
  <c r="AG36" i="30"/>
  <c r="AD36" i="30"/>
  <c r="AC36" i="30"/>
  <c r="X36" i="30"/>
  <c r="W36" i="30"/>
  <c r="U36" i="30"/>
  <c r="T36" i="30"/>
  <c r="AR35" i="30"/>
  <c r="AM35" i="30"/>
  <c r="AN35" i="30" s="1"/>
  <c r="AV35" i="30" s="1"/>
  <c r="AL35" i="30"/>
  <c r="AW35" i="30" s="1"/>
  <c r="AE35" i="30"/>
  <c r="AU35" i="30" s="1"/>
  <c r="Y35" i="30"/>
  <c r="AQ35" i="30" s="1"/>
  <c r="S35" i="30"/>
  <c r="V35" i="30" s="1"/>
  <c r="AW34" i="30"/>
  <c r="AR34" i="30"/>
  <c r="AM34" i="30"/>
  <c r="AX34" i="30" s="1"/>
  <c r="AL34" i="30"/>
  <c r="AN34" i="30" s="1"/>
  <c r="AV34" i="30" s="1"/>
  <c r="AE34" i="30"/>
  <c r="AU34" i="30" s="1"/>
  <c r="Y34" i="30"/>
  <c r="AQ34" i="30" s="1"/>
  <c r="S34" i="30"/>
  <c r="V34" i="30" s="1"/>
  <c r="AX33" i="30"/>
  <c r="AU33" i="30"/>
  <c r="AR33" i="30"/>
  <c r="AQ33" i="30"/>
  <c r="AM33" i="30"/>
  <c r="AL33" i="30"/>
  <c r="AW33" i="30" s="1"/>
  <c r="AE33" i="30"/>
  <c r="Y33" i="30"/>
  <c r="S33" i="30"/>
  <c r="S36" i="30" s="1"/>
  <c r="AU32" i="30"/>
  <c r="AR32" i="30"/>
  <c r="AQ32" i="30"/>
  <c r="AM32" i="30"/>
  <c r="AM105" i="30" s="1"/>
  <c r="AL32" i="30"/>
  <c r="AW32" i="30" s="1"/>
  <c r="AE32" i="30"/>
  <c r="AE105" i="30" s="1"/>
  <c r="Y32" i="30"/>
  <c r="Y105" i="30" s="1"/>
  <c r="V32" i="30"/>
  <c r="Z32" i="30" s="1"/>
  <c r="S32" i="30"/>
  <c r="S105" i="30" s="1"/>
  <c r="AW31" i="30"/>
  <c r="AR31" i="30"/>
  <c r="AR36" i="30" s="1"/>
  <c r="AN31" i="30"/>
  <c r="AV31" i="30" s="1"/>
  <c r="AM31" i="30"/>
  <c r="AX31" i="30" s="1"/>
  <c r="AL31" i="30"/>
  <c r="AE31" i="30"/>
  <c r="AU31" i="30" s="1"/>
  <c r="Y31" i="30"/>
  <c r="Y36" i="30" s="1"/>
  <c r="V31" i="30"/>
  <c r="AB31" i="30" s="1"/>
  <c r="S31" i="30"/>
  <c r="AK30" i="30"/>
  <c r="AJ30" i="30"/>
  <c r="AI30" i="30"/>
  <c r="AH30" i="30"/>
  <c r="AG30" i="30"/>
  <c r="AD30" i="30"/>
  <c r="AC30" i="30"/>
  <c r="Y30" i="30"/>
  <c r="X30" i="30"/>
  <c r="W30" i="30"/>
  <c r="U30" i="30"/>
  <c r="T30" i="30"/>
  <c r="AX29" i="30"/>
  <c r="AX110" i="30" s="1"/>
  <c r="AW29" i="30"/>
  <c r="AW110" i="30" s="1"/>
  <c r="AR29" i="30"/>
  <c r="AR110" i="30" s="1"/>
  <c r="AM29" i="30"/>
  <c r="AM110" i="30" s="1"/>
  <c r="AL29" i="30"/>
  <c r="AL110" i="30" s="1"/>
  <c r="AE29" i="30"/>
  <c r="AE110" i="30" s="1"/>
  <c r="Y29" i="30"/>
  <c r="Y110" i="30" s="1"/>
  <c r="S29" i="30"/>
  <c r="S110" i="30" s="1"/>
  <c r="AK28" i="30"/>
  <c r="AJ28" i="30"/>
  <c r="AI28" i="30"/>
  <c r="AH28" i="30"/>
  <c r="AG28" i="30"/>
  <c r="AD28" i="30"/>
  <c r="AC28" i="30"/>
  <c r="X28" i="30"/>
  <c r="W28" i="30"/>
  <c r="U28" i="30"/>
  <c r="T28" i="30"/>
  <c r="AX27" i="30"/>
  <c r="AU27" i="30"/>
  <c r="AR27" i="30"/>
  <c r="AQ27" i="30"/>
  <c r="AM27" i="30"/>
  <c r="AL27" i="30"/>
  <c r="AE27" i="30"/>
  <c r="Y27" i="30"/>
  <c r="S27" i="30"/>
  <c r="V27" i="30" s="1"/>
  <c r="AU26" i="30"/>
  <c r="AR26" i="30"/>
  <c r="AQ26" i="30"/>
  <c r="AM26" i="30"/>
  <c r="AL26" i="30"/>
  <c r="AW26" i="30" s="1"/>
  <c r="AE26" i="30"/>
  <c r="Y26" i="30"/>
  <c r="V26" i="30"/>
  <c r="AB26" i="30" s="1"/>
  <c r="AT26" i="30" s="1"/>
  <c r="S26" i="30"/>
  <c r="AW25" i="30"/>
  <c r="AV25" i="30"/>
  <c r="AR25" i="30"/>
  <c r="AN25" i="30"/>
  <c r="AM25" i="30"/>
  <c r="AX25" i="30" s="1"/>
  <c r="AL25" i="30"/>
  <c r="AE25" i="30"/>
  <c r="Y25" i="30"/>
  <c r="V25" i="30"/>
  <c r="AB25" i="30" s="1"/>
  <c r="AT25" i="30" s="1"/>
  <c r="S25" i="30"/>
  <c r="AX24" i="30"/>
  <c r="AW24" i="30"/>
  <c r="AR24" i="30"/>
  <c r="AM24" i="30"/>
  <c r="AL24" i="30"/>
  <c r="AN24" i="30" s="1"/>
  <c r="AE24" i="30"/>
  <c r="AU24" i="30" s="1"/>
  <c r="Y24" i="30"/>
  <c r="S24" i="30"/>
  <c r="V24" i="30" s="1"/>
  <c r="AK23" i="30"/>
  <c r="AJ23" i="30"/>
  <c r="AI23" i="30"/>
  <c r="AH23" i="30"/>
  <c r="AG23" i="30"/>
  <c r="AD23" i="30"/>
  <c r="AC23" i="30"/>
  <c r="X23" i="30"/>
  <c r="W23" i="30"/>
  <c r="U23" i="30"/>
  <c r="T23" i="30"/>
  <c r="AX22" i="30"/>
  <c r="AU22" i="30"/>
  <c r="AR22" i="30"/>
  <c r="AQ22" i="30"/>
  <c r="AM22" i="30"/>
  <c r="AL22" i="30"/>
  <c r="AE22" i="30"/>
  <c r="Y22" i="30"/>
  <c r="S22" i="30"/>
  <c r="V22" i="30" s="1"/>
  <c r="AP22" i="30" s="1"/>
  <c r="AU21" i="30"/>
  <c r="AR21" i="30"/>
  <c r="AQ21" i="30"/>
  <c r="AM21" i="30"/>
  <c r="AL21" i="30"/>
  <c r="AW21" i="30" s="1"/>
  <c r="AE21" i="30"/>
  <c r="AB21" i="30"/>
  <c r="AT21" i="30" s="1"/>
  <c r="Y21" i="30"/>
  <c r="V21" i="30"/>
  <c r="S21" i="30"/>
  <c r="AW20" i="30"/>
  <c r="AV20" i="30"/>
  <c r="AR20" i="30"/>
  <c r="AN20" i="30"/>
  <c r="AM20" i="30"/>
  <c r="AX20" i="30" s="1"/>
  <c r="AL20" i="30"/>
  <c r="AE20" i="30"/>
  <c r="Y20" i="30"/>
  <c r="V20" i="30"/>
  <c r="AP20" i="30" s="1"/>
  <c r="S20" i="30"/>
  <c r="AX19" i="30"/>
  <c r="AW19" i="30"/>
  <c r="AR19" i="30"/>
  <c r="AM19" i="30"/>
  <c r="AL19" i="30"/>
  <c r="AN19" i="30" s="1"/>
  <c r="AV19" i="30" s="1"/>
  <c r="AE19" i="30"/>
  <c r="AU19" i="30" s="1"/>
  <c r="Y19" i="30"/>
  <c r="Y23" i="30" s="1"/>
  <c r="S19" i="30"/>
  <c r="V19" i="30" s="1"/>
  <c r="Z19" i="30" s="1"/>
  <c r="AX18" i="30"/>
  <c r="AU18" i="30"/>
  <c r="AR18" i="30"/>
  <c r="AQ18" i="30"/>
  <c r="AM18" i="30"/>
  <c r="AL18" i="30"/>
  <c r="AL23" i="30" s="1"/>
  <c r="AE18" i="30"/>
  <c r="Y18" i="30"/>
  <c r="S18" i="30"/>
  <c r="AU17" i="30"/>
  <c r="AM17" i="30"/>
  <c r="AK17" i="30"/>
  <c r="AJ17" i="30"/>
  <c r="AI17" i="30"/>
  <c r="AH17" i="30"/>
  <c r="AG17" i="30"/>
  <c r="AE17" i="30"/>
  <c r="AD17" i="30"/>
  <c r="AC17" i="30"/>
  <c r="X17" i="30"/>
  <c r="W17" i="30"/>
  <c r="U17" i="30"/>
  <c r="T17" i="30"/>
  <c r="S17" i="30"/>
  <c r="AU16" i="30"/>
  <c r="AU111" i="30" s="1"/>
  <c r="AR16" i="30"/>
  <c r="AR111" i="30" s="1"/>
  <c r="AQ16" i="30"/>
  <c r="AQ111" i="30" s="1"/>
  <c r="AM16" i="30"/>
  <c r="AL16" i="30"/>
  <c r="AL111" i="30" s="1"/>
  <c r="AE16" i="30"/>
  <c r="AE111" i="30" s="1"/>
  <c r="AB16" i="30"/>
  <c r="Y16" i="30"/>
  <c r="Y111" i="30" s="1"/>
  <c r="V16" i="30"/>
  <c r="S16" i="30"/>
  <c r="S111" i="30" s="1"/>
  <c r="AK15" i="30"/>
  <c r="AJ15" i="30"/>
  <c r="AJ98" i="30" s="1"/>
  <c r="AI15" i="30"/>
  <c r="AH15" i="30"/>
  <c r="AG15" i="30"/>
  <c r="AD15" i="30"/>
  <c r="AC15" i="30"/>
  <c r="X15" i="30"/>
  <c r="X98" i="30" s="1"/>
  <c r="W15" i="30"/>
  <c r="U15" i="30"/>
  <c r="U98" i="30" s="1"/>
  <c r="N16" i="45" s="1"/>
  <c r="T15" i="30"/>
  <c r="AW14" i="30"/>
  <c r="AR14" i="30"/>
  <c r="AN14" i="30"/>
  <c r="AM14" i="30"/>
  <c r="AX14" i="30" s="1"/>
  <c r="AL14" i="30"/>
  <c r="AE14" i="30"/>
  <c r="Y14" i="30"/>
  <c r="V14" i="30"/>
  <c r="AP14" i="30" s="1"/>
  <c r="S14" i="30"/>
  <c r="AX13" i="30"/>
  <c r="AW13" i="30"/>
  <c r="AR13" i="30"/>
  <c r="AM13" i="30"/>
  <c r="AL13" i="30"/>
  <c r="AN13" i="30" s="1"/>
  <c r="AV13" i="30" s="1"/>
  <c r="AE13" i="30"/>
  <c r="AE15" i="30" s="1"/>
  <c r="Z13" i="30"/>
  <c r="Y13" i="30"/>
  <c r="AQ13" i="30" s="1"/>
  <c r="S13" i="30"/>
  <c r="V13" i="30" s="1"/>
  <c r="AX12" i="30"/>
  <c r="AU12" i="30"/>
  <c r="AR12" i="30"/>
  <c r="AR15" i="30" s="1"/>
  <c r="AQ12" i="30"/>
  <c r="AM12" i="30"/>
  <c r="AL12" i="30"/>
  <c r="AE12" i="30"/>
  <c r="Y12" i="30"/>
  <c r="S12" i="30"/>
  <c r="AK196" i="29"/>
  <c r="AJ196" i="29"/>
  <c r="AI196" i="29"/>
  <c r="AH196" i="29"/>
  <c r="AG196" i="29"/>
  <c r="AD196" i="29"/>
  <c r="AC196" i="29"/>
  <c r="X196" i="29"/>
  <c r="W196" i="29"/>
  <c r="U196" i="29"/>
  <c r="T196" i="29"/>
  <c r="R196" i="29"/>
  <c r="Q196" i="29"/>
  <c r="P196" i="29"/>
  <c r="O196" i="29"/>
  <c r="N196" i="29"/>
  <c r="M196" i="29"/>
  <c r="L196" i="29"/>
  <c r="K196" i="29"/>
  <c r="J196" i="29"/>
  <c r="I196" i="29"/>
  <c r="AK195" i="29"/>
  <c r="AJ195" i="29"/>
  <c r="AI195" i="29"/>
  <c r="AH195" i="29"/>
  <c r="AG195" i="29"/>
  <c r="AD195" i="29"/>
  <c r="AC195" i="29"/>
  <c r="X195" i="29"/>
  <c r="W195" i="29"/>
  <c r="U195" i="29"/>
  <c r="T195" i="29"/>
  <c r="R195" i="29"/>
  <c r="Q195" i="29"/>
  <c r="P195" i="29"/>
  <c r="O195" i="29"/>
  <c r="N195" i="29"/>
  <c r="M195" i="29"/>
  <c r="L195" i="29"/>
  <c r="K195" i="29"/>
  <c r="J195" i="29"/>
  <c r="I195" i="29"/>
  <c r="AK194" i="29"/>
  <c r="AJ194" i="29"/>
  <c r="AI194" i="29"/>
  <c r="AH194" i="29"/>
  <c r="AG194" i="29"/>
  <c r="AD194" i="29"/>
  <c r="AC194" i="29"/>
  <c r="X194" i="29"/>
  <c r="W194" i="29"/>
  <c r="U194" i="29"/>
  <c r="T194" i="29"/>
  <c r="R194" i="29"/>
  <c r="Q194" i="29"/>
  <c r="P194" i="29"/>
  <c r="O194" i="29"/>
  <c r="N194" i="29"/>
  <c r="M194" i="29"/>
  <c r="L194" i="29"/>
  <c r="K194" i="29"/>
  <c r="J194" i="29"/>
  <c r="I194" i="29"/>
  <c r="AK193" i="29"/>
  <c r="AJ193" i="29"/>
  <c r="AI193" i="29"/>
  <c r="AH193" i="29"/>
  <c r="AG193" i="29"/>
  <c r="AD193" i="29"/>
  <c r="AC193" i="29"/>
  <c r="X193" i="29"/>
  <c r="W193" i="29"/>
  <c r="U193" i="29"/>
  <c r="T193" i="29"/>
  <c r="R193" i="29"/>
  <c r="Q193" i="29"/>
  <c r="P193" i="29"/>
  <c r="O193" i="29"/>
  <c r="N193" i="29"/>
  <c r="M193" i="29"/>
  <c r="L193" i="29"/>
  <c r="K193" i="29"/>
  <c r="J193" i="29"/>
  <c r="I193" i="29"/>
  <c r="AX192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X191" i="29"/>
  <c r="AW191" i="29"/>
  <c r="AV191" i="29"/>
  <c r="AU191" i="29"/>
  <c r="AT191" i="29"/>
  <c r="AS191" i="29"/>
  <c r="AR191" i="29"/>
  <c r="AQ191" i="29"/>
  <c r="AP191" i="29"/>
  <c r="AO191" i="29"/>
  <c r="AN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AK190" i="29"/>
  <c r="AJ190" i="29"/>
  <c r="AI190" i="29"/>
  <c r="AH190" i="29"/>
  <c r="AG190" i="29"/>
  <c r="AD190" i="29"/>
  <c r="AC190" i="29"/>
  <c r="X190" i="29"/>
  <c r="W190" i="29"/>
  <c r="U190" i="29"/>
  <c r="T190" i="29"/>
  <c r="R190" i="29"/>
  <c r="Q190" i="29"/>
  <c r="P190" i="29"/>
  <c r="O190" i="29"/>
  <c r="N190" i="29"/>
  <c r="M190" i="29"/>
  <c r="L190" i="29"/>
  <c r="K190" i="29"/>
  <c r="J190" i="29"/>
  <c r="I190" i="29"/>
  <c r="AX189" i="29"/>
  <c r="AW189" i="29"/>
  <c r="AV189" i="29"/>
  <c r="AU189" i="29"/>
  <c r="AT189" i="29"/>
  <c r="AS189" i="29"/>
  <c r="AR189" i="29"/>
  <c r="AQ189" i="29"/>
  <c r="AP189" i="29"/>
  <c r="AO189" i="29"/>
  <c r="AN189" i="29"/>
  <c r="AM189" i="29"/>
  <c r="AL189" i="29"/>
  <c r="AK189" i="29"/>
  <c r="AJ189" i="29"/>
  <c r="AI189" i="29"/>
  <c r="AH189" i="29"/>
  <c r="AG189" i="29"/>
  <c r="AF189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AK188" i="29"/>
  <c r="AJ188" i="29"/>
  <c r="AI188" i="29"/>
  <c r="AH188" i="29"/>
  <c r="AG188" i="29"/>
  <c r="AD188" i="29"/>
  <c r="AC188" i="29"/>
  <c r="X188" i="29"/>
  <c r="W188" i="29"/>
  <c r="U188" i="29"/>
  <c r="T188" i="29"/>
  <c r="R188" i="29"/>
  <c r="Q188" i="29"/>
  <c r="P188" i="29"/>
  <c r="O188" i="29"/>
  <c r="N188" i="29"/>
  <c r="M188" i="29"/>
  <c r="L188" i="29"/>
  <c r="K188" i="29"/>
  <c r="J188" i="29"/>
  <c r="I188" i="29"/>
  <c r="AK187" i="29"/>
  <c r="AJ187" i="29"/>
  <c r="AI187" i="29"/>
  <c r="AH187" i="29"/>
  <c r="AG187" i="29"/>
  <c r="AD187" i="29"/>
  <c r="AC187" i="29"/>
  <c r="X187" i="29"/>
  <c r="W187" i="29"/>
  <c r="U187" i="29"/>
  <c r="T187" i="29"/>
  <c r="R187" i="29"/>
  <c r="Q187" i="29"/>
  <c r="P187" i="29"/>
  <c r="O187" i="29"/>
  <c r="N187" i="29"/>
  <c r="M187" i="29"/>
  <c r="L187" i="29"/>
  <c r="K187" i="29"/>
  <c r="J187" i="29"/>
  <c r="I187" i="29"/>
  <c r="R183" i="29"/>
  <c r="K15" i="45" s="1"/>
  <c r="Q183" i="29"/>
  <c r="P183" i="29"/>
  <c r="I15" i="45" s="1"/>
  <c r="O183" i="29"/>
  <c r="H15" i="45" s="1"/>
  <c r="N183" i="29"/>
  <c r="G15" i="45" s="1"/>
  <c r="M183" i="29"/>
  <c r="F15" i="45" s="1"/>
  <c r="L183" i="29"/>
  <c r="E15" i="45" s="1"/>
  <c r="K183" i="29"/>
  <c r="D15" i="45" s="1"/>
  <c r="J183" i="29"/>
  <c r="I183" i="29"/>
  <c r="B15" i="45" s="1"/>
  <c r="AK182" i="29"/>
  <c r="AJ182" i="29"/>
  <c r="AI182" i="29"/>
  <c r="AH182" i="29"/>
  <c r="AG182" i="29"/>
  <c r="AD182" i="29"/>
  <c r="AC182" i="29"/>
  <c r="X182" i="29"/>
  <c r="W182" i="29"/>
  <c r="U182" i="29"/>
  <c r="T182" i="29"/>
  <c r="AW181" i="29"/>
  <c r="AR181" i="29"/>
  <c r="AM181" i="29"/>
  <c r="AX181" i="29" s="1"/>
  <c r="AL181" i="29"/>
  <c r="AN181" i="29" s="1"/>
  <c r="AV181" i="29" s="1"/>
  <c r="AE181" i="29"/>
  <c r="AU181" i="29" s="1"/>
  <c r="Y181" i="29"/>
  <c r="AQ181" i="29" s="1"/>
  <c r="S181" i="29"/>
  <c r="V181" i="29" s="1"/>
  <c r="AB181" i="29" s="1"/>
  <c r="AT181" i="29" s="1"/>
  <c r="AW180" i="29"/>
  <c r="AR180" i="29"/>
  <c r="AM180" i="29"/>
  <c r="AX180" i="29" s="1"/>
  <c r="AL180" i="29"/>
  <c r="AE180" i="29"/>
  <c r="AU180" i="29" s="1"/>
  <c r="Y180" i="29"/>
  <c r="AQ180" i="29" s="1"/>
  <c r="S180" i="29"/>
  <c r="V180" i="29" s="1"/>
  <c r="AR179" i="29"/>
  <c r="AM179" i="29"/>
  <c r="AX179" i="29" s="1"/>
  <c r="AL179" i="29"/>
  <c r="AE179" i="29"/>
  <c r="AU179" i="29" s="1"/>
  <c r="Y179" i="29"/>
  <c r="AQ179" i="29" s="1"/>
  <c r="S179" i="29"/>
  <c r="V179" i="29" s="1"/>
  <c r="AU178" i="29"/>
  <c r="AR178" i="29"/>
  <c r="AM178" i="29"/>
  <c r="AX178" i="29" s="1"/>
  <c r="AL178" i="29"/>
  <c r="AW178" i="29" s="1"/>
  <c r="AE178" i="29"/>
  <c r="Y178" i="29"/>
  <c r="AQ178" i="29" s="1"/>
  <c r="V178" i="29"/>
  <c r="AB178" i="29" s="1"/>
  <c r="AT178" i="29" s="1"/>
  <c r="S178" i="29"/>
  <c r="AR177" i="29"/>
  <c r="AM177" i="29"/>
  <c r="AX177" i="29" s="1"/>
  <c r="AL177" i="29"/>
  <c r="AW177" i="29" s="1"/>
  <c r="AE177" i="29"/>
  <c r="AU177" i="29" s="1"/>
  <c r="Y177" i="29"/>
  <c r="AQ177" i="29" s="1"/>
  <c r="S177" i="29"/>
  <c r="V177" i="29" s="1"/>
  <c r="AB177" i="29" s="1"/>
  <c r="AT177" i="29" s="1"/>
  <c r="AR176" i="29"/>
  <c r="AM176" i="29"/>
  <c r="AL176" i="29"/>
  <c r="AN176" i="29" s="1"/>
  <c r="AV176" i="29" s="1"/>
  <c r="AE176" i="29"/>
  <c r="Y176" i="29"/>
  <c r="S176" i="29"/>
  <c r="V176" i="29" s="1"/>
  <c r="AB176" i="29" s="1"/>
  <c r="AK175" i="29"/>
  <c r="AJ175" i="29"/>
  <c r="AI175" i="29"/>
  <c r="AH175" i="29"/>
  <c r="AG175" i="29"/>
  <c r="AD175" i="29"/>
  <c r="AC175" i="29"/>
  <c r="X175" i="29"/>
  <c r="W175" i="29"/>
  <c r="U175" i="29"/>
  <c r="T175" i="29"/>
  <c r="AX174" i="29"/>
  <c r="AR174" i="29"/>
  <c r="AM174" i="29"/>
  <c r="AL174" i="29"/>
  <c r="AE174" i="29"/>
  <c r="AU174" i="29" s="1"/>
  <c r="Y174" i="29"/>
  <c r="AQ174" i="29" s="1"/>
  <c r="S174" i="29"/>
  <c r="V174" i="29" s="1"/>
  <c r="AA174" i="29" s="1"/>
  <c r="AS174" i="29" s="1"/>
  <c r="AR173" i="29"/>
  <c r="AM173" i="29"/>
  <c r="AX173" i="29" s="1"/>
  <c r="AL173" i="29"/>
  <c r="AE173" i="29"/>
  <c r="AU173" i="29" s="1"/>
  <c r="Y173" i="29"/>
  <c r="AQ173" i="29" s="1"/>
  <c r="S173" i="29"/>
  <c r="V173" i="29" s="1"/>
  <c r="AA173" i="29" s="1"/>
  <c r="AS173" i="29" s="1"/>
  <c r="AR172" i="29"/>
  <c r="AM172" i="29"/>
  <c r="AL172" i="29"/>
  <c r="AW172" i="29" s="1"/>
  <c r="AE172" i="29"/>
  <c r="AU172" i="29" s="1"/>
  <c r="Y172" i="29"/>
  <c r="AQ172" i="29" s="1"/>
  <c r="S172" i="29"/>
  <c r="V172" i="29" s="1"/>
  <c r="AR171" i="29"/>
  <c r="AM171" i="29"/>
  <c r="AX171" i="29" s="1"/>
  <c r="AL171" i="29"/>
  <c r="AE171" i="29"/>
  <c r="AU171" i="29" s="1"/>
  <c r="Y171" i="29"/>
  <c r="AQ171" i="29" s="1"/>
  <c r="S171" i="29"/>
  <c r="V171" i="29" s="1"/>
  <c r="AR170" i="29"/>
  <c r="AM170" i="29"/>
  <c r="AL170" i="29"/>
  <c r="AW170" i="29" s="1"/>
  <c r="AE170" i="29"/>
  <c r="Y170" i="29"/>
  <c r="AQ170" i="29" s="1"/>
  <c r="S170" i="29"/>
  <c r="AK169" i="29"/>
  <c r="AJ169" i="29"/>
  <c r="AI169" i="29"/>
  <c r="AH169" i="29"/>
  <c r="AG169" i="29"/>
  <c r="AD169" i="29"/>
  <c r="AC169" i="29"/>
  <c r="X169" i="29"/>
  <c r="W169" i="29"/>
  <c r="U169" i="29"/>
  <c r="T169" i="29"/>
  <c r="AR168" i="29"/>
  <c r="AM168" i="29"/>
  <c r="AM169" i="29" s="1"/>
  <c r="AL168" i="29"/>
  <c r="AW168" i="29" s="1"/>
  <c r="AE168" i="29"/>
  <c r="Y168" i="29"/>
  <c r="AQ168" i="29" s="1"/>
  <c r="S168" i="29"/>
  <c r="V168" i="29" s="1"/>
  <c r="AR167" i="29"/>
  <c r="AM167" i="29"/>
  <c r="AX167" i="29" s="1"/>
  <c r="AL167" i="29"/>
  <c r="AW167" i="29" s="1"/>
  <c r="AE167" i="29"/>
  <c r="AU167" i="29" s="1"/>
  <c r="Y167" i="29"/>
  <c r="S167" i="29"/>
  <c r="AK166" i="29"/>
  <c r="AJ166" i="29"/>
  <c r="AI166" i="29"/>
  <c r="AH166" i="29"/>
  <c r="AG166" i="29"/>
  <c r="AD166" i="29"/>
  <c r="AC166" i="29"/>
  <c r="X166" i="29"/>
  <c r="W166" i="29"/>
  <c r="U166" i="29"/>
  <c r="T166" i="29"/>
  <c r="AR165" i="29"/>
  <c r="AM165" i="29"/>
  <c r="AL165" i="29"/>
  <c r="AW165" i="29" s="1"/>
  <c r="AE165" i="29"/>
  <c r="AU165" i="29" s="1"/>
  <c r="Y165" i="29"/>
  <c r="AQ165" i="29" s="1"/>
  <c r="S165" i="29"/>
  <c r="V165" i="29" s="1"/>
  <c r="AR164" i="29"/>
  <c r="AM164" i="29"/>
  <c r="AX164" i="29" s="1"/>
  <c r="AL164" i="29"/>
  <c r="AE164" i="29"/>
  <c r="AU164" i="29" s="1"/>
  <c r="Y164" i="29"/>
  <c r="AQ164" i="29" s="1"/>
  <c r="S164" i="29"/>
  <c r="V164" i="29" s="1"/>
  <c r="AP164" i="29" s="1"/>
  <c r="AW163" i="29"/>
  <c r="AR163" i="29"/>
  <c r="AP163" i="29"/>
  <c r="AM163" i="29"/>
  <c r="AX163" i="29" s="1"/>
  <c r="AL163" i="29"/>
  <c r="AE163" i="29"/>
  <c r="AU163" i="29" s="1"/>
  <c r="AB163" i="29"/>
  <c r="AT163" i="29" s="1"/>
  <c r="Y163" i="29"/>
  <c r="AQ163" i="29" s="1"/>
  <c r="S163" i="29"/>
  <c r="V163" i="29" s="1"/>
  <c r="AR162" i="29"/>
  <c r="AM162" i="29"/>
  <c r="AX162" i="29" s="1"/>
  <c r="AL162" i="29"/>
  <c r="AE162" i="29"/>
  <c r="AU162" i="29" s="1"/>
  <c r="AA162" i="29"/>
  <c r="AS162" i="29" s="1"/>
  <c r="Y162" i="29"/>
  <c r="AQ162" i="29" s="1"/>
  <c r="S162" i="29"/>
  <c r="V162" i="29" s="1"/>
  <c r="AB162" i="29" s="1"/>
  <c r="AT162" i="29" s="1"/>
  <c r="AR161" i="29"/>
  <c r="AM161" i="29"/>
  <c r="AL161" i="29"/>
  <c r="AW161" i="29" s="1"/>
  <c r="AE161" i="29"/>
  <c r="Y161" i="29"/>
  <c r="S161" i="29"/>
  <c r="V161" i="29" s="1"/>
  <c r="AR160" i="29"/>
  <c r="AM160" i="29"/>
  <c r="AX160" i="29" s="1"/>
  <c r="AL160" i="29"/>
  <c r="AW160" i="29" s="1"/>
  <c r="AE160" i="29"/>
  <c r="AU160" i="29" s="1"/>
  <c r="Y160" i="29"/>
  <c r="S160" i="29"/>
  <c r="V160" i="29" s="1"/>
  <c r="AP160" i="29" s="1"/>
  <c r="AK159" i="29"/>
  <c r="AJ159" i="29"/>
  <c r="AI159" i="29"/>
  <c r="AH159" i="29"/>
  <c r="AG159" i="29"/>
  <c r="AD159" i="29"/>
  <c r="AC159" i="29"/>
  <c r="X159" i="29"/>
  <c r="W159" i="29"/>
  <c r="U159" i="29"/>
  <c r="T159" i="29"/>
  <c r="AR158" i="29"/>
  <c r="AM158" i="29"/>
  <c r="AX158" i="29" s="1"/>
  <c r="AL158" i="29"/>
  <c r="AW158" i="29" s="1"/>
  <c r="AE158" i="29"/>
  <c r="AU158" i="29" s="1"/>
  <c r="Y158" i="29"/>
  <c r="AQ158" i="29" s="1"/>
  <c r="S158" i="29"/>
  <c r="V158" i="29" s="1"/>
  <c r="AR157" i="29"/>
  <c r="AR159" i="29" s="1"/>
  <c r="AM157" i="29"/>
  <c r="AL157" i="29"/>
  <c r="AW157" i="29" s="1"/>
  <c r="AE157" i="29"/>
  <c r="Y157" i="29"/>
  <c r="AQ157" i="29" s="1"/>
  <c r="S157" i="29"/>
  <c r="AK156" i="29"/>
  <c r="AJ156" i="29"/>
  <c r="AI156" i="29"/>
  <c r="AH156" i="29"/>
  <c r="AG156" i="29"/>
  <c r="AD156" i="29"/>
  <c r="AC156" i="29"/>
  <c r="X156" i="29"/>
  <c r="W156" i="29"/>
  <c r="U156" i="29"/>
  <c r="T156" i="29"/>
  <c r="AR155" i="29"/>
  <c r="AM155" i="29"/>
  <c r="AL155" i="29"/>
  <c r="AW155" i="29" s="1"/>
  <c r="AE155" i="29"/>
  <c r="AU155" i="29" s="1"/>
  <c r="Y155" i="29"/>
  <c r="AQ155" i="29" s="1"/>
  <c r="S155" i="29"/>
  <c r="V155" i="29" s="1"/>
  <c r="Z155" i="29" s="1"/>
  <c r="AR154" i="29"/>
  <c r="AM154" i="29"/>
  <c r="AX154" i="29" s="1"/>
  <c r="AL154" i="29"/>
  <c r="AW154" i="29" s="1"/>
  <c r="AE154" i="29"/>
  <c r="Y154" i="29"/>
  <c r="AQ154" i="29" s="1"/>
  <c r="S154" i="29"/>
  <c r="V154" i="29" s="1"/>
  <c r="AR153" i="29"/>
  <c r="AM153" i="29"/>
  <c r="AX153" i="29" s="1"/>
  <c r="AL153" i="29"/>
  <c r="AE153" i="29"/>
  <c r="AU153" i="29" s="1"/>
  <c r="Y153" i="29"/>
  <c r="AQ153" i="29" s="1"/>
  <c r="S153" i="29"/>
  <c r="V153" i="29" s="1"/>
  <c r="AA153" i="29" s="1"/>
  <c r="AS153" i="29" s="1"/>
  <c r="AR152" i="29"/>
  <c r="AM152" i="29"/>
  <c r="AL152" i="29"/>
  <c r="AE152" i="29"/>
  <c r="AU152" i="29" s="1"/>
  <c r="Y152" i="29"/>
  <c r="S152" i="29"/>
  <c r="AK151" i="29"/>
  <c r="AJ151" i="29"/>
  <c r="AI151" i="29"/>
  <c r="AH151" i="29"/>
  <c r="AG151" i="29"/>
  <c r="AD151" i="29"/>
  <c r="AC151" i="29"/>
  <c r="X151" i="29"/>
  <c r="W151" i="29"/>
  <c r="U151" i="29"/>
  <c r="T151" i="29"/>
  <c r="AR150" i="29"/>
  <c r="AM150" i="29"/>
  <c r="AX150" i="29" s="1"/>
  <c r="AL150" i="29"/>
  <c r="AW150" i="29" s="1"/>
  <c r="AE150" i="29"/>
  <c r="AU150" i="29" s="1"/>
  <c r="Y150" i="29"/>
  <c r="S150" i="29"/>
  <c r="V150" i="29" s="1"/>
  <c r="AR149" i="29"/>
  <c r="AM149" i="29"/>
  <c r="AX149" i="29" s="1"/>
  <c r="AL149" i="29"/>
  <c r="AN149" i="29" s="1"/>
  <c r="AV149" i="29" s="1"/>
  <c r="AE149" i="29"/>
  <c r="Y149" i="29"/>
  <c r="AQ149" i="29" s="1"/>
  <c r="S149" i="29"/>
  <c r="V149" i="29" s="1"/>
  <c r="AR148" i="29"/>
  <c r="AM148" i="29"/>
  <c r="AX148" i="29" s="1"/>
  <c r="AL148" i="29"/>
  <c r="AW148" i="29" s="1"/>
  <c r="AE148" i="29"/>
  <c r="AU148" i="29" s="1"/>
  <c r="Y148" i="29"/>
  <c r="AQ148" i="29" s="1"/>
  <c r="V148" i="29"/>
  <c r="AP148" i="29" s="1"/>
  <c r="S148" i="29"/>
  <c r="AK147" i="29"/>
  <c r="AJ147" i="29"/>
  <c r="AI147" i="29"/>
  <c r="AH147" i="29"/>
  <c r="AG147" i="29"/>
  <c r="AD147" i="29"/>
  <c r="AC147" i="29"/>
  <c r="X147" i="29"/>
  <c r="W147" i="29"/>
  <c r="U147" i="29"/>
  <c r="T147" i="29"/>
  <c r="AR146" i="29"/>
  <c r="AM146" i="29"/>
  <c r="AX146" i="29" s="1"/>
  <c r="AL146" i="29"/>
  <c r="AE146" i="29"/>
  <c r="AU146" i="29" s="1"/>
  <c r="Y146" i="29"/>
  <c r="AQ146" i="29" s="1"/>
  <c r="S146" i="29"/>
  <c r="V146" i="29" s="1"/>
  <c r="AB146" i="29" s="1"/>
  <c r="AT146" i="29" s="1"/>
  <c r="AR145" i="29"/>
  <c r="AQ145" i="29"/>
  <c r="AM145" i="29"/>
  <c r="AL145" i="29"/>
  <c r="AW145" i="29" s="1"/>
  <c r="AE145" i="29"/>
  <c r="AU145" i="29" s="1"/>
  <c r="Y145" i="29"/>
  <c r="S145" i="29"/>
  <c r="V145" i="29" s="1"/>
  <c r="AX144" i="29"/>
  <c r="AR144" i="29"/>
  <c r="AM144" i="29"/>
  <c r="AL144" i="29"/>
  <c r="AW144" i="29" s="1"/>
  <c r="AE144" i="29"/>
  <c r="AU144" i="29" s="1"/>
  <c r="Y144" i="29"/>
  <c r="AQ144" i="29" s="1"/>
  <c r="S144" i="29"/>
  <c r="V144" i="29" s="1"/>
  <c r="AR143" i="29"/>
  <c r="AM143" i="29"/>
  <c r="AX143" i="29" s="1"/>
  <c r="AL143" i="29"/>
  <c r="AW143" i="29" s="1"/>
  <c r="AE143" i="29"/>
  <c r="AU143" i="29" s="1"/>
  <c r="Y143" i="29"/>
  <c r="AQ143" i="29" s="1"/>
  <c r="S143" i="29"/>
  <c r="V143" i="29" s="1"/>
  <c r="AR142" i="29"/>
  <c r="AM142" i="29"/>
  <c r="AL142" i="29"/>
  <c r="AW142" i="29" s="1"/>
  <c r="AE142" i="29"/>
  <c r="AU142" i="29" s="1"/>
  <c r="Y142" i="29"/>
  <c r="AQ142" i="29" s="1"/>
  <c r="S142" i="29"/>
  <c r="V142" i="29" s="1"/>
  <c r="AB142" i="29" s="1"/>
  <c r="AT142" i="29" s="1"/>
  <c r="AR141" i="29"/>
  <c r="AM141" i="29"/>
  <c r="AN141" i="29" s="1"/>
  <c r="AL141" i="29"/>
  <c r="AW141" i="29" s="1"/>
  <c r="AE141" i="29"/>
  <c r="Y141" i="29"/>
  <c r="S141" i="29"/>
  <c r="V141" i="29" s="1"/>
  <c r="AK140" i="29"/>
  <c r="AJ140" i="29"/>
  <c r="AI140" i="29"/>
  <c r="AH140" i="29"/>
  <c r="AG140" i="29"/>
  <c r="AD140" i="29"/>
  <c r="AC140" i="29"/>
  <c r="X140" i="29"/>
  <c r="W140" i="29"/>
  <c r="U140" i="29"/>
  <c r="T140" i="29"/>
  <c r="AR139" i="29"/>
  <c r="AM139" i="29"/>
  <c r="AX139" i="29" s="1"/>
  <c r="AL139" i="29"/>
  <c r="AW139" i="29" s="1"/>
  <c r="AE139" i="29"/>
  <c r="AU139" i="29" s="1"/>
  <c r="Y139" i="29"/>
  <c r="AQ139" i="29" s="1"/>
  <c r="S139" i="29"/>
  <c r="V139" i="29" s="1"/>
  <c r="AB139" i="29" s="1"/>
  <c r="AT139" i="29" s="1"/>
  <c r="AW138" i="29"/>
  <c r="AR138" i="29"/>
  <c r="AM138" i="29"/>
  <c r="AX138" i="29" s="1"/>
  <c r="AL138" i="29"/>
  <c r="AN138" i="29" s="1"/>
  <c r="AV138" i="29" s="1"/>
  <c r="AE138" i="29"/>
  <c r="AU138" i="29" s="1"/>
  <c r="Y138" i="29"/>
  <c r="AQ138" i="29" s="1"/>
  <c r="S138" i="29"/>
  <c r="V138" i="29" s="1"/>
  <c r="AR137" i="29"/>
  <c r="AM137" i="29"/>
  <c r="AX137" i="29" s="1"/>
  <c r="AL137" i="29"/>
  <c r="AE137" i="29"/>
  <c r="AU137" i="29" s="1"/>
  <c r="Y137" i="29"/>
  <c r="AQ137" i="29" s="1"/>
  <c r="S137" i="29"/>
  <c r="V137" i="29" s="1"/>
  <c r="AP137" i="29" s="1"/>
  <c r="AR136" i="29"/>
  <c r="AM136" i="29"/>
  <c r="AX136" i="29" s="1"/>
  <c r="AL136" i="29"/>
  <c r="AW136" i="29" s="1"/>
  <c r="AE136" i="29"/>
  <c r="AU136" i="29" s="1"/>
  <c r="Y136" i="29"/>
  <c r="AQ136" i="29" s="1"/>
  <c r="S136" i="29"/>
  <c r="V136" i="29" s="1"/>
  <c r="AB136" i="29" s="1"/>
  <c r="AT136" i="29" s="1"/>
  <c r="AR135" i="29"/>
  <c r="AM135" i="29"/>
  <c r="AX135" i="29" s="1"/>
  <c r="AL135" i="29"/>
  <c r="AE135" i="29"/>
  <c r="AU135" i="29" s="1"/>
  <c r="Y135" i="29"/>
  <c r="AQ135" i="29" s="1"/>
  <c r="S135" i="29"/>
  <c r="V135" i="29" s="1"/>
  <c r="AB135" i="29" s="1"/>
  <c r="AT135" i="29" s="1"/>
  <c r="AR134" i="29"/>
  <c r="AN134" i="29"/>
  <c r="AV134" i="29" s="1"/>
  <c r="AM134" i="29"/>
  <c r="AX134" i="29" s="1"/>
  <c r="AL134" i="29"/>
  <c r="AW134" i="29" s="1"/>
  <c r="AE134" i="29"/>
  <c r="AU134" i="29" s="1"/>
  <c r="Y134" i="29"/>
  <c r="AQ134" i="29" s="1"/>
  <c r="S134" i="29"/>
  <c r="V134" i="29" s="1"/>
  <c r="AX133" i="29"/>
  <c r="AR133" i="29"/>
  <c r="AM133" i="29"/>
  <c r="AL133" i="29"/>
  <c r="AE133" i="29"/>
  <c r="AU133" i="29" s="1"/>
  <c r="Y133" i="29"/>
  <c r="AQ133" i="29" s="1"/>
  <c r="S133" i="29"/>
  <c r="AK132" i="29"/>
  <c r="AJ132" i="29"/>
  <c r="AI132" i="29"/>
  <c r="AH132" i="29"/>
  <c r="AG132" i="29"/>
  <c r="AD132" i="29"/>
  <c r="AC132" i="29"/>
  <c r="X132" i="29"/>
  <c r="W132" i="29"/>
  <c r="U132" i="29"/>
  <c r="T132" i="29"/>
  <c r="AR131" i="29"/>
  <c r="AR195" i="29" s="1"/>
  <c r="AM131" i="29"/>
  <c r="AM132" i="29" s="1"/>
  <c r="AL131" i="29"/>
  <c r="AL195" i="29" s="1"/>
  <c r="AE131" i="29"/>
  <c r="AE195" i="29" s="1"/>
  <c r="Y131" i="29"/>
  <c r="S131" i="29"/>
  <c r="S132" i="29" s="1"/>
  <c r="AK130" i="29"/>
  <c r="AJ130" i="29"/>
  <c r="AI130" i="29"/>
  <c r="AH130" i="29"/>
  <c r="AG130" i="29"/>
  <c r="AD130" i="29"/>
  <c r="AC130" i="29"/>
  <c r="X130" i="29"/>
  <c r="W130" i="29"/>
  <c r="U130" i="29"/>
  <c r="T130" i="29"/>
  <c r="AR129" i="29"/>
  <c r="AM129" i="29"/>
  <c r="AL129" i="29"/>
  <c r="AW129" i="29" s="1"/>
  <c r="AE129" i="29"/>
  <c r="AU129" i="29" s="1"/>
  <c r="Y129" i="29"/>
  <c r="AQ129" i="29" s="1"/>
  <c r="V129" i="29"/>
  <c r="AB129" i="29" s="1"/>
  <c r="AT129" i="29" s="1"/>
  <c r="S129" i="29"/>
  <c r="AR128" i="29"/>
  <c r="AM128" i="29"/>
  <c r="AX128" i="29" s="1"/>
  <c r="AL128" i="29"/>
  <c r="AE128" i="29"/>
  <c r="AU128" i="29" s="1"/>
  <c r="Y128" i="29"/>
  <c r="AQ128" i="29" s="1"/>
  <c r="S128" i="29"/>
  <c r="V128" i="29" s="1"/>
  <c r="AX127" i="29"/>
  <c r="AR127" i="29"/>
  <c r="AM127" i="29"/>
  <c r="AL127" i="29"/>
  <c r="AN127" i="29" s="1"/>
  <c r="AV127" i="29" s="1"/>
  <c r="AE127" i="29"/>
  <c r="AU127" i="29" s="1"/>
  <c r="Y127" i="29"/>
  <c r="AQ127" i="29" s="1"/>
  <c r="S127" i="29"/>
  <c r="V127" i="29" s="1"/>
  <c r="AR126" i="29"/>
  <c r="AM126" i="29"/>
  <c r="AX126" i="29" s="1"/>
  <c r="AL126" i="29"/>
  <c r="AE126" i="29"/>
  <c r="AU126" i="29" s="1"/>
  <c r="Y126" i="29"/>
  <c r="AQ126" i="29" s="1"/>
  <c r="S126" i="29"/>
  <c r="V126" i="29" s="1"/>
  <c r="AR125" i="29"/>
  <c r="AM125" i="29"/>
  <c r="AX125" i="29" s="1"/>
  <c r="AL125" i="29"/>
  <c r="AW125" i="29" s="1"/>
  <c r="AE125" i="29"/>
  <c r="AU125" i="29" s="1"/>
  <c r="Y125" i="29"/>
  <c r="AQ125" i="29" s="1"/>
  <c r="S125" i="29"/>
  <c r="V125" i="29" s="1"/>
  <c r="AB125" i="29" s="1"/>
  <c r="AT125" i="29" s="1"/>
  <c r="AK124" i="29"/>
  <c r="AJ124" i="29"/>
  <c r="AI124" i="29"/>
  <c r="AH124" i="29"/>
  <c r="AG124" i="29"/>
  <c r="AD124" i="29"/>
  <c r="AC124" i="29"/>
  <c r="X124" i="29"/>
  <c r="W124" i="29"/>
  <c r="U124" i="29"/>
  <c r="T124" i="29"/>
  <c r="AR123" i="29"/>
  <c r="AM123" i="29"/>
  <c r="AX123" i="29" s="1"/>
  <c r="AL123" i="29"/>
  <c r="AW123" i="29" s="1"/>
  <c r="AE123" i="29"/>
  <c r="AU123" i="29" s="1"/>
  <c r="Y123" i="29"/>
  <c r="AQ123" i="29" s="1"/>
  <c r="S123" i="29"/>
  <c r="V123" i="29" s="1"/>
  <c r="Z123" i="29" s="1"/>
  <c r="AR122" i="29"/>
  <c r="AM122" i="29"/>
  <c r="AX122" i="29" s="1"/>
  <c r="AL122" i="29"/>
  <c r="AW122" i="29" s="1"/>
  <c r="AE122" i="29"/>
  <c r="AU122" i="29" s="1"/>
  <c r="Y122" i="29"/>
  <c r="AQ122" i="29" s="1"/>
  <c r="S122" i="29"/>
  <c r="V122" i="29" s="1"/>
  <c r="AB122" i="29" s="1"/>
  <c r="AT122" i="29" s="1"/>
  <c r="AR121" i="29"/>
  <c r="AM121" i="29"/>
  <c r="AL121" i="29"/>
  <c r="AW121" i="29" s="1"/>
  <c r="AE121" i="29"/>
  <c r="AU121" i="29" s="1"/>
  <c r="Y121" i="29"/>
  <c r="AQ121" i="29" s="1"/>
  <c r="S121" i="29"/>
  <c r="V121" i="29" s="1"/>
  <c r="AP121" i="29" s="1"/>
  <c r="AR120" i="29"/>
  <c r="AM120" i="29"/>
  <c r="AX120" i="29" s="1"/>
  <c r="AL120" i="29"/>
  <c r="AW120" i="29" s="1"/>
  <c r="AE120" i="29"/>
  <c r="AU120" i="29" s="1"/>
  <c r="AB120" i="29"/>
  <c r="AT120" i="29" s="1"/>
  <c r="Y120" i="29"/>
  <c r="AQ120" i="29" s="1"/>
  <c r="S120" i="29"/>
  <c r="V120" i="29" s="1"/>
  <c r="AX119" i="29"/>
  <c r="AW119" i="29"/>
  <c r="AR119" i="29"/>
  <c r="AM119" i="29"/>
  <c r="AL119" i="29"/>
  <c r="AE119" i="29"/>
  <c r="Y119" i="29"/>
  <c r="AQ119" i="29" s="1"/>
  <c r="S119" i="29"/>
  <c r="AK118" i="29"/>
  <c r="AJ118" i="29"/>
  <c r="AI118" i="29"/>
  <c r="AH118" i="29"/>
  <c r="AG118" i="29"/>
  <c r="AD118" i="29"/>
  <c r="AC118" i="29"/>
  <c r="X118" i="29"/>
  <c r="W118" i="29"/>
  <c r="U118" i="29"/>
  <c r="T118" i="29"/>
  <c r="AR117" i="29"/>
  <c r="AM117" i="29"/>
  <c r="AX117" i="29" s="1"/>
  <c r="AL117" i="29"/>
  <c r="AW117" i="29" s="1"/>
  <c r="AE117" i="29"/>
  <c r="AU117" i="29" s="1"/>
  <c r="Y117" i="29"/>
  <c r="AQ117" i="29" s="1"/>
  <c r="S117" i="29"/>
  <c r="V117" i="29" s="1"/>
  <c r="AB117" i="29" s="1"/>
  <c r="AT117" i="29" s="1"/>
  <c r="AR116" i="29"/>
  <c r="AM116" i="29"/>
  <c r="AL116" i="29"/>
  <c r="AW116" i="29" s="1"/>
  <c r="AE116" i="29"/>
  <c r="AU116" i="29" s="1"/>
  <c r="Y116" i="29"/>
  <c r="AQ116" i="29" s="1"/>
  <c r="S116" i="29"/>
  <c r="V116" i="29" s="1"/>
  <c r="AP116" i="29" s="1"/>
  <c r="AR115" i="29"/>
  <c r="AM115" i="29"/>
  <c r="AX115" i="29" s="1"/>
  <c r="AL115" i="29"/>
  <c r="AW115" i="29" s="1"/>
  <c r="AE115" i="29"/>
  <c r="AU115" i="29" s="1"/>
  <c r="Y115" i="29"/>
  <c r="AQ115" i="29" s="1"/>
  <c r="V115" i="29"/>
  <c r="AB115" i="29" s="1"/>
  <c r="AT115" i="29" s="1"/>
  <c r="S115" i="29"/>
  <c r="AR114" i="29"/>
  <c r="AM114" i="29"/>
  <c r="AX114" i="29" s="1"/>
  <c r="AL114" i="29"/>
  <c r="AE114" i="29"/>
  <c r="AU114" i="29" s="1"/>
  <c r="Y114" i="29"/>
  <c r="AQ114" i="29" s="1"/>
  <c r="S114" i="29"/>
  <c r="V114" i="29" s="1"/>
  <c r="AR113" i="29"/>
  <c r="AM113" i="29"/>
  <c r="AX113" i="29" s="1"/>
  <c r="AL113" i="29"/>
  <c r="AN113" i="29" s="1"/>
  <c r="AE113" i="29"/>
  <c r="AU113" i="29" s="1"/>
  <c r="Y113" i="29"/>
  <c r="S113" i="29"/>
  <c r="V113" i="29" s="1"/>
  <c r="AK112" i="29"/>
  <c r="AJ112" i="29"/>
  <c r="AI112" i="29"/>
  <c r="AH112" i="29"/>
  <c r="AG112" i="29"/>
  <c r="AD112" i="29"/>
  <c r="AC112" i="29"/>
  <c r="X112" i="29"/>
  <c r="W112" i="29"/>
  <c r="U112" i="29"/>
  <c r="T112" i="29"/>
  <c r="AR111" i="29"/>
  <c r="AM111" i="29"/>
  <c r="AX111" i="29" s="1"/>
  <c r="AL111" i="29"/>
  <c r="AE111" i="29"/>
  <c r="AU111" i="29" s="1"/>
  <c r="Y111" i="29"/>
  <c r="AQ111" i="29" s="1"/>
  <c r="S111" i="29"/>
  <c r="V111" i="29" s="1"/>
  <c r="AR110" i="29"/>
  <c r="AM110" i="29"/>
  <c r="AX110" i="29" s="1"/>
  <c r="AL110" i="29"/>
  <c r="AW110" i="29" s="1"/>
  <c r="AE110" i="29"/>
  <c r="AU110" i="29" s="1"/>
  <c r="Y110" i="29"/>
  <c r="AQ110" i="29" s="1"/>
  <c r="S110" i="29"/>
  <c r="V110" i="29" s="1"/>
  <c r="AX109" i="29"/>
  <c r="AR109" i="29"/>
  <c r="AM109" i="29"/>
  <c r="AL109" i="29"/>
  <c r="AE109" i="29"/>
  <c r="AU109" i="29" s="1"/>
  <c r="Y109" i="29"/>
  <c r="AQ109" i="29" s="1"/>
  <c r="S109" i="29"/>
  <c r="AR108" i="29"/>
  <c r="AM108" i="29"/>
  <c r="AX108" i="29" s="1"/>
  <c r="AL108" i="29"/>
  <c r="AW108" i="29" s="1"/>
  <c r="AE108" i="29"/>
  <c r="AU108" i="29" s="1"/>
  <c r="Y108" i="29"/>
  <c r="AQ108" i="29" s="1"/>
  <c r="S108" i="29"/>
  <c r="V108" i="29" s="1"/>
  <c r="AB108" i="29" s="1"/>
  <c r="AT108" i="29" s="1"/>
  <c r="AR107" i="29"/>
  <c r="AM107" i="29"/>
  <c r="AL107" i="29"/>
  <c r="AW107" i="29" s="1"/>
  <c r="AE107" i="29"/>
  <c r="AU107" i="29" s="1"/>
  <c r="Y107" i="29"/>
  <c r="AQ107" i="29" s="1"/>
  <c r="S107" i="29"/>
  <c r="V107" i="29" s="1"/>
  <c r="AB107" i="29" s="1"/>
  <c r="AK106" i="29"/>
  <c r="AJ106" i="29"/>
  <c r="AI106" i="29"/>
  <c r="AH106" i="29"/>
  <c r="AG106" i="29"/>
  <c r="AD106" i="29"/>
  <c r="AC106" i="29"/>
  <c r="X106" i="29"/>
  <c r="W106" i="29"/>
  <c r="U106" i="29"/>
  <c r="T106" i="29"/>
  <c r="AR105" i="29"/>
  <c r="AM105" i="29"/>
  <c r="AX105" i="29" s="1"/>
  <c r="AL105" i="29"/>
  <c r="AE105" i="29"/>
  <c r="AU105" i="29" s="1"/>
  <c r="Y105" i="29"/>
  <c r="AQ105" i="29" s="1"/>
  <c r="S105" i="29"/>
  <c r="V105" i="29" s="1"/>
  <c r="AW104" i="29"/>
  <c r="AR104" i="29"/>
  <c r="AM104" i="29"/>
  <c r="AL104" i="29"/>
  <c r="AE104" i="29"/>
  <c r="AU104" i="29" s="1"/>
  <c r="Y104" i="29"/>
  <c r="AQ104" i="29" s="1"/>
  <c r="V104" i="29"/>
  <c r="S104" i="29"/>
  <c r="AX103" i="29"/>
  <c r="AR103" i="29"/>
  <c r="AP103" i="29"/>
  <c r="AM103" i="29"/>
  <c r="AL103" i="29"/>
  <c r="AW103" i="29" s="1"/>
  <c r="AE103" i="29"/>
  <c r="AU103" i="29" s="1"/>
  <c r="Y103" i="29"/>
  <c r="AQ103" i="29" s="1"/>
  <c r="S103" i="29"/>
  <c r="V103" i="29" s="1"/>
  <c r="AA103" i="29" s="1"/>
  <c r="AS103" i="29" s="1"/>
  <c r="AR102" i="29"/>
  <c r="AM102" i="29"/>
  <c r="AX102" i="29" s="1"/>
  <c r="AL102" i="29"/>
  <c r="AW102" i="29" s="1"/>
  <c r="AE102" i="29"/>
  <c r="AU102" i="29" s="1"/>
  <c r="Y102" i="29"/>
  <c r="AQ102" i="29" s="1"/>
  <c r="S102" i="29"/>
  <c r="V102" i="29" s="1"/>
  <c r="AR101" i="29"/>
  <c r="AM101" i="29"/>
  <c r="AL101" i="29"/>
  <c r="AW101" i="29" s="1"/>
  <c r="AE101" i="29"/>
  <c r="Y101" i="29"/>
  <c r="S101" i="29"/>
  <c r="V101" i="29" s="1"/>
  <c r="AK100" i="29"/>
  <c r="AJ100" i="29"/>
  <c r="AI100" i="29"/>
  <c r="AH100" i="29"/>
  <c r="AG100" i="29"/>
  <c r="AD100" i="29"/>
  <c r="AC100" i="29"/>
  <c r="X100" i="29"/>
  <c r="W100" i="29"/>
  <c r="U100" i="29"/>
  <c r="T100" i="29"/>
  <c r="AR99" i="29"/>
  <c r="AM99" i="29"/>
  <c r="AX99" i="29" s="1"/>
  <c r="AL99" i="29"/>
  <c r="AW99" i="29" s="1"/>
  <c r="AE99" i="29"/>
  <c r="AU99" i="29" s="1"/>
  <c r="Y99" i="29"/>
  <c r="AQ99" i="29" s="1"/>
  <c r="S99" i="29"/>
  <c r="V99" i="29" s="1"/>
  <c r="AR98" i="29"/>
  <c r="AP98" i="29"/>
  <c r="AM98" i="29"/>
  <c r="AX98" i="29" s="1"/>
  <c r="AL98" i="29"/>
  <c r="AW98" i="29" s="1"/>
  <c r="AE98" i="29"/>
  <c r="AU98" i="29" s="1"/>
  <c r="AA98" i="29"/>
  <c r="AS98" i="29" s="1"/>
  <c r="Y98" i="29"/>
  <c r="AQ98" i="29" s="1"/>
  <c r="S98" i="29"/>
  <c r="V98" i="29" s="1"/>
  <c r="AB98" i="29" s="1"/>
  <c r="AT98" i="29" s="1"/>
  <c r="AR97" i="29"/>
  <c r="AM97" i="29"/>
  <c r="AX97" i="29" s="1"/>
  <c r="AL97" i="29"/>
  <c r="AE97" i="29"/>
  <c r="AU97" i="29" s="1"/>
  <c r="Y97" i="29"/>
  <c r="AQ97" i="29" s="1"/>
  <c r="S97" i="29"/>
  <c r="V97" i="29" s="1"/>
  <c r="AR96" i="29"/>
  <c r="AM96" i="29"/>
  <c r="AL96" i="29"/>
  <c r="AW96" i="29" s="1"/>
  <c r="AE96" i="29"/>
  <c r="AU96" i="29" s="1"/>
  <c r="Y96" i="29"/>
  <c r="AQ96" i="29" s="1"/>
  <c r="S96" i="29"/>
  <c r="V96" i="29" s="1"/>
  <c r="AR95" i="29"/>
  <c r="AM95" i="29"/>
  <c r="AL95" i="29"/>
  <c r="AE95" i="29"/>
  <c r="Y95" i="29"/>
  <c r="AQ95" i="29" s="1"/>
  <c r="S95" i="29"/>
  <c r="AK94" i="29"/>
  <c r="AJ94" i="29"/>
  <c r="AI94" i="29"/>
  <c r="AH94" i="29"/>
  <c r="AG94" i="29"/>
  <c r="AD94" i="29"/>
  <c r="AC94" i="29"/>
  <c r="X94" i="29"/>
  <c r="W94" i="29"/>
  <c r="U94" i="29"/>
  <c r="T94" i="29"/>
  <c r="AR93" i="29"/>
  <c r="AM93" i="29"/>
  <c r="AX93" i="29" s="1"/>
  <c r="AL93" i="29"/>
  <c r="AW93" i="29" s="1"/>
  <c r="AE93" i="29"/>
  <c r="AU93" i="29" s="1"/>
  <c r="Y93" i="29"/>
  <c r="AQ93" i="29" s="1"/>
  <c r="S93" i="29"/>
  <c r="V93" i="29" s="1"/>
  <c r="AB93" i="29" s="1"/>
  <c r="AT93" i="29" s="1"/>
  <c r="AR92" i="29"/>
  <c r="AM92" i="29"/>
  <c r="AX92" i="29" s="1"/>
  <c r="AL92" i="29"/>
  <c r="AE92" i="29"/>
  <c r="AU92" i="29" s="1"/>
  <c r="Y92" i="29"/>
  <c r="AQ92" i="29" s="1"/>
  <c r="S92" i="29"/>
  <c r="V92" i="29" s="1"/>
  <c r="AR91" i="29"/>
  <c r="AM91" i="29"/>
  <c r="AL91" i="29"/>
  <c r="AW91" i="29" s="1"/>
  <c r="AE91" i="29"/>
  <c r="AU91" i="29" s="1"/>
  <c r="Y91" i="29"/>
  <c r="AQ91" i="29" s="1"/>
  <c r="S91" i="29"/>
  <c r="V91" i="29" s="1"/>
  <c r="AR90" i="29"/>
  <c r="AP90" i="29"/>
  <c r="AM90" i="29"/>
  <c r="AX90" i="29" s="1"/>
  <c r="AL90" i="29"/>
  <c r="AE90" i="29"/>
  <c r="AU90" i="29" s="1"/>
  <c r="AA90" i="29"/>
  <c r="AS90" i="29" s="1"/>
  <c r="Y90" i="29"/>
  <c r="S90" i="29"/>
  <c r="V90" i="29" s="1"/>
  <c r="AR89" i="29"/>
  <c r="AM89" i="29"/>
  <c r="AX89" i="29" s="1"/>
  <c r="AL89" i="29"/>
  <c r="AE89" i="29"/>
  <c r="AU89" i="29" s="1"/>
  <c r="Y89" i="29"/>
  <c r="AQ89" i="29" s="1"/>
  <c r="V89" i="29"/>
  <c r="AB89" i="29" s="1"/>
  <c r="S89" i="29"/>
  <c r="AK88" i="29"/>
  <c r="AJ88" i="29"/>
  <c r="AI88" i="29"/>
  <c r="AH88" i="29"/>
  <c r="AG88" i="29"/>
  <c r="AD88" i="29"/>
  <c r="AC88" i="29"/>
  <c r="X88" i="29"/>
  <c r="W88" i="29"/>
  <c r="U88" i="29"/>
  <c r="T88" i="29"/>
  <c r="AR87" i="29"/>
  <c r="AM87" i="29"/>
  <c r="AX87" i="29" s="1"/>
  <c r="AL87" i="29"/>
  <c r="AW87" i="29" s="1"/>
  <c r="AE87" i="29"/>
  <c r="AU87" i="29" s="1"/>
  <c r="Y87" i="29"/>
  <c r="AQ87" i="29" s="1"/>
  <c r="S87" i="29"/>
  <c r="V87" i="29" s="1"/>
  <c r="AR86" i="29"/>
  <c r="AM86" i="29"/>
  <c r="AX86" i="29" s="1"/>
  <c r="AL86" i="29"/>
  <c r="AW86" i="29" s="1"/>
  <c r="AE86" i="29"/>
  <c r="AU86" i="29" s="1"/>
  <c r="Y86" i="29"/>
  <c r="AQ86" i="29" s="1"/>
  <c r="S86" i="29"/>
  <c r="V86" i="29" s="1"/>
  <c r="AB86" i="29" s="1"/>
  <c r="AT86" i="29" s="1"/>
  <c r="AR85" i="29"/>
  <c r="AM85" i="29"/>
  <c r="AX85" i="29" s="1"/>
  <c r="AL85" i="29"/>
  <c r="AE85" i="29"/>
  <c r="AU85" i="29" s="1"/>
  <c r="Y85" i="29"/>
  <c r="AQ85" i="29" s="1"/>
  <c r="S85" i="29"/>
  <c r="V85" i="29" s="1"/>
  <c r="AR84" i="29"/>
  <c r="AM84" i="29"/>
  <c r="AX84" i="29" s="1"/>
  <c r="AL84" i="29"/>
  <c r="AW84" i="29" s="1"/>
  <c r="AE84" i="29"/>
  <c r="AU84" i="29" s="1"/>
  <c r="Y84" i="29"/>
  <c r="AQ84" i="29" s="1"/>
  <c r="S84" i="29"/>
  <c r="V84" i="29" s="1"/>
  <c r="AB84" i="29" s="1"/>
  <c r="AT84" i="29" s="1"/>
  <c r="AR83" i="29"/>
  <c r="AR88" i="29" s="1"/>
  <c r="AM83" i="29"/>
  <c r="AX83" i="29" s="1"/>
  <c r="AL83" i="29"/>
  <c r="AN83" i="29" s="1"/>
  <c r="AV83" i="29" s="1"/>
  <c r="AE83" i="29"/>
  <c r="Y83" i="29"/>
  <c r="S83" i="29"/>
  <c r="AK82" i="29"/>
  <c r="AJ82" i="29"/>
  <c r="AI82" i="29"/>
  <c r="AH82" i="29"/>
  <c r="AG82" i="29"/>
  <c r="AD82" i="29"/>
  <c r="AC82" i="29"/>
  <c r="X82" i="29"/>
  <c r="W82" i="29"/>
  <c r="U82" i="29"/>
  <c r="T82" i="29"/>
  <c r="AR81" i="29"/>
  <c r="AM81" i="29"/>
  <c r="AX81" i="29" s="1"/>
  <c r="AL81" i="29"/>
  <c r="AE81" i="29"/>
  <c r="AU81" i="29" s="1"/>
  <c r="Y81" i="29"/>
  <c r="Z81" i="29" s="1"/>
  <c r="V81" i="29"/>
  <c r="AB81" i="29" s="1"/>
  <c r="AT81" i="29" s="1"/>
  <c r="S81" i="29"/>
  <c r="AX80" i="29"/>
  <c r="AR80" i="29"/>
  <c r="AM80" i="29"/>
  <c r="AL80" i="29"/>
  <c r="AE80" i="29"/>
  <c r="AU80" i="29" s="1"/>
  <c r="Y80" i="29"/>
  <c r="AQ80" i="29" s="1"/>
  <c r="S80" i="29"/>
  <c r="AR79" i="29"/>
  <c r="AM79" i="29"/>
  <c r="AL79" i="29"/>
  <c r="AW79" i="29" s="1"/>
  <c r="AE79" i="29"/>
  <c r="AU79" i="29" s="1"/>
  <c r="Y79" i="29"/>
  <c r="AQ79" i="29" s="1"/>
  <c r="S79" i="29"/>
  <c r="V79" i="29" s="1"/>
  <c r="AR78" i="29"/>
  <c r="AM78" i="29"/>
  <c r="AX78" i="29" s="1"/>
  <c r="AL78" i="29"/>
  <c r="AW78" i="29" s="1"/>
  <c r="AE78" i="29"/>
  <c r="AU78" i="29" s="1"/>
  <c r="Y78" i="29"/>
  <c r="AQ78" i="29" s="1"/>
  <c r="S78" i="29"/>
  <c r="V78" i="29" s="1"/>
  <c r="AR77" i="29"/>
  <c r="AM77" i="29"/>
  <c r="AL77" i="29"/>
  <c r="AW77" i="29" s="1"/>
  <c r="AE77" i="29"/>
  <c r="AU77" i="29" s="1"/>
  <c r="Y77" i="29"/>
  <c r="AQ77" i="29" s="1"/>
  <c r="S77" i="29"/>
  <c r="V77" i="29" s="1"/>
  <c r="AK76" i="29"/>
  <c r="AJ76" i="29"/>
  <c r="AI76" i="29"/>
  <c r="AH76" i="29"/>
  <c r="AG76" i="29"/>
  <c r="AD76" i="29"/>
  <c r="AC76" i="29"/>
  <c r="X76" i="29"/>
  <c r="W76" i="29"/>
  <c r="U76" i="29"/>
  <c r="T76" i="29"/>
  <c r="AR75" i="29"/>
  <c r="AM75" i="29"/>
  <c r="AX75" i="29" s="1"/>
  <c r="AL75" i="29"/>
  <c r="AW75" i="29" s="1"/>
  <c r="AE75" i="29"/>
  <c r="AU75" i="29" s="1"/>
  <c r="Y75" i="29"/>
  <c r="AQ75" i="29" s="1"/>
  <c r="S75" i="29"/>
  <c r="V75" i="29" s="1"/>
  <c r="AP75" i="29" s="1"/>
  <c r="AR74" i="29"/>
  <c r="AM74" i="29"/>
  <c r="AL74" i="29"/>
  <c r="AW74" i="29" s="1"/>
  <c r="AE74" i="29"/>
  <c r="AU74" i="29" s="1"/>
  <c r="Y74" i="29"/>
  <c r="AQ74" i="29" s="1"/>
  <c r="S74" i="29"/>
  <c r="V74" i="29" s="1"/>
  <c r="AB74" i="29" s="1"/>
  <c r="AT74" i="29" s="1"/>
  <c r="AR73" i="29"/>
  <c r="AM73" i="29"/>
  <c r="AX73" i="29" s="1"/>
  <c r="AL73" i="29"/>
  <c r="AW73" i="29" s="1"/>
  <c r="AE73" i="29"/>
  <c r="AU73" i="29" s="1"/>
  <c r="AA73" i="29"/>
  <c r="AS73" i="29" s="1"/>
  <c r="Y73" i="29"/>
  <c r="AQ73" i="29" s="1"/>
  <c r="S73" i="29"/>
  <c r="V73" i="29" s="1"/>
  <c r="AP73" i="29" s="1"/>
  <c r="AR72" i="29"/>
  <c r="AM72" i="29"/>
  <c r="AL72" i="29"/>
  <c r="AW72" i="29" s="1"/>
  <c r="AE72" i="29"/>
  <c r="AU72" i="29" s="1"/>
  <c r="Y72" i="29"/>
  <c r="AQ72" i="29" s="1"/>
  <c r="S72" i="29"/>
  <c r="AK71" i="29"/>
  <c r="AJ71" i="29"/>
  <c r="AI71" i="29"/>
  <c r="AH71" i="29"/>
  <c r="AG71" i="29"/>
  <c r="AD71" i="29"/>
  <c r="AC71" i="29"/>
  <c r="X71" i="29"/>
  <c r="W71" i="29"/>
  <c r="U71" i="29"/>
  <c r="T71" i="29"/>
  <c r="AX70" i="29"/>
  <c r="AR70" i="29"/>
  <c r="AM70" i="29"/>
  <c r="AL70" i="29"/>
  <c r="AW70" i="29" s="1"/>
  <c r="AE70" i="29"/>
  <c r="AU70" i="29" s="1"/>
  <c r="Y70" i="29"/>
  <c r="AQ70" i="29" s="1"/>
  <c r="S70" i="29"/>
  <c r="V70" i="29" s="1"/>
  <c r="AP70" i="29" s="1"/>
  <c r="AR69" i="29"/>
  <c r="AR71" i="29" s="1"/>
  <c r="AM69" i="29"/>
  <c r="AL69" i="29"/>
  <c r="AW69" i="29" s="1"/>
  <c r="AE69" i="29"/>
  <c r="AU69" i="29" s="1"/>
  <c r="Y69" i="29"/>
  <c r="S69" i="29"/>
  <c r="V69" i="29" s="1"/>
  <c r="AB69" i="29" s="1"/>
  <c r="AK68" i="29"/>
  <c r="AJ68" i="29"/>
  <c r="AI68" i="29"/>
  <c r="AH68" i="29"/>
  <c r="AG68" i="29"/>
  <c r="AD68" i="29"/>
  <c r="AC68" i="29"/>
  <c r="X68" i="29"/>
  <c r="W68" i="29"/>
  <c r="U68" i="29"/>
  <c r="T68" i="29"/>
  <c r="AR67" i="29"/>
  <c r="AM67" i="29"/>
  <c r="AX67" i="29" s="1"/>
  <c r="AL67" i="29"/>
  <c r="AW67" i="29" s="1"/>
  <c r="AE67" i="29"/>
  <c r="AU67" i="29" s="1"/>
  <c r="Y67" i="29"/>
  <c r="AQ67" i="29" s="1"/>
  <c r="S67" i="29"/>
  <c r="V67" i="29" s="1"/>
  <c r="AR66" i="29"/>
  <c r="AM66" i="29"/>
  <c r="AX66" i="29" s="1"/>
  <c r="AL66" i="29"/>
  <c r="AE66" i="29"/>
  <c r="AU66" i="29" s="1"/>
  <c r="Y66" i="29"/>
  <c r="AQ66" i="29" s="1"/>
  <c r="S66" i="29"/>
  <c r="V66" i="29" s="1"/>
  <c r="AR65" i="29"/>
  <c r="AM65" i="29"/>
  <c r="AX65" i="29" s="1"/>
  <c r="AL65" i="29"/>
  <c r="AW65" i="29" s="1"/>
  <c r="AE65" i="29"/>
  <c r="Y65" i="29"/>
  <c r="S65" i="29"/>
  <c r="V65" i="29" s="1"/>
  <c r="AB65" i="29" s="1"/>
  <c r="AK64" i="29"/>
  <c r="AJ64" i="29"/>
  <c r="AI64" i="29"/>
  <c r="AH64" i="29"/>
  <c r="AG64" i="29"/>
  <c r="AD64" i="29"/>
  <c r="AC64" i="29"/>
  <c r="X64" i="29"/>
  <c r="W64" i="29"/>
  <c r="U64" i="29"/>
  <c r="T64" i="29"/>
  <c r="AR63" i="29"/>
  <c r="AM63" i="29"/>
  <c r="AX63" i="29" s="1"/>
  <c r="AL63" i="29"/>
  <c r="AW63" i="29" s="1"/>
  <c r="AE63" i="29"/>
  <c r="AU63" i="29" s="1"/>
  <c r="Y63" i="29"/>
  <c r="AQ63" i="29" s="1"/>
  <c r="S63" i="29"/>
  <c r="V63" i="29" s="1"/>
  <c r="AR62" i="29"/>
  <c r="AM62" i="29"/>
  <c r="AM64" i="29" s="1"/>
  <c r="AL62" i="29"/>
  <c r="AW62" i="29" s="1"/>
  <c r="AE62" i="29"/>
  <c r="Y62" i="29"/>
  <c r="S62" i="29"/>
  <c r="S64" i="29" s="1"/>
  <c r="AK61" i="29"/>
  <c r="AJ61" i="29"/>
  <c r="AI61" i="29"/>
  <c r="AH61" i="29"/>
  <c r="AG61" i="29"/>
  <c r="AD61" i="29"/>
  <c r="AC61" i="29"/>
  <c r="X61" i="29"/>
  <c r="W61" i="29"/>
  <c r="U61" i="29"/>
  <c r="T61" i="29"/>
  <c r="AR60" i="29"/>
  <c r="AM60" i="29"/>
  <c r="AX60" i="29" s="1"/>
  <c r="AL60" i="29"/>
  <c r="AW60" i="29" s="1"/>
  <c r="AE60" i="29"/>
  <c r="AU60" i="29" s="1"/>
  <c r="Y60" i="29"/>
  <c r="AQ60" i="29" s="1"/>
  <c r="S60" i="29"/>
  <c r="AR59" i="29"/>
  <c r="AN59" i="29"/>
  <c r="AV59" i="29" s="1"/>
  <c r="AM59" i="29"/>
  <c r="AX59" i="29" s="1"/>
  <c r="AL59" i="29"/>
  <c r="AW59" i="29" s="1"/>
  <c r="AE59" i="29"/>
  <c r="AU59" i="29" s="1"/>
  <c r="Y59" i="29"/>
  <c r="AQ59" i="29" s="1"/>
  <c r="S59" i="29"/>
  <c r="V59" i="29" s="1"/>
  <c r="AB59" i="29" s="1"/>
  <c r="AT59" i="29" s="1"/>
  <c r="AX58" i="29"/>
  <c r="AW58" i="29"/>
  <c r="AR58" i="29"/>
  <c r="AM58" i="29"/>
  <c r="AL58" i="29"/>
  <c r="AE58" i="29"/>
  <c r="AU58" i="29" s="1"/>
  <c r="Y58" i="29"/>
  <c r="S58" i="29"/>
  <c r="V58" i="29" s="1"/>
  <c r="AK57" i="29"/>
  <c r="AJ57" i="29"/>
  <c r="AI57" i="29"/>
  <c r="AH57" i="29"/>
  <c r="AG57" i="29"/>
  <c r="AD57" i="29"/>
  <c r="AC57" i="29"/>
  <c r="X57" i="29"/>
  <c r="W57" i="29"/>
  <c r="U57" i="29"/>
  <c r="T57" i="29"/>
  <c r="AR56" i="29"/>
  <c r="AM56" i="29"/>
  <c r="AX56" i="29" s="1"/>
  <c r="AL56" i="29"/>
  <c r="AW56" i="29" s="1"/>
  <c r="AE56" i="29"/>
  <c r="AU56" i="29" s="1"/>
  <c r="Y56" i="29"/>
  <c r="AQ56" i="29" s="1"/>
  <c r="S56" i="29"/>
  <c r="V56" i="29" s="1"/>
  <c r="AR55" i="29"/>
  <c r="AM55" i="29"/>
  <c r="AX55" i="29" s="1"/>
  <c r="AL55" i="29"/>
  <c r="AW55" i="29" s="1"/>
  <c r="AE55" i="29"/>
  <c r="AU55" i="29" s="1"/>
  <c r="Y55" i="29"/>
  <c r="AQ55" i="29" s="1"/>
  <c r="S55" i="29"/>
  <c r="AW54" i="29"/>
  <c r="AR54" i="29"/>
  <c r="AM54" i="29"/>
  <c r="AX54" i="29" s="1"/>
  <c r="AL54" i="29"/>
  <c r="AE54" i="29"/>
  <c r="AU54" i="29" s="1"/>
  <c r="Y54" i="29"/>
  <c r="S54" i="29"/>
  <c r="V54" i="29" s="1"/>
  <c r="AB54" i="29" s="1"/>
  <c r="AK53" i="29"/>
  <c r="AJ53" i="29"/>
  <c r="AI53" i="29"/>
  <c r="AH53" i="29"/>
  <c r="AG53" i="29"/>
  <c r="AD53" i="29"/>
  <c r="AC53" i="29"/>
  <c r="X53" i="29"/>
  <c r="W53" i="29"/>
  <c r="U53" i="29"/>
  <c r="T53" i="29"/>
  <c r="AX52" i="29"/>
  <c r="AR52" i="29"/>
  <c r="AM52" i="29"/>
  <c r="AL52" i="29"/>
  <c r="AE52" i="29"/>
  <c r="AU52" i="29" s="1"/>
  <c r="Y52" i="29"/>
  <c r="AQ52" i="29" s="1"/>
  <c r="S52" i="29"/>
  <c r="AR51" i="29"/>
  <c r="AM51" i="29"/>
  <c r="AL51" i="29"/>
  <c r="AW51" i="29" s="1"/>
  <c r="AE51" i="29"/>
  <c r="Y51" i="29"/>
  <c r="AQ51" i="29" s="1"/>
  <c r="AK50" i="29"/>
  <c r="AJ50" i="29"/>
  <c r="AI50" i="29"/>
  <c r="AH50" i="29"/>
  <c r="AG50" i="29"/>
  <c r="AD50" i="29"/>
  <c r="AC50" i="29"/>
  <c r="X50" i="29"/>
  <c r="W50" i="29"/>
  <c r="U50" i="29"/>
  <c r="T50" i="29"/>
  <c r="AR49" i="29"/>
  <c r="AM49" i="29"/>
  <c r="AX49" i="29" s="1"/>
  <c r="AL49" i="29"/>
  <c r="AW49" i="29" s="1"/>
  <c r="AE49" i="29"/>
  <c r="AU49" i="29" s="1"/>
  <c r="Y49" i="29"/>
  <c r="AQ49" i="29" s="1"/>
  <c r="S49" i="29"/>
  <c r="V49" i="29" s="1"/>
  <c r="AP49" i="29" s="1"/>
  <c r="AR48" i="29"/>
  <c r="AM48" i="29"/>
  <c r="AX48" i="29" s="1"/>
  <c r="AL48" i="29"/>
  <c r="AW48" i="29" s="1"/>
  <c r="AE48" i="29"/>
  <c r="AU48" i="29" s="1"/>
  <c r="Y48" i="29"/>
  <c r="AQ48" i="29" s="1"/>
  <c r="S48" i="29"/>
  <c r="V48" i="29" s="1"/>
  <c r="AB48" i="29" s="1"/>
  <c r="AT48" i="29" s="1"/>
  <c r="AW47" i="29"/>
  <c r="AR47" i="29"/>
  <c r="AM47" i="29"/>
  <c r="AX47" i="29" s="1"/>
  <c r="AL47" i="29"/>
  <c r="AE47" i="29"/>
  <c r="AU47" i="29" s="1"/>
  <c r="Y47" i="29"/>
  <c r="S47" i="29"/>
  <c r="AK46" i="29"/>
  <c r="AJ46" i="29"/>
  <c r="AI46" i="29"/>
  <c r="AH46" i="29"/>
  <c r="AG46" i="29"/>
  <c r="AD46" i="29"/>
  <c r="AC46" i="29"/>
  <c r="X46" i="29"/>
  <c r="W46" i="29"/>
  <c r="U46" i="29"/>
  <c r="T46" i="29"/>
  <c r="AR45" i="29"/>
  <c r="AM45" i="29"/>
  <c r="AX45" i="29" s="1"/>
  <c r="AL45" i="29"/>
  <c r="AW45" i="29" s="1"/>
  <c r="AE45" i="29"/>
  <c r="AU45" i="29" s="1"/>
  <c r="Y45" i="29"/>
  <c r="AQ45" i="29" s="1"/>
  <c r="S45" i="29"/>
  <c r="V45" i="29" s="1"/>
  <c r="AR44" i="29"/>
  <c r="AM44" i="29"/>
  <c r="AX44" i="29" s="1"/>
  <c r="AL44" i="29"/>
  <c r="AW44" i="29" s="1"/>
  <c r="AE44" i="29"/>
  <c r="AU44" i="29" s="1"/>
  <c r="Y44" i="29"/>
  <c r="AQ44" i="29" s="1"/>
  <c r="V44" i="29"/>
  <c r="AP44" i="29" s="1"/>
  <c r="S44" i="29"/>
  <c r="AR43" i="29"/>
  <c r="AM43" i="29"/>
  <c r="AX43" i="29" s="1"/>
  <c r="AL43" i="29"/>
  <c r="AW43" i="29" s="1"/>
  <c r="AE43" i="29"/>
  <c r="AU43" i="29" s="1"/>
  <c r="Y43" i="29"/>
  <c r="Y46" i="29" s="1"/>
  <c r="S43" i="29"/>
  <c r="V43" i="29" s="1"/>
  <c r="AB43" i="29" s="1"/>
  <c r="AK42" i="29"/>
  <c r="AJ42" i="29"/>
  <c r="AI42" i="29"/>
  <c r="AH42" i="29"/>
  <c r="AG42" i="29"/>
  <c r="AD42" i="29"/>
  <c r="AC42" i="29"/>
  <c r="X42" i="29"/>
  <c r="W42" i="29"/>
  <c r="U42" i="29"/>
  <c r="T42" i="29"/>
  <c r="AR41" i="29"/>
  <c r="AM41" i="29"/>
  <c r="AX41" i="29" s="1"/>
  <c r="AL41" i="29"/>
  <c r="AN41" i="29" s="1"/>
  <c r="AV41" i="29" s="1"/>
  <c r="AE41" i="29"/>
  <c r="AU41" i="29" s="1"/>
  <c r="Y41" i="29"/>
  <c r="AQ41" i="29" s="1"/>
  <c r="S41" i="29"/>
  <c r="V41" i="29" s="1"/>
  <c r="AR40" i="29"/>
  <c r="AM40" i="29"/>
  <c r="AX40" i="29" s="1"/>
  <c r="AL40" i="29"/>
  <c r="AW40" i="29" s="1"/>
  <c r="AE40" i="29"/>
  <c r="AU40" i="29" s="1"/>
  <c r="Y40" i="29"/>
  <c r="AQ40" i="29" s="1"/>
  <c r="S40" i="29"/>
  <c r="V40" i="29" s="1"/>
  <c r="AR39" i="29"/>
  <c r="AM39" i="29"/>
  <c r="AX39" i="29" s="1"/>
  <c r="AL39" i="29"/>
  <c r="AW39" i="29" s="1"/>
  <c r="AE39" i="29"/>
  <c r="Y39" i="29"/>
  <c r="Y42" i="29" s="1"/>
  <c r="S39" i="29"/>
  <c r="AK38" i="29"/>
  <c r="AJ38" i="29"/>
  <c r="AI38" i="29"/>
  <c r="AH38" i="29"/>
  <c r="AG38" i="29"/>
  <c r="AD38" i="29"/>
  <c r="AC38" i="29"/>
  <c r="X38" i="29"/>
  <c r="W38" i="29"/>
  <c r="U38" i="29"/>
  <c r="T38" i="29"/>
  <c r="AR37" i="29"/>
  <c r="AM37" i="29"/>
  <c r="AX37" i="29" s="1"/>
  <c r="AL37" i="29"/>
  <c r="AN37" i="29" s="1"/>
  <c r="AV37" i="29" s="1"/>
  <c r="AE37" i="29"/>
  <c r="AU37" i="29" s="1"/>
  <c r="Y37" i="29"/>
  <c r="AQ37" i="29" s="1"/>
  <c r="S37" i="29"/>
  <c r="V37" i="29" s="1"/>
  <c r="AB37" i="29" s="1"/>
  <c r="AT37" i="29" s="1"/>
  <c r="AR36" i="29"/>
  <c r="AN36" i="29"/>
  <c r="AV36" i="29" s="1"/>
  <c r="AM36" i="29"/>
  <c r="AX36" i="29" s="1"/>
  <c r="AL36" i="29"/>
  <c r="AW36" i="29" s="1"/>
  <c r="AE36" i="29"/>
  <c r="Y36" i="29"/>
  <c r="AQ36" i="29" s="1"/>
  <c r="S36" i="29"/>
  <c r="V36" i="29" s="1"/>
  <c r="AR35" i="29"/>
  <c r="AM35" i="29"/>
  <c r="AM38" i="29" s="1"/>
  <c r="AL35" i="29"/>
  <c r="AE35" i="29"/>
  <c r="AU35" i="29" s="1"/>
  <c r="Y35" i="29"/>
  <c r="S35" i="29"/>
  <c r="AK34" i="29"/>
  <c r="AJ34" i="29"/>
  <c r="AI34" i="29"/>
  <c r="AH34" i="29"/>
  <c r="AG34" i="29"/>
  <c r="AD34" i="29"/>
  <c r="AC34" i="29"/>
  <c r="X34" i="29"/>
  <c r="W34" i="29"/>
  <c r="U34" i="29"/>
  <c r="T34" i="29"/>
  <c r="S34" i="29"/>
  <c r="AR33" i="29"/>
  <c r="AM33" i="29"/>
  <c r="AX33" i="29" s="1"/>
  <c r="AL33" i="29"/>
  <c r="AW33" i="29" s="1"/>
  <c r="AE33" i="29"/>
  <c r="AU33" i="29" s="1"/>
  <c r="Y33" i="29"/>
  <c r="AQ33" i="29" s="1"/>
  <c r="S33" i="29"/>
  <c r="V33" i="29" s="1"/>
  <c r="AB33" i="29" s="1"/>
  <c r="AT33" i="29" s="1"/>
  <c r="AR32" i="29"/>
  <c r="AM32" i="29"/>
  <c r="AX32" i="29" s="1"/>
  <c r="AL32" i="29"/>
  <c r="AL34" i="29" s="1"/>
  <c r="AE32" i="29"/>
  <c r="AU32" i="29" s="1"/>
  <c r="Y32" i="29"/>
  <c r="V32" i="29"/>
  <c r="S32" i="29"/>
  <c r="AK31" i="29"/>
  <c r="AJ31" i="29"/>
  <c r="AI31" i="29"/>
  <c r="AH31" i="29"/>
  <c r="AG31" i="29"/>
  <c r="AD31" i="29"/>
  <c r="AC31" i="29"/>
  <c r="X31" i="29"/>
  <c r="W31" i="29"/>
  <c r="U31" i="29"/>
  <c r="T31" i="29"/>
  <c r="AR30" i="29"/>
  <c r="AM30" i="29"/>
  <c r="AX30" i="29" s="1"/>
  <c r="AL30" i="29"/>
  <c r="AN30" i="29" s="1"/>
  <c r="AV30" i="29" s="1"/>
  <c r="AE30" i="29"/>
  <c r="AU30" i="29" s="1"/>
  <c r="Y30" i="29"/>
  <c r="AQ30" i="29" s="1"/>
  <c r="S30" i="29"/>
  <c r="V30" i="29" s="1"/>
  <c r="Z30" i="29" s="1"/>
  <c r="AR29" i="29"/>
  <c r="AR31" i="29" s="1"/>
  <c r="AM29" i="29"/>
  <c r="AL29" i="29"/>
  <c r="AE29" i="29"/>
  <c r="AE31" i="29" s="1"/>
  <c r="Y29" i="29"/>
  <c r="Y31" i="29" s="1"/>
  <c r="S29" i="29"/>
  <c r="AK28" i="29"/>
  <c r="AJ28" i="29"/>
  <c r="AI28" i="29"/>
  <c r="AH28" i="29"/>
  <c r="AG28" i="29"/>
  <c r="AD28" i="29"/>
  <c r="AC28" i="29"/>
  <c r="X28" i="29"/>
  <c r="W28" i="29"/>
  <c r="U28" i="29"/>
  <c r="T28" i="29"/>
  <c r="AR27" i="29"/>
  <c r="AM27" i="29"/>
  <c r="AL27" i="29"/>
  <c r="AW27" i="29" s="1"/>
  <c r="AE27" i="29"/>
  <c r="AU27" i="29" s="1"/>
  <c r="Y27" i="29"/>
  <c r="AQ27" i="29" s="1"/>
  <c r="V27" i="29"/>
  <c r="AB27" i="29" s="1"/>
  <c r="AT27" i="29" s="1"/>
  <c r="S27" i="29"/>
  <c r="AR26" i="29"/>
  <c r="AM26" i="29"/>
  <c r="AX26" i="29" s="1"/>
  <c r="AL26" i="29"/>
  <c r="AL28" i="29" s="1"/>
  <c r="AE26" i="29"/>
  <c r="AU26" i="29" s="1"/>
  <c r="Y26" i="29"/>
  <c r="S26" i="29"/>
  <c r="V26" i="29" s="1"/>
  <c r="AK25" i="29"/>
  <c r="AJ25" i="29"/>
  <c r="AI25" i="29"/>
  <c r="AH25" i="29"/>
  <c r="AG25" i="29"/>
  <c r="AD25" i="29"/>
  <c r="AC25" i="29"/>
  <c r="X25" i="29"/>
  <c r="W25" i="29"/>
  <c r="U25" i="29"/>
  <c r="T25" i="29"/>
  <c r="AW24" i="29"/>
  <c r="AR24" i="29"/>
  <c r="AM24" i="29"/>
  <c r="AX24" i="29" s="1"/>
  <c r="AL24" i="29"/>
  <c r="AN24" i="29" s="1"/>
  <c r="AV24" i="29" s="1"/>
  <c r="AE24" i="29"/>
  <c r="AU24" i="29" s="1"/>
  <c r="Z24" i="29"/>
  <c r="Y24" i="29"/>
  <c r="AQ24" i="29" s="1"/>
  <c r="S24" i="29"/>
  <c r="V24" i="29" s="1"/>
  <c r="AX23" i="29"/>
  <c r="AR23" i="29"/>
  <c r="AR25" i="29" s="1"/>
  <c r="AM23" i="29"/>
  <c r="AM25" i="29" s="1"/>
  <c r="AL23" i="29"/>
  <c r="AE23" i="29"/>
  <c r="AE25" i="29" s="1"/>
  <c r="Y23" i="29"/>
  <c r="AQ23" i="29" s="1"/>
  <c r="S23" i="29"/>
  <c r="AK22" i="29"/>
  <c r="AJ22" i="29"/>
  <c r="AI22" i="29"/>
  <c r="AH22" i="29"/>
  <c r="AG22" i="29"/>
  <c r="AD22" i="29"/>
  <c r="AC22" i="29"/>
  <c r="X22" i="29"/>
  <c r="W22" i="29"/>
  <c r="U22" i="29"/>
  <c r="T22" i="29"/>
  <c r="AR21" i="29"/>
  <c r="AM21" i="29"/>
  <c r="AX21" i="29" s="1"/>
  <c r="AL21" i="29"/>
  <c r="AW21" i="29" s="1"/>
  <c r="AE21" i="29"/>
  <c r="AU21" i="29" s="1"/>
  <c r="Y21" i="29"/>
  <c r="AQ21" i="29" s="1"/>
  <c r="S21" i="29"/>
  <c r="V21" i="29" s="1"/>
  <c r="AB21" i="29" s="1"/>
  <c r="AT21" i="29" s="1"/>
  <c r="AR20" i="29"/>
  <c r="AN20" i="29"/>
  <c r="AV20" i="29" s="1"/>
  <c r="AM20" i="29"/>
  <c r="AX20" i="29" s="1"/>
  <c r="AX22" i="29" s="1"/>
  <c r="AL20" i="29"/>
  <c r="AE20" i="29"/>
  <c r="AU20" i="29" s="1"/>
  <c r="Y20" i="29"/>
  <c r="S20" i="29"/>
  <c r="S22" i="29" s="1"/>
  <c r="AK19" i="29"/>
  <c r="AJ19" i="29"/>
  <c r="AI19" i="29"/>
  <c r="AH19" i="29"/>
  <c r="AG19" i="29"/>
  <c r="AD19" i="29"/>
  <c r="AC19" i="29"/>
  <c r="X19" i="29"/>
  <c r="W19" i="29"/>
  <c r="U19" i="29"/>
  <c r="T19" i="29"/>
  <c r="AR18" i="29"/>
  <c r="AM18" i="29"/>
  <c r="AX18" i="29" s="1"/>
  <c r="AL18" i="29"/>
  <c r="AW18" i="29" s="1"/>
  <c r="AE18" i="29"/>
  <c r="AU18" i="29" s="1"/>
  <c r="Y18" i="29"/>
  <c r="AQ18" i="29" s="1"/>
  <c r="S18" i="29"/>
  <c r="V18" i="29" s="1"/>
  <c r="AR17" i="29"/>
  <c r="AM17" i="29"/>
  <c r="AL17" i="29"/>
  <c r="AE17" i="29"/>
  <c r="AE19" i="29" s="1"/>
  <c r="Y17" i="29"/>
  <c r="AQ17" i="29" s="1"/>
  <c r="S17" i="29"/>
  <c r="AK16" i="29"/>
  <c r="AJ16" i="29"/>
  <c r="AI16" i="29"/>
  <c r="AH16" i="29"/>
  <c r="AG16" i="29"/>
  <c r="AD16" i="29"/>
  <c r="AC16" i="29"/>
  <c r="X16" i="29"/>
  <c r="W16" i="29"/>
  <c r="U16" i="29"/>
  <c r="T16" i="29"/>
  <c r="AR15" i="29"/>
  <c r="AM15" i="29"/>
  <c r="AL15" i="29"/>
  <c r="AW15" i="29" s="1"/>
  <c r="AE15" i="29"/>
  <c r="AU15" i="29" s="1"/>
  <c r="Y15" i="29"/>
  <c r="AQ15" i="29" s="1"/>
  <c r="S15" i="29"/>
  <c r="V15" i="29" s="1"/>
  <c r="AB15" i="29" s="1"/>
  <c r="AR14" i="29"/>
  <c r="AM14" i="29"/>
  <c r="AX14" i="29" s="1"/>
  <c r="AL14" i="29"/>
  <c r="AW14" i="29" s="1"/>
  <c r="AE14" i="29"/>
  <c r="Y14" i="29"/>
  <c r="S14" i="29"/>
  <c r="S16" i="29" s="1"/>
  <c r="AK13" i="29"/>
  <c r="AJ13" i="29"/>
  <c r="AI13" i="29"/>
  <c r="AH13" i="29"/>
  <c r="AG13" i="29"/>
  <c r="AD13" i="29"/>
  <c r="AC13" i="29"/>
  <c r="X13" i="29"/>
  <c r="W13" i="29"/>
  <c r="U13" i="29"/>
  <c r="T13" i="29"/>
  <c r="AW12" i="29"/>
  <c r="AW196" i="29" s="1"/>
  <c r="AR12" i="29"/>
  <c r="AR196" i="29" s="1"/>
  <c r="AM12" i="29"/>
  <c r="AM196" i="29" s="1"/>
  <c r="AL12" i="29"/>
  <c r="AL196" i="29" s="1"/>
  <c r="AE12" i="29"/>
  <c r="AE196" i="29" s="1"/>
  <c r="Y12" i="29"/>
  <c r="Y196" i="29" s="1"/>
  <c r="S12" i="29"/>
  <c r="S196" i="29" s="1"/>
  <c r="AB47" i="32" l="1"/>
  <c r="AT47" i="32" s="1"/>
  <c r="Z47" i="32"/>
  <c r="AK300" i="32"/>
  <c r="AD18" i="45" s="1"/>
  <c r="AN14" i="32"/>
  <c r="AW14" i="32"/>
  <c r="AL43" i="32"/>
  <c r="AW42" i="32"/>
  <c r="AW43" i="32" s="1"/>
  <c r="Z96" i="32"/>
  <c r="AB96" i="32"/>
  <c r="AB103" i="32"/>
  <c r="AT103" i="32" s="1"/>
  <c r="AP103" i="32"/>
  <c r="Z103" i="32"/>
  <c r="AX35" i="32"/>
  <c r="AX37" i="32" s="1"/>
  <c r="AU24" i="32"/>
  <c r="AE27" i="32"/>
  <c r="AW145" i="32"/>
  <c r="AX34" i="32"/>
  <c r="AA60" i="32"/>
  <c r="AS60" i="32" s="1"/>
  <c r="AN62" i="32"/>
  <c r="AV62" i="32" s="1"/>
  <c r="Z94" i="32"/>
  <c r="AF94" i="32" s="1"/>
  <c r="AO94" i="32" s="1"/>
  <c r="AW115" i="32"/>
  <c r="Y128" i="32"/>
  <c r="AR135" i="32"/>
  <c r="AN139" i="32"/>
  <c r="AV139" i="32" s="1"/>
  <c r="AN159" i="32"/>
  <c r="AV159" i="32" s="1"/>
  <c r="AN174" i="32"/>
  <c r="AV174" i="32" s="1"/>
  <c r="AN178" i="32"/>
  <c r="AV178" i="32" s="1"/>
  <c r="AA191" i="32"/>
  <c r="AN192" i="32"/>
  <c r="AV192" i="32" s="1"/>
  <c r="AN207" i="32"/>
  <c r="AV207" i="32" s="1"/>
  <c r="AX253" i="32"/>
  <c r="AR263" i="32"/>
  <c r="Z275" i="32"/>
  <c r="AA277" i="32"/>
  <c r="AS277" i="32" s="1"/>
  <c r="AN277" i="32"/>
  <c r="AV277" i="32" s="1"/>
  <c r="AA279" i="32"/>
  <c r="AS279" i="32" s="1"/>
  <c r="AK303" i="32"/>
  <c r="AW120" i="32"/>
  <c r="AW134" i="32"/>
  <c r="AL310" i="32"/>
  <c r="AN19" i="32"/>
  <c r="AV19" i="32" s="1"/>
  <c r="AN29" i="32"/>
  <c r="AV29" i="32" s="1"/>
  <c r="Y34" i="32"/>
  <c r="AM63" i="32"/>
  <c r="AN66" i="32"/>
  <c r="AV66" i="32" s="1"/>
  <c r="AN77" i="32"/>
  <c r="AV77" i="32" s="1"/>
  <c r="AA94" i="32"/>
  <c r="AS94" i="32" s="1"/>
  <c r="AP94" i="32"/>
  <c r="Y306" i="32"/>
  <c r="AR306" i="32"/>
  <c r="AL122" i="32"/>
  <c r="AE142" i="32"/>
  <c r="AN150" i="32"/>
  <c r="AV150" i="32" s="1"/>
  <c r="V183" i="32"/>
  <c r="AB183" i="32" s="1"/>
  <c r="AE186" i="32"/>
  <c r="AE193" i="32"/>
  <c r="AN188" i="32"/>
  <c r="AV188" i="32" s="1"/>
  <c r="AL197" i="32"/>
  <c r="AA196" i="32"/>
  <c r="AS196" i="32" s="1"/>
  <c r="AP196" i="32"/>
  <c r="AB205" i="32"/>
  <c r="AT205" i="32" s="1"/>
  <c r="AN211" i="32"/>
  <c r="AV211" i="32" s="1"/>
  <c r="Z215" i="32"/>
  <c r="AN248" i="32"/>
  <c r="AV248" i="32" s="1"/>
  <c r="Y253" i="32"/>
  <c r="AN268" i="32"/>
  <c r="AV268" i="32" s="1"/>
  <c r="AN292" i="32"/>
  <c r="AV292" i="32" s="1"/>
  <c r="Z293" i="32"/>
  <c r="AW298" i="32"/>
  <c r="AW299" i="32" s="1"/>
  <c r="AH303" i="32"/>
  <c r="Y313" i="32"/>
  <c r="S27" i="32"/>
  <c r="AM27" i="32"/>
  <c r="AN61" i="32"/>
  <c r="AV61" i="32" s="1"/>
  <c r="Z66" i="32"/>
  <c r="Z85" i="32"/>
  <c r="AN110" i="32"/>
  <c r="AV110" i="32" s="1"/>
  <c r="Z168" i="32"/>
  <c r="AN191" i="32"/>
  <c r="AV191" i="32" s="1"/>
  <c r="AN222" i="32"/>
  <c r="AN254" i="32"/>
  <c r="AV254" i="32" s="1"/>
  <c r="Z268" i="32"/>
  <c r="Z287" i="32"/>
  <c r="AL63" i="32"/>
  <c r="Z91" i="32"/>
  <c r="AB91" i="32"/>
  <c r="AT91" i="32" s="1"/>
  <c r="AB40" i="32"/>
  <c r="AT40" i="32" s="1"/>
  <c r="Z40" i="32"/>
  <c r="AF40" i="32" s="1"/>
  <c r="AO40" i="32" s="1"/>
  <c r="AW72" i="32"/>
  <c r="AN72" i="32"/>
  <c r="AV72" i="32" s="1"/>
  <c r="V119" i="32"/>
  <c r="S122" i="32"/>
  <c r="AN125" i="32"/>
  <c r="AV125" i="32" s="1"/>
  <c r="AW125" i="32"/>
  <c r="AW244" i="32"/>
  <c r="AN244" i="32"/>
  <c r="AV244" i="32" s="1"/>
  <c r="AB247" i="32"/>
  <c r="AT247" i="32" s="1"/>
  <c r="AA247" i="32"/>
  <c r="AS247" i="32" s="1"/>
  <c r="Y37" i="32"/>
  <c r="AW57" i="32"/>
  <c r="AW136" i="32"/>
  <c r="AL142" i="32"/>
  <c r="AX230" i="32"/>
  <c r="AN230" i="32"/>
  <c r="AV230" i="32" s="1"/>
  <c r="AA244" i="32"/>
  <c r="Z244" i="32"/>
  <c r="AM250" i="32"/>
  <c r="AB255" i="32"/>
  <c r="AT255" i="32" s="1"/>
  <c r="Z255" i="32"/>
  <c r="AW272" i="32"/>
  <c r="AN272" i="32"/>
  <c r="AV272" i="32" s="1"/>
  <c r="AA289" i="32"/>
  <c r="AS289" i="32" s="1"/>
  <c r="AB289" i="32"/>
  <c r="AT289" i="32" s="1"/>
  <c r="AN296" i="32"/>
  <c r="AV296" i="32" s="1"/>
  <c r="AW296" i="32"/>
  <c r="Y299" i="32"/>
  <c r="AQ298" i="32"/>
  <c r="AQ299" i="32" s="1"/>
  <c r="AB24" i="32"/>
  <c r="AT24" i="32" s="1"/>
  <c r="AP24" i="32"/>
  <c r="Z24" i="32"/>
  <c r="AB97" i="32"/>
  <c r="AA97" i="32"/>
  <c r="AW101" i="32"/>
  <c r="AN101" i="32"/>
  <c r="AV101" i="32" s="1"/>
  <c r="Y118" i="32"/>
  <c r="AQ112" i="32"/>
  <c r="AU143" i="32"/>
  <c r="AU144" i="32" s="1"/>
  <c r="AU32" i="32"/>
  <c r="AM111" i="32"/>
  <c r="AN124" i="32"/>
  <c r="AV124" i="32" s="1"/>
  <c r="AW124" i="32"/>
  <c r="AU136" i="32"/>
  <c r="AN158" i="32"/>
  <c r="AV158" i="32" s="1"/>
  <c r="AW158" i="32"/>
  <c r="AU22" i="32"/>
  <c r="AN20" i="32"/>
  <c r="AV20" i="32" s="1"/>
  <c r="Z21" i="32"/>
  <c r="AN25" i="32"/>
  <c r="AV25" i="32" s="1"/>
  <c r="S31" i="32"/>
  <c r="AM31" i="32"/>
  <c r="AN36" i="32"/>
  <c r="AV36" i="32" s="1"/>
  <c r="AA40" i="32"/>
  <c r="AS40" i="32" s="1"/>
  <c r="AP40" i="32"/>
  <c r="AX42" i="32"/>
  <c r="AX43" i="32" s="1"/>
  <c r="AN48" i="32"/>
  <c r="AN53" i="32"/>
  <c r="AV53" i="32" s="1"/>
  <c r="AW58" i="32"/>
  <c r="AN58" i="32"/>
  <c r="AV58" i="32" s="1"/>
  <c r="S63" i="32"/>
  <c r="V59" i="32"/>
  <c r="AB59" i="32" s="1"/>
  <c r="AT59" i="32" s="1"/>
  <c r="AR70" i="32"/>
  <c r="AN75" i="32"/>
  <c r="AV75" i="32" s="1"/>
  <c r="S83" i="32"/>
  <c r="V77" i="32"/>
  <c r="AP77" i="32" s="1"/>
  <c r="AM89" i="32"/>
  <c r="AX84" i="32"/>
  <c r="AN85" i="32"/>
  <c r="AV85" i="32" s="1"/>
  <c r="AN90" i="32"/>
  <c r="AV90" i="32" s="1"/>
  <c r="S105" i="32"/>
  <c r="AE105" i="32"/>
  <c r="AM309" i="32"/>
  <c r="AX99" i="32"/>
  <c r="AX309" i="32" s="1"/>
  <c r="AN100" i="32"/>
  <c r="AV100" i="32" s="1"/>
  <c r="S312" i="32"/>
  <c r="AL312" i="32"/>
  <c r="AW106" i="32"/>
  <c r="AW112" i="32"/>
  <c r="AQ123" i="32"/>
  <c r="S155" i="32"/>
  <c r="AM155" i="32"/>
  <c r="AP152" i="32"/>
  <c r="AA152" i="32"/>
  <c r="AS152" i="32" s="1"/>
  <c r="AN154" i="32"/>
  <c r="AV154" i="32" s="1"/>
  <c r="Z175" i="32"/>
  <c r="AP175" i="32"/>
  <c r="AB175" i="32"/>
  <c r="AT175" i="32" s="1"/>
  <c r="AR186" i="32"/>
  <c r="AW189" i="32"/>
  <c r="AN189" i="32"/>
  <c r="AV189" i="32" s="1"/>
  <c r="AP209" i="32"/>
  <c r="AB209" i="32"/>
  <c r="AT209" i="32" s="1"/>
  <c r="AB226" i="32"/>
  <c r="AT226" i="32" s="1"/>
  <c r="Z226" i="32"/>
  <c r="AN240" i="32"/>
  <c r="AW240" i="32"/>
  <c r="AB248" i="32"/>
  <c r="AT248" i="32" s="1"/>
  <c r="Z248" i="32"/>
  <c r="AP248" i="32"/>
  <c r="AA248" i="32"/>
  <c r="AS248" i="32" s="1"/>
  <c r="S253" i="32"/>
  <c r="V252" i="32"/>
  <c r="AB262" i="32"/>
  <c r="AT262" i="32" s="1"/>
  <c r="Z262" i="32"/>
  <c r="AP262" i="32"/>
  <c r="AA262" i="32"/>
  <c r="AS262" i="32" s="1"/>
  <c r="AA266" i="32"/>
  <c r="AS266" i="32" s="1"/>
  <c r="AB266" i="32"/>
  <c r="AT266" i="32" s="1"/>
  <c r="Z266" i="32"/>
  <c r="V270" i="32"/>
  <c r="S276" i="32"/>
  <c r="AB272" i="32"/>
  <c r="AT272" i="32" s="1"/>
  <c r="AA272" i="32"/>
  <c r="AS272" i="32" s="1"/>
  <c r="AW282" i="32"/>
  <c r="AM182" i="32"/>
  <c r="AX177" i="32"/>
  <c r="AX231" i="32"/>
  <c r="AN231" i="32"/>
  <c r="AV231" i="32" s="1"/>
  <c r="AM263" i="32"/>
  <c r="AX261" i="32"/>
  <c r="AX263" i="32" s="1"/>
  <c r="V298" i="32"/>
  <c r="S299" i="32"/>
  <c r="AN24" i="32"/>
  <c r="AV24" i="32" s="1"/>
  <c r="Z29" i="32"/>
  <c r="AP29" i="32"/>
  <c r="Z33" i="32"/>
  <c r="S34" i="32"/>
  <c r="Y41" i="32"/>
  <c r="AR41" i="32"/>
  <c r="AN42" i="32"/>
  <c r="AN43" i="32" s="1"/>
  <c r="Y43" i="32"/>
  <c r="AN57" i="32"/>
  <c r="AV57" i="32" s="1"/>
  <c r="AB61" i="32"/>
  <c r="AT61" i="32" s="1"/>
  <c r="Z61" i="32"/>
  <c r="AE70" i="32"/>
  <c r="AU64" i="32"/>
  <c r="AE76" i="32"/>
  <c r="AP74" i="32"/>
  <c r="AA74" i="32"/>
  <c r="AS74" i="32" s="1"/>
  <c r="Z75" i="32"/>
  <c r="AN81" i="32"/>
  <c r="AV81" i="32" s="1"/>
  <c r="AN104" i="32"/>
  <c r="AV104" i="32" s="1"/>
  <c r="AX108" i="32"/>
  <c r="AN109" i="32"/>
  <c r="AV109" i="32" s="1"/>
  <c r="AW109" i="32"/>
  <c r="AQ143" i="32"/>
  <c r="AQ144" i="32" s="1"/>
  <c r="Y144" i="32"/>
  <c r="S169" i="32"/>
  <c r="AW217" i="32"/>
  <c r="AN217" i="32"/>
  <c r="AV217" i="32" s="1"/>
  <c r="AB233" i="32"/>
  <c r="AA233" i="32"/>
  <c r="AS233" i="32" s="1"/>
  <c r="AR313" i="32"/>
  <c r="Y304" i="32"/>
  <c r="S310" i="32"/>
  <c r="S22" i="32"/>
  <c r="AM22" i="32"/>
  <c r="AR34" i="32"/>
  <c r="AE37" i="32"/>
  <c r="AR37" i="32"/>
  <c r="AE41" i="32"/>
  <c r="AU38" i="32"/>
  <c r="AM56" i="32"/>
  <c r="AN52" i="32"/>
  <c r="AV52" i="32" s="1"/>
  <c r="Y70" i="32"/>
  <c r="AL76" i="32"/>
  <c r="AW71" i="32"/>
  <c r="AL83" i="32"/>
  <c r="Y89" i="32"/>
  <c r="AR95" i="32"/>
  <c r="AN103" i="32"/>
  <c r="AV103" i="32" s="1"/>
  <c r="AW103" i="32"/>
  <c r="Y105" i="32"/>
  <c r="AR312" i="32"/>
  <c r="AN114" i="32"/>
  <c r="AV114" i="32" s="1"/>
  <c r="AU122" i="32"/>
  <c r="AW119" i="32"/>
  <c r="AW122" i="32" s="1"/>
  <c r="AR122" i="32"/>
  <c r="AE122" i="32"/>
  <c r="AR128" i="32"/>
  <c r="AE135" i="32"/>
  <c r="AN138" i="32"/>
  <c r="AV138" i="32" s="1"/>
  <c r="AN143" i="32"/>
  <c r="AW143" i="32"/>
  <c r="AW144" i="32" s="1"/>
  <c r="AR155" i="32"/>
  <c r="AA168" i="32"/>
  <c r="AS168" i="32" s="1"/>
  <c r="AP168" i="32"/>
  <c r="AM193" i="32"/>
  <c r="AB191" i="32"/>
  <c r="AT191" i="32" s="1"/>
  <c r="Z191" i="32"/>
  <c r="AW191" i="32"/>
  <c r="AL203" i="32"/>
  <c r="AN198" i="32"/>
  <c r="AV198" i="32" s="1"/>
  <c r="Y212" i="32"/>
  <c r="AW222" i="32"/>
  <c r="AW238" i="32"/>
  <c r="AN238" i="32"/>
  <c r="AV238" i="32" s="1"/>
  <c r="AW245" i="32"/>
  <c r="AW292" i="32"/>
  <c r="AB296" i="32"/>
  <c r="AT296" i="32" s="1"/>
  <c r="AP296" i="32"/>
  <c r="AA296" i="32"/>
  <c r="AS296" i="32" s="1"/>
  <c r="Z296" i="32"/>
  <c r="S76" i="32"/>
  <c r="AM76" i="32"/>
  <c r="AX71" i="32"/>
  <c r="AM83" i="32"/>
  <c r="AL89" i="32"/>
  <c r="AN94" i="32"/>
  <c r="AV94" i="32" s="1"/>
  <c r="AW94" i="32"/>
  <c r="S306" i="32"/>
  <c r="AU97" i="32"/>
  <c r="AU306" i="32" s="1"/>
  <c r="AW309" i="32"/>
  <c r="AE312" i="32"/>
  <c r="AE107" i="32"/>
  <c r="Z114" i="32"/>
  <c r="AM122" i="32"/>
  <c r="AN129" i="32"/>
  <c r="AV129" i="32" s="1"/>
  <c r="AN130" i="32"/>
  <c r="AV130" i="32" s="1"/>
  <c r="AN133" i="32"/>
  <c r="AV133" i="32" s="1"/>
  <c r="AQ142" i="32"/>
  <c r="Z138" i="32"/>
  <c r="AM144" i="32"/>
  <c r="AX143" i="32"/>
  <c r="AX144" i="32" s="1"/>
  <c r="AL148" i="32"/>
  <c r="AN149" i="32"/>
  <c r="AV149" i="32" s="1"/>
  <c r="AN172" i="32"/>
  <c r="AV172" i="32" s="1"/>
  <c r="AW172" i="32"/>
  <c r="AN173" i="32"/>
  <c r="AV173" i="32" s="1"/>
  <c r="AN177" i="32"/>
  <c r="AW194" i="32"/>
  <c r="AN194" i="32"/>
  <c r="AE219" i="32"/>
  <c r="AB216" i="32"/>
  <c r="AT216" i="32" s="1"/>
  <c r="Z216" i="32"/>
  <c r="AW258" i="32"/>
  <c r="AN258" i="32"/>
  <c r="AV258" i="32" s="1"/>
  <c r="AN153" i="32"/>
  <c r="AV153" i="32" s="1"/>
  <c r="AE162" i="32"/>
  <c r="AR162" i="32"/>
  <c r="Z158" i="32"/>
  <c r="AW211" i="32"/>
  <c r="AB229" i="32"/>
  <c r="AT229" i="32" s="1"/>
  <c r="AP229" i="32"/>
  <c r="AA229" i="32"/>
  <c r="AS229" i="32" s="1"/>
  <c r="AX240" i="32"/>
  <c r="AX243" i="32" s="1"/>
  <c r="AM243" i="32"/>
  <c r="S243" i="32"/>
  <c r="AW241" i="32"/>
  <c r="AW243" i="32" s="1"/>
  <c r="AN241" i="32"/>
  <c r="AV241" i="32" s="1"/>
  <c r="Y250" i="32"/>
  <c r="AQ251" i="32"/>
  <c r="AQ253" i="32" s="1"/>
  <c r="AQ261" i="32"/>
  <c r="AQ263" i="32" s="1"/>
  <c r="AM276" i="32"/>
  <c r="AR290" i="32"/>
  <c r="AE197" i="32"/>
  <c r="AW196" i="32"/>
  <c r="Y219" i="32"/>
  <c r="AN216" i="32"/>
  <c r="AV216" i="32" s="1"/>
  <c r="Z218" i="32"/>
  <c r="S232" i="32"/>
  <c r="AL239" i="32"/>
  <c r="AW233" i="32"/>
  <c r="AW236" i="32"/>
  <c r="AN236" i="32"/>
  <c r="AV236" i="32" s="1"/>
  <c r="V241" i="32"/>
  <c r="AR250" i="32"/>
  <c r="AN249" i="32"/>
  <c r="AV249" i="32" s="1"/>
  <c r="AW249" i="32"/>
  <c r="AM260" i="32"/>
  <c r="AE263" i="32"/>
  <c r="AU261" i="32"/>
  <c r="AN284" i="32"/>
  <c r="AI303" i="32"/>
  <c r="AL225" i="32"/>
  <c r="AR239" i="32"/>
  <c r="AE243" i="32"/>
  <c r="AR243" i="32"/>
  <c r="S263" i="32"/>
  <c r="Y290" i="32"/>
  <c r="L303" i="32"/>
  <c r="P303" i="32"/>
  <c r="AJ303" i="32"/>
  <c r="AI76" i="31"/>
  <c r="AL75" i="31" s="1"/>
  <c r="T76" i="31"/>
  <c r="AB145" i="29"/>
  <c r="AT145" i="29" s="1"/>
  <c r="Z145" i="29"/>
  <c r="Z126" i="29"/>
  <c r="AA126" i="29"/>
  <c r="AS126" i="29" s="1"/>
  <c r="AB134" i="29"/>
  <c r="AT134" i="29" s="1"/>
  <c r="Z134" i="29"/>
  <c r="AQ81" i="29"/>
  <c r="AU57" i="29"/>
  <c r="Y64" i="29"/>
  <c r="AP65" i="29"/>
  <c r="Z86" i="29"/>
  <c r="Z107" i="29"/>
  <c r="AF107" i="29" s="1"/>
  <c r="Y159" i="29"/>
  <c r="V14" i="29"/>
  <c r="AP14" i="29" s="1"/>
  <c r="AM19" i="29"/>
  <c r="AL22" i="29"/>
  <c r="AX57" i="29"/>
  <c r="S61" i="29"/>
  <c r="AE64" i="29"/>
  <c r="AX62" i="29"/>
  <c r="AA70" i="29"/>
  <c r="AS70" i="29" s="1"/>
  <c r="AN70" i="29"/>
  <c r="AV70" i="29" s="1"/>
  <c r="AN78" i="29"/>
  <c r="AV78" i="29" s="1"/>
  <c r="AE147" i="29"/>
  <c r="AB155" i="29"/>
  <c r="AT155" i="29" s="1"/>
  <c r="AN167" i="29"/>
  <c r="AN174" i="29"/>
  <c r="AV174" i="29" s="1"/>
  <c r="AN180" i="29"/>
  <c r="AV180" i="29" s="1"/>
  <c r="AN32" i="29"/>
  <c r="AV32" i="29" s="1"/>
  <c r="AN43" i="29"/>
  <c r="AV43" i="29" s="1"/>
  <c r="AN87" i="29"/>
  <c r="AV87" i="29" s="1"/>
  <c r="AN154" i="29"/>
  <c r="AV154" i="29" s="1"/>
  <c r="AN14" i="29"/>
  <c r="AV14" i="29" s="1"/>
  <c r="AR19" i="29"/>
  <c r="V20" i="29"/>
  <c r="AM31" i="29"/>
  <c r="S42" i="29"/>
  <c r="AE53" i="29"/>
  <c r="Y71" i="29"/>
  <c r="AL94" i="29"/>
  <c r="AN97" i="29"/>
  <c r="AV97" i="29" s="1"/>
  <c r="Y118" i="29"/>
  <c r="AN121" i="29"/>
  <c r="AV121" i="29" s="1"/>
  <c r="AN123" i="29"/>
  <c r="AV123" i="29" s="1"/>
  <c r="AA137" i="29"/>
  <c r="AS137" i="29" s="1"/>
  <c r="AN139" i="29"/>
  <c r="AV139" i="29" s="1"/>
  <c r="AQ159" i="29"/>
  <c r="AA160" i="29"/>
  <c r="AS160" i="29" s="1"/>
  <c r="Z165" i="29"/>
  <c r="Z180" i="29"/>
  <c r="Z66" i="29"/>
  <c r="AB66" i="29"/>
  <c r="AT66" i="29" s="1"/>
  <c r="AU34" i="29"/>
  <c r="AB143" i="29"/>
  <c r="AT143" i="29" s="1"/>
  <c r="AP143" i="29"/>
  <c r="AB158" i="29"/>
  <c r="AT158" i="29" s="1"/>
  <c r="AP158" i="29"/>
  <c r="Z158" i="29"/>
  <c r="AX12" i="29"/>
  <c r="AX196" i="29" s="1"/>
  <c r="AX17" i="29"/>
  <c r="AX19" i="29" s="1"/>
  <c r="AN18" i="29"/>
  <c r="AV18" i="29" s="1"/>
  <c r="AU22" i="29"/>
  <c r="AR22" i="29"/>
  <c r="Y25" i="29"/>
  <c r="AQ29" i="29"/>
  <c r="AW32" i="29"/>
  <c r="AW34" i="29" s="1"/>
  <c r="AE38" i="29"/>
  <c r="V39" i="29"/>
  <c r="AP39" i="29" s="1"/>
  <c r="AP42" i="29" s="1"/>
  <c r="AX42" i="29"/>
  <c r="AR46" i="29"/>
  <c r="Y50" i="29"/>
  <c r="AN52" i="29"/>
  <c r="AV52" i="29" s="1"/>
  <c r="AW52" i="29"/>
  <c r="Y53" i="29"/>
  <c r="AN54" i="29"/>
  <c r="AV54" i="29" s="1"/>
  <c r="S57" i="29"/>
  <c r="V55" i="29"/>
  <c r="AP55" i="29" s="1"/>
  <c r="Y61" i="29"/>
  <c r="V60" i="29"/>
  <c r="AP60" i="29" s="1"/>
  <c r="AE76" i="29"/>
  <c r="AR76" i="29"/>
  <c r="AN73" i="29"/>
  <c r="AV73" i="29" s="1"/>
  <c r="Z99" i="29"/>
  <c r="AB99" i="29"/>
  <c r="AT99" i="29" s="1"/>
  <c r="AB102" i="29"/>
  <c r="AT102" i="29" s="1"/>
  <c r="AP102" i="29"/>
  <c r="Z102" i="29"/>
  <c r="V106" i="29"/>
  <c r="AP105" i="29"/>
  <c r="AA105" i="29"/>
  <c r="AS105" i="29" s="1"/>
  <c r="AN114" i="29"/>
  <c r="AV114" i="29" s="1"/>
  <c r="AW114" i="29"/>
  <c r="AU131" i="29"/>
  <c r="AE132" i="29"/>
  <c r="AB141" i="29"/>
  <c r="Z141" i="29"/>
  <c r="AP144" i="29"/>
  <c r="Z144" i="29"/>
  <c r="AP149" i="29"/>
  <c r="Z149" i="29"/>
  <c r="Y151" i="29"/>
  <c r="AQ150" i="29"/>
  <c r="AQ193" i="29" s="1"/>
  <c r="AX157" i="29"/>
  <c r="AX159" i="29" s="1"/>
  <c r="AM159" i="29"/>
  <c r="AN157" i="29"/>
  <c r="AB165" i="29"/>
  <c r="AT165" i="29" s="1"/>
  <c r="AW37" i="29"/>
  <c r="AW42" i="29"/>
  <c r="AW41" i="29"/>
  <c r="V47" i="29"/>
  <c r="AP47" i="29" s="1"/>
  <c r="S50" i="29"/>
  <c r="AX64" i="29"/>
  <c r="AL76" i="29"/>
  <c r="Y13" i="29"/>
  <c r="AM16" i="29"/>
  <c r="Y19" i="29"/>
  <c r="AN26" i="29"/>
  <c r="AV26" i="29" s="1"/>
  <c r="V34" i="29"/>
  <c r="AX35" i="29"/>
  <c r="AQ39" i="29"/>
  <c r="AQ42" i="29" s="1"/>
  <c r="AN48" i="29"/>
  <c r="AV48" i="29" s="1"/>
  <c r="V52" i="29"/>
  <c r="Z52" i="29" s="1"/>
  <c r="S53" i="29"/>
  <c r="AQ62" i="29"/>
  <c r="AQ64" i="29" s="1"/>
  <c r="AN63" i="29"/>
  <c r="AV63" i="29" s="1"/>
  <c r="AX68" i="29"/>
  <c r="AL71" i="29"/>
  <c r="AA75" i="29"/>
  <c r="AS75" i="29" s="1"/>
  <c r="AN75" i="29"/>
  <c r="AV75" i="29" s="1"/>
  <c r="AN81" i="29"/>
  <c r="AV81" i="29" s="1"/>
  <c r="AW81" i="29"/>
  <c r="AW109" i="29"/>
  <c r="AN109" i="29"/>
  <c r="AV109" i="29" s="1"/>
  <c r="AB110" i="29"/>
  <c r="AT110" i="29" s="1"/>
  <c r="Z110" i="29"/>
  <c r="AB114" i="29"/>
  <c r="AT114" i="29" s="1"/>
  <c r="AP114" i="29"/>
  <c r="AA114" i="29"/>
  <c r="AS114" i="29" s="1"/>
  <c r="Z150" i="29"/>
  <c r="AN150" i="29"/>
  <c r="AV150" i="29" s="1"/>
  <c r="Z176" i="29"/>
  <c r="AX29" i="29"/>
  <c r="AX31" i="29" s="1"/>
  <c r="AM34" i="29"/>
  <c r="AB91" i="29"/>
  <c r="AT91" i="29" s="1"/>
  <c r="Z91" i="29"/>
  <c r="AB96" i="29"/>
  <c r="AT96" i="29" s="1"/>
  <c r="Z96" i="29"/>
  <c r="AN128" i="29"/>
  <c r="AV128" i="29" s="1"/>
  <c r="AW128" i="29"/>
  <c r="AM156" i="29"/>
  <c r="AX152" i="29"/>
  <c r="V22" i="29"/>
  <c r="AW20" i="29"/>
  <c r="AU28" i="29"/>
  <c r="S28" i="29"/>
  <c r="AM28" i="29"/>
  <c r="AU29" i="29"/>
  <c r="AW30" i="29"/>
  <c r="Y38" i="29"/>
  <c r="AQ35" i="29"/>
  <c r="AQ38" i="29" s="1"/>
  <c r="AE42" i="29"/>
  <c r="S46" i="29"/>
  <c r="AL50" i="29"/>
  <c r="AW53" i="29"/>
  <c r="AL61" i="29"/>
  <c r="AN65" i="29"/>
  <c r="AV65" i="29" s="1"/>
  <c r="AN66" i="29"/>
  <c r="AV66" i="29" s="1"/>
  <c r="AW66" i="29"/>
  <c r="AW68" i="29" s="1"/>
  <c r="AQ69" i="29"/>
  <c r="AQ71" i="29" s="1"/>
  <c r="S76" i="29"/>
  <c r="V72" i="29"/>
  <c r="AE82" i="29"/>
  <c r="AP85" i="29"/>
  <c r="AA85" i="29"/>
  <c r="AS85" i="29" s="1"/>
  <c r="AW89" i="29"/>
  <c r="AW92" i="29"/>
  <c r="AN92" i="29"/>
  <c r="AV92" i="29" s="1"/>
  <c r="Z101" i="29"/>
  <c r="AA101" i="29"/>
  <c r="AM106" i="29"/>
  <c r="AM112" i="29"/>
  <c r="S195" i="29"/>
  <c r="V131" i="29"/>
  <c r="AB131" i="29" s="1"/>
  <c r="AB138" i="29"/>
  <c r="AT138" i="29" s="1"/>
  <c r="Z138" i="29"/>
  <c r="AX142" i="29"/>
  <c r="AN142" i="29"/>
  <c r="AV142" i="29" s="1"/>
  <c r="AW149" i="29"/>
  <c r="AW151" i="29" s="1"/>
  <c r="AL159" i="29"/>
  <c r="AQ167" i="29"/>
  <c r="AQ169" i="29" s="1"/>
  <c r="Y169" i="29"/>
  <c r="AU168" i="29"/>
  <c r="AU193" i="29" s="1"/>
  <c r="AE169" i="29"/>
  <c r="AM175" i="29"/>
  <c r="AX170" i="29"/>
  <c r="AW174" i="29"/>
  <c r="AM53" i="29"/>
  <c r="Y57" i="29"/>
  <c r="S88" i="29"/>
  <c r="AN86" i="29"/>
  <c r="AV86" i="29" s="1"/>
  <c r="AR94" i="29"/>
  <c r="Y94" i="29"/>
  <c r="AN91" i="29"/>
  <c r="AV91" i="29" s="1"/>
  <c r="AN96" i="29"/>
  <c r="AV96" i="29" s="1"/>
  <c r="AQ113" i="29"/>
  <c r="AN116" i="29"/>
  <c r="AV116" i="29" s="1"/>
  <c r="AM118" i="29"/>
  <c r="AL124" i="29"/>
  <c r="AR190" i="29"/>
  <c r="AW169" i="29"/>
  <c r="AX168" i="29"/>
  <c r="AX169" i="29" s="1"/>
  <c r="AL182" i="29"/>
  <c r="AW176" i="29"/>
  <c r="L186" i="29"/>
  <c r="P186" i="29"/>
  <c r="AJ186" i="29"/>
  <c r="AM100" i="29"/>
  <c r="AX95" i="29"/>
  <c r="AR100" i="29"/>
  <c r="AW105" i="29"/>
  <c r="AW106" i="29" s="1"/>
  <c r="AN105" i="29"/>
  <c r="AV105" i="29" s="1"/>
  <c r="AN110" i="29"/>
  <c r="AV110" i="29" s="1"/>
  <c r="AM124" i="29"/>
  <c r="AR130" i="29"/>
  <c r="AB127" i="29"/>
  <c r="AT127" i="29" s="1"/>
  <c r="AP127" i="29"/>
  <c r="AA127" i="29"/>
  <c r="AS127" i="29" s="1"/>
  <c r="AW127" i="29"/>
  <c r="AE130" i="29"/>
  <c r="Y195" i="29"/>
  <c r="AQ131" i="29"/>
  <c r="AW135" i="29"/>
  <c r="AN135" i="29"/>
  <c r="AV135" i="29" s="1"/>
  <c r="AW162" i="29"/>
  <c r="AN162" i="29"/>
  <c r="AV162" i="29" s="1"/>
  <c r="S166" i="29"/>
  <c r="AE100" i="29"/>
  <c r="AN98" i="29"/>
  <c r="AV98" i="29" s="1"/>
  <c r="AR106" i="29"/>
  <c r="AR124" i="29"/>
  <c r="AR151" i="29"/>
  <c r="AE166" i="29"/>
  <c r="AU169" i="29"/>
  <c r="AR169" i="29"/>
  <c r="AN168" i="29"/>
  <c r="AV168" i="29" s="1"/>
  <c r="AN171" i="29"/>
  <c r="AV171" i="29" s="1"/>
  <c r="J186" i="29"/>
  <c r="N186" i="29"/>
  <c r="R186" i="29"/>
  <c r="X186" i="29"/>
  <c r="Z148" i="29"/>
  <c r="Z151" i="29" s="1"/>
  <c r="AB148" i="29"/>
  <c r="AU25" i="31"/>
  <c r="AU36" i="30"/>
  <c r="AL175" i="29"/>
  <c r="AN170" i="29"/>
  <c r="AV170" i="29" s="1"/>
  <c r="Y175" i="29"/>
  <c r="AU61" i="30"/>
  <c r="Z61" i="30"/>
  <c r="AP61" i="30"/>
  <c r="AU106" i="32"/>
  <c r="AU107" i="32" s="1"/>
  <c r="AW130" i="32"/>
  <c r="AG300" i="32"/>
  <c r="Z18" i="45" s="1"/>
  <c r="AW90" i="32"/>
  <c r="S95" i="32"/>
  <c r="AG303" i="32"/>
  <c r="AW12" i="32"/>
  <c r="AU64" i="31"/>
  <c r="AU66" i="31" s="1"/>
  <c r="AD101" i="30"/>
  <c r="Z71" i="30"/>
  <c r="AP71" i="30"/>
  <c r="AQ38" i="31"/>
  <c r="U76" i="31"/>
  <c r="AW52" i="32"/>
  <c r="AL56" i="32"/>
  <c r="AW150" i="32"/>
  <c r="Y221" i="32"/>
  <c r="AE118" i="32"/>
  <c r="Y95" i="32"/>
  <c r="AC300" i="32"/>
  <c r="V18" i="45" s="1"/>
  <c r="AC303" i="32"/>
  <c r="U300" i="32"/>
  <c r="N18" i="45" s="1"/>
  <c r="T303" i="32"/>
  <c r="AE304" i="32"/>
  <c r="AD303" i="32"/>
  <c r="I301" i="32"/>
  <c r="D18" i="45"/>
  <c r="AR27" i="32"/>
  <c r="AU31" i="32"/>
  <c r="AR50" i="32"/>
  <c r="AX56" i="32"/>
  <c r="AR63" i="32"/>
  <c r="AU70" i="32"/>
  <c r="AU83" i="32"/>
  <c r="AR83" i="32"/>
  <c r="AR118" i="32"/>
  <c r="AR142" i="32"/>
  <c r="AU162" i="32"/>
  <c r="AR253" i="32"/>
  <c r="AR283" i="32"/>
  <c r="AR304" i="32"/>
  <c r="AR22" i="32"/>
  <c r="AU27" i="32"/>
  <c r="AU34" i="32"/>
  <c r="AX89" i="32"/>
  <c r="AR105" i="32"/>
  <c r="AX111" i="32"/>
  <c r="AU118" i="32"/>
  <c r="AU142" i="32"/>
  <c r="AR197" i="32"/>
  <c r="AR203" i="32"/>
  <c r="AR225" i="32"/>
  <c r="AX225" i="32"/>
  <c r="AU263" i="32"/>
  <c r="AQ269" i="32"/>
  <c r="P301" i="32"/>
  <c r="J18" i="45"/>
  <c r="AR31" i="32"/>
  <c r="AW37" i="32"/>
  <c r="AX76" i="32"/>
  <c r="AR89" i="32"/>
  <c r="AR111" i="32"/>
  <c r="AR176" i="32"/>
  <c r="AR193" i="32"/>
  <c r="AU197" i="32"/>
  <c r="AR212" i="32"/>
  <c r="AU232" i="32"/>
  <c r="AR260" i="32"/>
  <c r="AR269" i="32"/>
  <c r="AQ84" i="31"/>
  <c r="AX47" i="31"/>
  <c r="AX51" i="31"/>
  <c r="AR63" i="31"/>
  <c r="AX66" i="31"/>
  <c r="AW66" i="31"/>
  <c r="AR72" i="31"/>
  <c r="AR18" i="31"/>
  <c r="AR78" i="31"/>
  <c r="I74" i="31"/>
  <c r="P74" i="31"/>
  <c r="J17" i="45"/>
  <c r="AQ83" i="31"/>
  <c r="L76" i="31"/>
  <c r="P76" i="31"/>
  <c r="AF56" i="30"/>
  <c r="AO56" i="30" s="1"/>
  <c r="AA56" i="30"/>
  <c r="AS56" i="30" s="1"/>
  <c r="T98" i="30"/>
  <c r="M16" i="45" s="1"/>
  <c r="AU83" i="30"/>
  <c r="AX103" i="30"/>
  <c r="AR109" i="30"/>
  <c r="AU64" i="30"/>
  <c r="AU79" i="30"/>
  <c r="N101" i="30"/>
  <c r="R101" i="30"/>
  <c r="I99" i="30"/>
  <c r="D16" i="45"/>
  <c r="AR108" i="30"/>
  <c r="AU105" i="30"/>
  <c r="AQ60" i="30"/>
  <c r="AW73" i="30"/>
  <c r="AR73" i="30"/>
  <c r="AQ47" i="30"/>
  <c r="AU60" i="30"/>
  <c r="AQ64" i="30"/>
  <c r="AR97" i="30"/>
  <c r="L101" i="30"/>
  <c r="P101" i="30"/>
  <c r="AW171" i="29"/>
  <c r="AW190" i="29"/>
  <c r="AL88" i="29"/>
  <c r="AX51" i="29"/>
  <c r="AX53" i="29" s="1"/>
  <c r="AH186" i="29"/>
  <c r="Z108" i="29"/>
  <c r="AP108" i="29"/>
  <c r="AE106" i="29"/>
  <c r="T186" i="29"/>
  <c r="AU62" i="29"/>
  <c r="AU64" i="29" s="1"/>
  <c r="AD186" i="29"/>
  <c r="AU51" i="29"/>
  <c r="AU53" i="29" s="1"/>
  <c r="AU39" i="29"/>
  <c r="AU42" i="29" s="1"/>
  <c r="AE34" i="29"/>
  <c r="AU17" i="29"/>
  <c r="AU19" i="29" s="1"/>
  <c r="AR34" i="29"/>
  <c r="AR38" i="29"/>
  <c r="AR42" i="29"/>
  <c r="AW46" i="29"/>
  <c r="AU50" i="29"/>
  <c r="AW50" i="29"/>
  <c r="AR57" i="29"/>
  <c r="AR61" i="29"/>
  <c r="AW64" i="29"/>
  <c r="AR64" i="29"/>
  <c r="AW71" i="29"/>
  <c r="AU76" i="29"/>
  <c r="AQ130" i="29"/>
  <c r="AW159" i="29"/>
  <c r="AR175" i="29"/>
  <c r="AR182" i="29"/>
  <c r="AQ19" i="29"/>
  <c r="AR53" i="29"/>
  <c r="AX61" i="29"/>
  <c r="AU94" i="29"/>
  <c r="AR112" i="29"/>
  <c r="AQ112" i="29"/>
  <c r="AR156" i="29"/>
  <c r="P184" i="29"/>
  <c r="J15" i="45"/>
  <c r="AW22" i="29"/>
  <c r="AR28" i="29"/>
  <c r="AU46" i="29"/>
  <c r="AR50" i="29"/>
  <c r="AR68" i="29"/>
  <c r="AQ100" i="29"/>
  <c r="AQ118" i="29"/>
  <c r="AW124" i="29"/>
  <c r="AX140" i="29"/>
  <c r="AQ151" i="29"/>
  <c r="I184" i="29"/>
  <c r="C15" i="45"/>
  <c r="K303" i="32"/>
  <c r="O303" i="32"/>
  <c r="W303" i="32"/>
  <c r="X303" i="32"/>
  <c r="AX17" i="32"/>
  <c r="AQ27" i="32"/>
  <c r="AT38" i="32"/>
  <c r="Z39" i="32"/>
  <c r="AA39" i="32"/>
  <c r="AS39" i="32" s="1"/>
  <c r="AB39" i="32"/>
  <c r="AT39" i="32" s="1"/>
  <c r="AP39" i="32"/>
  <c r="AB19" i="32"/>
  <c r="AT19" i="32" s="1"/>
  <c r="AP19" i="32"/>
  <c r="Z19" i="32"/>
  <c r="AA19" i="32"/>
  <c r="AS19" i="32" s="1"/>
  <c r="AW13" i="32"/>
  <c r="AV14" i="32"/>
  <c r="AB15" i="32"/>
  <c r="AT15" i="32" s="1"/>
  <c r="AL41" i="32"/>
  <c r="AM305" i="32"/>
  <c r="AX45" i="32"/>
  <c r="AX50" i="32" s="1"/>
  <c r="Z46" i="32"/>
  <c r="AB46" i="32"/>
  <c r="AT46" i="32" s="1"/>
  <c r="AW46" i="32"/>
  <c r="AN46" i="32"/>
  <c r="AV46" i="32" s="1"/>
  <c r="V63" i="32"/>
  <c r="AB57" i="32"/>
  <c r="AP57" i="32"/>
  <c r="AA57" i="32"/>
  <c r="AP64" i="32"/>
  <c r="AA64" i="32"/>
  <c r="Z64" i="32"/>
  <c r="AW98" i="32"/>
  <c r="AN98" i="32"/>
  <c r="AV98" i="32" s="1"/>
  <c r="S128" i="32"/>
  <c r="V123" i="32"/>
  <c r="AW127" i="32"/>
  <c r="AN127" i="32"/>
  <c r="AV127" i="32" s="1"/>
  <c r="K76" i="31"/>
  <c r="O76" i="31"/>
  <c r="AD300" i="32"/>
  <c r="W18" i="45" s="1"/>
  <c r="AH300" i="32"/>
  <c r="AL13" i="32"/>
  <c r="AX13" i="32"/>
  <c r="Z14" i="32"/>
  <c r="AN15" i="32"/>
  <c r="AV15" i="32" s="1"/>
  <c r="V16" i="32"/>
  <c r="AM310" i="32"/>
  <c r="S17" i="32"/>
  <c r="AE17" i="32"/>
  <c r="AN18" i="32"/>
  <c r="AN21" i="32"/>
  <c r="AV21" i="32" s="1"/>
  <c r="AN26" i="32"/>
  <c r="AV26" i="32" s="1"/>
  <c r="AT32" i="32"/>
  <c r="AN32" i="32"/>
  <c r="AW33" i="32"/>
  <c r="AN33" i="32"/>
  <c r="AV33" i="32" s="1"/>
  <c r="AL34" i="32"/>
  <c r="AB36" i="32"/>
  <c r="AT36" i="32" s="1"/>
  <c r="AP36" i="32"/>
  <c r="AA36" i="32"/>
  <c r="AS36" i="32" s="1"/>
  <c r="AX38" i="32"/>
  <c r="AX41" i="32" s="1"/>
  <c r="AM41" i="32"/>
  <c r="AU41" i="32"/>
  <c r="AW40" i="32"/>
  <c r="V41" i="32"/>
  <c r="V50" i="32"/>
  <c r="AW50" i="32"/>
  <c r="AT45" i="32"/>
  <c r="Y311" i="32"/>
  <c r="AQ48" i="32"/>
  <c r="AP49" i="32"/>
  <c r="AA49" i="32"/>
  <c r="AS49" i="32" s="1"/>
  <c r="Z49" i="32"/>
  <c r="Z55" i="32"/>
  <c r="AB55" i="32"/>
  <c r="AT55" i="32" s="1"/>
  <c r="AW55" i="32"/>
  <c r="AN55" i="32"/>
  <c r="AV55" i="32" s="1"/>
  <c r="AQ63" i="32"/>
  <c r="AX64" i="32"/>
  <c r="AX70" i="32" s="1"/>
  <c r="AM70" i="32"/>
  <c r="Z65" i="32"/>
  <c r="AB65" i="32"/>
  <c r="AT65" i="32" s="1"/>
  <c r="AW65" i="32"/>
  <c r="AW70" i="32" s="1"/>
  <c r="AN65" i="32"/>
  <c r="AV65" i="32" s="1"/>
  <c r="AL70" i="32"/>
  <c r="AP73" i="32"/>
  <c r="AA73" i="32"/>
  <c r="AS73" i="32" s="1"/>
  <c r="Z73" i="32"/>
  <c r="AP78" i="32"/>
  <c r="AA78" i="32"/>
  <c r="AS78" i="32" s="1"/>
  <c r="Z78" i="32"/>
  <c r="Z88" i="32"/>
  <c r="AB88" i="32"/>
  <c r="AT88" i="32" s="1"/>
  <c r="AW88" i="32"/>
  <c r="AN88" i="32"/>
  <c r="AV88" i="32" s="1"/>
  <c r="AT96" i="32"/>
  <c r="AT97" i="32"/>
  <c r="Z98" i="32"/>
  <c r="AP98" i="32"/>
  <c r="AB98" i="32"/>
  <c r="AT98" i="32" s="1"/>
  <c r="AA98" i="32"/>
  <c r="AS98" i="32" s="1"/>
  <c r="S309" i="32"/>
  <c r="V99" i="32"/>
  <c r="AB109" i="32"/>
  <c r="AT109" i="32" s="1"/>
  <c r="AP109" i="32"/>
  <c r="AA109" i="32"/>
  <c r="AS109" i="32" s="1"/>
  <c r="Z109" i="32"/>
  <c r="AB124" i="32"/>
  <c r="AT124" i="32" s="1"/>
  <c r="AP124" i="32"/>
  <c r="AA124" i="32"/>
  <c r="AS124" i="32" s="1"/>
  <c r="Z124" i="32"/>
  <c r="AX126" i="32"/>
  <c r="AX128" i="32" s="1"/>
  <c r="AN126" i="32"/>
  <c r="AV126" i="32" s="1"/>
  <c r="Z127" i="32"/>
  <c r="AB127" i="32"/>
  <c r="AT127" i="32" s="1"/>
  <c r="AP127" i="32"/>
  <c r="AA127" i="32"/>
  <c r="AS127" i="32" s="1"/>
  <c r="AX131" i="32"/>
  <c r="AN131" i="32"/>
  <c r="AV131" i="32" s="1"/>
  <c r="Z132" i="32"/>
  <c r="AB132" i="32"/>
  <c r="AT132" i="32" s="1"/>
  <c r="AP132" i="32"/>
  <c r="AA132" i="32"/>
  <c r="AS132" i="32" s="1"/>
  <c r="AX156" i="32"/>
  <c r="AM162" i="32"/>
  <c r="AN156" i="32"/>
  <c r="Z171" i="32"/>
  <c r="AP171" i="32"/>
  <c r="AB171" i="32"/>
  <c r="AT171" i="32" s="1"/>
  <c r="AA171" i="32"/>
  <c r="AS171" i="32" s="1"/>
  <c r="V17" i="32"/>
  <c r="AM17" i="32"/>
  <c r="AX18" i="32"/>
  <c r="AX22" i="32" s="1"/>
  <c r="AE22" i="32"/>
  <c r="AB30" i="32"/>
  <c r="AT30" i="32" s="1"/>
  <c r="AP30" i="32"/>
  <c r="AA30" i="32"/>
  <c r="AS30" i="32" s="1"/>
  <c r="AW69" i="32"/>
  <c r="AN69" i="32"/>
  <c r="AV69" i="32" s="1"/>
  <c r="Z102" i="32"/>
  <c r="AP102" i="32"/>
  <c r="AB102" i="32"/>
  <c r="AT102" i="32" s="1"/>
  <c r="S111" i="32"/>
  <c r="V108" i="32"/>
  <c r="AW132" i="32"/>
  <c r="AN132" i="32"/>
  <c r="AV132" i="32" s="1"/>
  <c r="AT136" i="32"/>
  <c r="V12" i="32"/>
  <c r="AQ12" i="32"/>
  <c r="AU12" i="32"/>
  <c r="S13" i="32"/>
  <c r="W300" i="32"/>
  <c r="P18" i="45" s="1"/>
  <c r="AE13" i="32"/>
  <c r="AI300" i="32"/>
  <c r="AM13" i="32"/>
  <c r="S304" i="32"/>
  <c r="AA14" i="32"/>
  <c r="AL304" i="32"/>
  <c r="AL17" i="32"/>
  <c r="Z15" i="32"/>
  <c r="Y310" i="32"/>
  <c r="AE310" i="32"/>
  <c r="AN16" i="32"/>
  <c r="AR310" i="32"/>
  <c r="V18" i="32"/>
  <c r="AW19" i="32"/>
  <c r="Z20" i="32"/>
  <c r="AP20" i="32"/>
  <c r="AP21" i="32"/>
  <c r="AA21" i="32"/>
  <c r="AS21" i="32" s="1"/>
  <c r="V23" i="32"/>
  <c r="AX23" i="32"/>
  <c r="AX27" i="32" s="1"/>
  <c r="AA24" i="32"/>
  <c r="AW24" i="32"/>
  <c r="V28" i="32"/>
  <c r="AE31" i="32"/>
  <c r="AQ31" i="32"/>
  <c r="AX28" i="32"/>
  <c r="AX31" i="32" s="1"/>
  <c r="AA29" i="32"/>
  <c r="AW29" i="32"/>
  <c r="Z30" i="32"/>
  <c r="Y31" i="32"/>
  <c r="AQ32" i="32"/>
  <c r="AQ34" i="32" s="1"/>
  <c r="AW34" i="32"/>
  <c r="AA33" i="32"/>
  <c r="AS33" i="32" s="1"/>
  <c r="AM34" i="32"/>
  <c r="AN35" i="32"/>
  <c r="AL37" i="32"/>
  <c r="AU37" i="32"/>
  <c r="AN38" i="32"/>
  <c r="AW39" i="32"/>
  <c r="AN39" i="32"/>
  <c r="AV39" i="32" s="1"/>
  <c r="AQ44" i="32"/>
  <c r="AQ50" i="32" s="1"/>
  <c r="Y50" i="32"/>
  <c r="AA46" i="32"/>
  <c r="AS46" i="32" s="1"/>
  <c r="AP46" i="32"/>
  <c r="AE311" i="32"/>
  <c r="AU48" i="32"/>
  <c r="AU50" i="32" s="1"/>
  <c r="AR311" i="32"/>
  <c r="S50" i="32"/>
  <c r="AE50" i="32"/>
  <c r="AE56" i="32"/>
  <c r="AR56" i="32"/>
  <c r="Z57" i="32"/>
  <c r="AA59" i="32"/>
  <c r="AS59" i="32" s="1"/>
  <c r="AB64" i="32"/>
  <c r="AA69" i="32"/>
  <c r="AS69" i="32" s="1"/>
  <c r="V70" i="32"/>
  <c r="AQ76" i="32"/>
  <c r="AR76" i="32"/>
  <c r="Z74" i="32"/>
  <c r="AB74" i="32"/>
  <c r="AT74" i="32" s="1"/>
  <c r="AW74" i="32"/>
  <c r="AW76" i="32" s="1"/>
  <c r="AN74" i="32"/>
  <c r="AV74" i="32" s="1"/>
  <c r="AB75" i="32"/>
  <c r="AT75" i="32" s="1"/>
  <c r="AP75" i="32"/>
  <c r="AA75" i="32"/>
  <c r="AS75" i="32" s="1"/>
  <c r="Z79" i="32"/>
  <c r="AB79" i="32"/>
  <c r="AT79" i="32" s="1"/>
  <c r="AW79" i="32"/>
  <c r="AN79" i="32"/>
  <c r="AV79" i="32" s="1"/>
  <c r="AB80" i="32"/>
  <c r="AT80" i="32" s="1"/>
  <c r="AP80" i="32"/>
  <c r="AA80" i="32"/>
  <c r="AS80" i="32" s="1"/>
  <c r="AP82" i="32"/>
  <c r="AA82" i="32"/>
  <c r="AS82" i="32" s="1"/>
  <c r="Z82" i="32"/>
  <c r="AU89" i="32"/>
  <c r="AX95" i="32"/>
  <c r="AM306" i="32"/>
  <c r="AX97" i="32"/>
  <c r="AX306" i="32" s="1"/>
  <c r="AN97" i="32"/>
  <c r="AA102" i="32"/>
  <c r="AS102" i="32" s="1"/>
  <c r="V122" i="32"/>
  <c r="AB119" i="32"/>
  <c r="AP119" i="32"/>
  <c r="AA119" i="32"/>
  <c r="Z119" i="32"/>
  <c r="AX135" i="32"/>
  <c r="AB133" i="32"/>
  <c r="AT133" i="32" s="1"/>
  <c r="AP133" i="32"/>
  <c r="AA133" i="32"/>
  <c r="AS133" i="32" s="1"/>
  <c r="Z133" i="32"/>
  <c r="AP151" i="32"/>
  <c r="AA151" i="32"/>
  <c r="AS151" i="32" s="1"/>
  <c r="Z151" i="32"/>
  <c r="AB151" i="32"/>
  <c r="AT151" i="32" s="1"/>
  <c r="AB154" i="32"/>
  <c r="AT154" i="32" s="1"/>
  <c r="AP154" i="32"/>
  <c r="AA154" i="32"/>
  <c r="AS154" i="32" s="1"/>
  <c r="Z154" i="32"/>
  <c r="Y162" i="32"/>
  <c r="AW161" i="32"/>
  <c r="AN161" i="32"/>
  <c r="AV161" i="32" s="1"/>
  <c r="AT194" i="32"/>
  <c r="AV194" i="32"/>
  <c r="Y203" i="32"/>
  <c r="AQ199" i="32"/>
  <c r="AX199" i="32"/>
  <c r="AN199" i="32"/>
  <c r="AV199" i="32" s="1"/>
  <c r="AR17" i="32"/>
  <c r="AB25" i="32"/>
  <c r="AT25" i="32" s="1"/>
  <c r="AP25" i="32"/>
  <c r="AA25" i="32"/>
  <c r="AS25" i="32" s="1"/>
  <c r="V34" i="32"/>
  <c r="S37" i="32"/>
  <c r="V35" i="32"/>
  <c r="AP38" i="32"/>
  <c r="AA38" i="32"/>
  <c r="Z38" i="32"/>
  <c r="AM50" i="32"/>
  <c r="AP54" i="32"/>
  <c r="AA54" i="32"/>
  <c r="AS54" i="32" s="1"/>
  <c r="Z54" i="32"/>
  <c r="Z69" i="32"/>
  <c r="AB69" i="32"/>
  <c r="AT69" i="32" s="1"/>
  <c r="AQ77" i="32"/>
  <c r="AQ83" i="32" s="1"/>
  <c r="Y83" i="32"/>
  <c r="S89" i="32"/>
  <c r="V84" i="32"/>
  <c r="AW84" i="32"/>
  <c r="AW89" i="32" s="1"/>
  <c r="AN84" i="32"/>
  <c r="AB85" i="32"/>
  <c r="AT85" i="32" s="1"/>
  <c r="AP85" i="32"/>
  <c r="AA85" i="32"/>
  <c r="AS85" i="32" s="1"/>
  <c r="AP87" i="32"/>
  <c r="AA87" i="32"/>
  <c r="AS87" i="32" s="1"/>
  <c r="Z87" i="32"/>
  <c r="AW92" i="32"/>
  <c r="AW95" i="32" s="1"/>
  <c r="AN92" i="32"/>
  <c r="AV92" i="32" s="1"/>
  <c r="AM105" i="32"/>
  <c r="AX96" i="32"/>
  <c r="AN96" i="32"/>
  <c r="AN12" i="32"/>
  <c r="T300" i="32"/>
  <c r="M18" i="45" s="1"/>
  <c r="X300" i="32"/>
  <c r="Q18" i="45" s="1"/>
  <c r="AJ300" i="32"/>
  <c r="AC18" i="45" s="1"/>
  <c r="AR13" i="32"/>
  <c r="AB14" i="32"/>
  <c r="AM304" i="32"/>
  <c r="AQ14" i="32"/>
  <c r="AU14" i="32"/>
  <c r="AA15" i="32"/>
  <c r="AS15" i="32" s="1"/>
  <c r="AW16" i="32"/>
  <c r="Y17" i="32"/>
  <c r="Y22" i="32"/>
  <c r="AL22" i="32"/>
  <c r="AW18" i="32"/>
  <c r="AQ18" i="32"/>
  <c r="AQ22" i="32" s="1"/>
  <c r="AA20" i="32"/>
  <c r="AS20" i="32" s="1"/>
  <c r="Y27" i="32"/>
  <c r="AL27" i="32"/>
  <c r="AW23" i="32"/>
  <c r="AN23" i="32"/>
  <c r="AP26" i="32"/>
  <c r="AA26" i="32"/>
  <c r="AS26" i="32" s="1"/>
  <c r="Z26" i="32"/>
  <c r="AW28" i="32"/>
  <c r="AW31" i="32" s="1"/>
  <c r="AL31" i="32"/>
  <c r="AN28" i="32"/>
  <c r="AP32" i="32"/>
  <c r="AA32" i="32"/>
  <c r="Z32" i="32"/>
  <c r="AB33" i="32"/>
  <c r="AT33" i="32" s="1"/>
  <c r="AP33" i="32"/>
  <c r="Z36" i="32"/>
  <c r="S41" i="32"/>
  <c r="AQ38" i="32"/>
  <c r="AQ41" i="32" s="1"/>
  <c r="AP45" i="32"/>
  <c r="AA45" i="32"/>
  <c r="Z45" i="32"/>
  <c r="AV48" i="32"/>
  <c r="AB49" i="32"/>
  <c r="AT49" i="32" s="1"/>
  <c r="S56" i="32"/>
  <c r="V51" i="32"/>
  <c r="AW51" i="32"/>
  <c r="AN51" i="32"/>
  <c r="Y56" i="32"/>
  <c r="AA55" i="32"/>
  <c r="AS55" i="32" s="1"/>
  <c r="AP55" i="32"/>
  <c r="AE63" i="32"/>
  <c r="Z60" i="32"/>
  <c r="AB60" i="32"/>
  <c r="AT60" i="32" s="1"/>
  <c r="AW60" i="32"/>
  <c r="AN60" i="32"/>
  <c r="AV60" i="32" s="1"/>
  <c r="S70" i="32"/>
  <c r="AA65" i="32"/>
  <c r="AS65" i="32" s="1"/>
  <c r="AP65" i="32"/>
  <c r="AB66" i="32"/>
  <c r="AT66" i="32" s="1"/>
  <c r="AP66" i="32"/>
  <c r="AA66" i="32"/>
  <c r="AS66" i="32" s="1"/>
  <c r="AP68" i="32"/>
  <c r="AA68" i="32"/>
  <c r="AS68" i="32" s="1"/>
  <c r="Z68" i="32"/>
  <c r="AB73" i="32"/>
  <c r="AT73" i="32" s="1"/>
  <c r="Y76" i="32"/>
  <c r="V83" i="32"/>
  <c r="AX83" i="32"/>
  <c r="AB78" i="32"/>
  <c r="AT78" i="32" s="1"/>
  <c r="AE83" i="32"/>
  <c r="AE89" i="32"/>
  <c r="AA88" i="32"/>
  <c r="AS88" i="32" s="1"/>
  <c r="AP88" i="32"/>
  <c r="AL95" i="32"/>
  <c r="AA306" i="32"/>
  <c r="AS97" i="32"/>
  <c r="AS306" i="32" s="1"/>
  <c r="AQ104" i="32"/>
  <c r="Z104" i="32"/>
  <c r="AW108" i="32"/>
  <c r="AW111" i="32" s="1"/>
  <c r="AL111" i="32"/>
  <c r="AN108" i="32"/>
  <c r="AB120" i="32"/>
  <c r="AT120" i="32" s="1"/>
  <c r="AP120" i="32"/>
  <c r="AA120" i="32"/>
  <c r="AS120" i="32" s="1"/>
  <c r="Z120" i="32"/>
  <c r="AW123" i="32"/>
  <c r="AW128" i="32" s="1"/>
  <c r="AN123" i="32"/>
  <c r="AL128" i="32"/>
  <c r="AB134" i="32"/>
  <c r="AT134" i="32" s="1"/>
  <c r="AP134" i="32"/>
  <c r="AA134" i="32"/>
  <c r="AS134" i="32" s="1"/>
  <c r="Z134" i="32"/>
  <c r="AP146" i="32"/>
  <c r="AA146" i="32"/>
  <c r="AS146" i="32" s="1"/>
  <c r="Z146" i="32"/>
  <c r="AF146" i="32" s="1"/>
  <c r="AO146" i="32" s="1"/>
  <c r="AB146" i="32"/>
  <c r="AT146" i="32" s="1"/>
  <c r="Z161" i="32"/>
  <c r="AB161" i="32"/>
  <c r="AT161" i="32" s="1"/>
  <c r="AP161" i="32"/>
  <c r="AA161" i="32"/>
  <c r="AS161" i="32" s="1"/>
  <c r="Z44" i="32"/>
  <c r="Y305" i="32"/>
  <c r="AE305" i="32"/>
  <c r="AN45" i="32"/>
  <c r="AR305" i="32"/>
  <c r="AA47" i="32"/>
  <c r="AS47" i="32" s="1"/>
  <c r="AP47" i="32"/>
  <c r="Z48" i="32"/>
  <c r="AN49" i="32"/>
  <c r="AV49" i="32" s="1"/>
  <c r="AU51" i="32"/>
  <c r="AU56" i="32" s="1"/>
  <c r="AA52" i="32"/>
  <c r="AS52" i="32" s="1"/>
  <c r="AP52" i="32"/>
  <c r="Z53" i="32"/>
  <c r="AN54" i="32"/>
  <c r="AV54" i="32" s="1"/>
  <c r="Z58" i="32"/>
  <c r="AN59" i="32"/>
  <c r="AA61" i="32"/>
  <c r="AS61" i="32" s="1"/>
  <c r="AP61" i="32"/>
  <c r="Z62" i="32"/>
  <c r="Y63" i="32"/>
  <c r="AN64" i="32"/>
  <c r="Z67" i="32"/>
  <c r="AN68" i="32"/>
  <c r="AV68" i="32" s="1"/>
  <c r="Z72" i="32"/>
  <c r="AN73" i="32"/>
  <c r="AV73" i="32" s="1"/>
  <c r="AN78" i="32"/>
  <c r="AV78" i="32" s="1"/>
  <c r="Z81" i="32"/>
  <c r="AN82" i="32"/>
  <c r="AV82" i="32" s="1"/>
  <c r="Z86" i="32"/>
  <c r="AN87" i="32"/>
  <c r="AV87" i="32" s="1"/>
  <c r="AA92" i="32"/>
  <c r="AS92" i="32" s="1"/>
  <c r="Z93" i="32"/>
  <c r="AP93" i="32"/>
  <c r="V105" i="32"/>
  <c r="AP96" i="32"/>
  <c r="AA96" i="32"/>
  <c r="AF96" i="32" s="1"/>
  <c r="V107" i="32"/>
  <c r="AP106" i="32"/>
  <c r="AA106" i="32"/>
  <c r="Z106" i="32"/>
  <c r="AP112" i="32"/>
  <c r="AA112" i="32"/>
  <c r="Z112" i="32"/>
  <c r="AQ115" i="32"/>
  <c r="AQ118" i="32" s="1"/>
  <c r="Z115" i="32"/>
  <c r="AA117" i="32"/>
  <c r="AS117" i="32" s="1"/>
  <c r="AM128" i="32"/>
  <c r="S135" i="32"/>
  <c r="AB130" i="32"/>
  <c r="AT130" i="32" s="1"/>
  <c r="AP130" i="32"/>
  <c r="AA130" i="32"/>
  <c r="AS130" i="32" s="1"/>
  <c r="Z130" i="32"/>
  <c r="AP140" i="32"/>
  <c r="AA140" i="32"/>
  <c r="AS140" i="32" s="1"/>
  <c r="Z140" i="32"/>
  <c r="AA141" i="32"/>
  <c r="AS141" i="32" s="1"/>
  <c r="AN144" i="32"/>
  <c r="AV143" i="32"/>
  <c r="AV144" i="32" s="1"/>
  <c r="AB145" i="32"/>
  <c r="AP145" i="32"/>
  <c r="AA145" i="32"/>
  <c r="Z145" i="32"/>
  <c r="AX146" i="32"/>
  <c r="AX148" i="32" s="1"/>
  <c r="AM148" i="32"/>
  <c r="AN146" i="32"/>
  <c r="AV146" i="32" s="1"/>
  <c r="AB150" i="32"/>
  <c r="AT150" i="32" s="1"/>
  <c r="AP150" i="32"/>
  <c r="AA150" i="32"/>
  <c r="AS150" i="32" s="1"/>
  <c r="Z150" i="32"/>
  <c r="AX151" i="32"/>
  <c r="AX155" i="32" s="1"/>
  <c r="AN151" i="32"/>
  <c r="AV151" i="32" s="1"/>
  <c r="AB156" i="32"/>
  <c r="AQ162" i="32"/>
  <c r="S162" i="32"/>
  <c r="V157" i="32"/>
  <c r="AW157" i="32"/>
  <c r="AN157" i="32"/>
  <c r="AV157" i="32" s="1"/>
  <c r="AB158" i="32"/>
  <c r="AT158" i="32" s="1"/>
  <c r="AP158" i="32"/>
  <c r="AA158" i="32"/>
  <c r="AS158" i="32" s="1"/>
  <c r="AL162" i="32"/>
  <c r="Z166" i="32"/>
  <c r="AB166" i="32"/>
  <c r="AT166" i="32" s="1"/>
  <c r="AA166" i="32"/>
  <c r="AS166" i="32" s="1"/>
  <c r="AN168" i="32"/>
  <c r="AV168" i="32" s="1"/>
  <c r="AW168" i="32"/>
  <c r="AW169" i="32" s="1"/>
  <c r="AU173" i="32"/>
  <c r="AU176" i="32" s="1"/>
  <c r="AE176" i="32"/>
  <c r="Y186" i="32"/>
  <c r="AQ183" i="32"/>
  <c r="AQ186" i="32" s="1"/>
  <c r="Z183" i="32"/>
  <c r="AV183" i="32"/>
  <c r="AW200" i="32"/>
  <c r="AN200" i="32"/>
  <c r="AV200" i="32" s="1"/>
  <c r="AT213" i="32"/>
  <c r="AX213" i="32"/>
  <c r="AX219" i="32" s="1"/>
  <c r="AN213" i="32"/>
  <c r="AM219" i="32"/>
  <c r="AB237" i="32"/>
  <c r="AT237" i="32" s="1"/>
  <c r="AA237" i="32"/>
  <c r="AS237" i="32" s="1"/>
  <c r="Z237" i="32"/>
  <c r="AP237" i="32"/>
  <c r="V42" i="32"/>
  <c r="AU42" i="32"/>
  <c r="AU43" i="32" s="1"/>
  <c r="AA44" i="32"/>
  <c r="AP44" i="32"/>
  <c r="S311" i="32"/>
  <c r="AA48" i="32"/>
  <c r="AL311" i="32"/>
  <c r="AQ52" i="32"/>
  <c r="AQ56" i="32" s="1"/>
  <c r="AA53" i="32"/>
  <c r="AS53" i="32" s="1"/>
  <c r="AP53" i="32"/>
  <c r="AU57" i="32"/>
  <c r="AU63" i="32" s="1"/>
  <c r="AA58" i="32"/>
  <c r="AS58" i="32" s="1"/>
  <c r="AP58" i="32"/>
  <c r="AX58" i="32"/>
  <c r="AX63" i="32" s="1"/>
  <c r="AA62" i="32"/>
  <c r="AS62" i="32" s="1"/>
  <c r="AP62" i="32"/>
  <c r="AQ66" i="32"/>
  <c r="AA67" i="32"/>
  <c r="AS67" i="32" s="1"/>
  <c r="AP67" i="32"/>
  <c r="V71" i="32"/>
  <c r="AU71" i="32"/>
  <c r="AU76" i="32" s="1"/>
  <c r="AA72" i="32"/>
  <c r="AS72" i="32" s="1"/>
  <c r="AP72" i="32"/>
  <c r="AA77" i="32"/>
  <c r="AW78" i="32"/>
  <c r="AA81" i="32"/>
  <c r="AS81" i="32" s="1"/>
  <c r="AP81" i="32"/>
  <c r="AQ85" i="32"/>
  <c r="AQ89" i="32" s="1"/>
  <c r="AA86" i="32"/>
  <c r="AS86" i="32" s="1"/>
  <c r="AP86" i="32"/>
  <c r="V90" i="32"/>
  <c r="AM95" i="32"/>
  <c r="AQ90" i="32"/>
  <c r="AQ95" i="32" s="1"/>
  <c r="AP91" i="32"/>
  <c r="AA91" i="32"/>
  <c r="AS91" i="32" s="1"/>
  <c r="AN91" i="32"/>
  <c r="AV91" i="32" s="1"/>
  <c r="AA93" i="32"/>
  <c r="AS93" i="32" s="1"/>
  <c r="AN93" i="32"/>
  <c r="AV93" i="32" s="1"/>
  <c r="AU96" i="32"/>
  <c r="AU105" i="32" s="1"/>
  <c r="V306" i="32"/>
  <c r="AP97" i="32"/>
  <c r="Z97" i="32"/>
  <c r="AQ97" i="32"/>
  <c r="AQ306" i="32" s="1"/>
  <c r="AL309" i="32"/>
  <c r="AN99" i="32"/>
  <c r="Z100" i="32"/>
  <c r="AP101" i="32"/>
  <c r="AA101" i="32"/>
  <c r="AS101" i="32" s="1"/>
  <c r="Z101" i="32"/>
  <c r="AA103" i="32"/>
  <c r="Y312" i="32"/>
  <c r="Y107" i="32"/>
  <c r="AM312" i="32"/>
  <c r="AX106" i="32"/>
  <c r="AN106" i="32"/>
  <c r="AU111" i="32"/>
  <c r="AB110" i="32"/>
  <c r="AT110" i="32" s="1"/>
  <c r="AP110" i="32"/>
  <c r="AA110" i="32"/>
  <c r="AS110" i="32" s="1"/>
  <c r="Z110" i="32"/>
  <c r="AX112" i="32"/>
  <c r="AM118" i="32"/>
  <c r="AN112" i="32"/>
  <c r="AP116" i="32"/>
  <c r="AA116" i="32"/>
  <c r="AS116" i="32" s="1"/>
  <c r="Z116" i="32"/>
  <c r="AP121" i="32"/>
  <c r="AA121" i="32"/>
  <c r="AS121" i="32" s="1"/>
  <c r="Z121" i="32"/>
  <c r="AQ125" i="32"/>
  <c r="AQ128" i="32" s="1"/>
  <c r="Z125" i="32"/>
  <c r="AQ130" i="32"/>
  <c r="AQ135" i="32" s="1"/>
  <c r="Y135" i="32"/>
  <c r="AP136" i="32"/>
  <c r="AA136" i="32"/>
  <c r="Z136" i="32"/>
  <c r="AX140" i="32"/>
  <c r="AN140" i="32"/>
  <c r="AV140" i="32" s="1"/>
  <c r="Y148" i="32"/>
  <c r="AQ145" i="32"/>
  <c r="AQ148" i="32" s="1"/>
  <c r="S148" i="32"/>
  <c r="V147" i="32"/>
  <c r="AW147" i="32"/>
  <c r="AW148" i="32" s="1"/>
  <c r="AN147" i="32"/>
  <c r="AV147" i="32" s="1"/>
  <c r="AE155" i="32"/>
  <c r="AU155" i="32"/>
  <c r="AQ150" i="32"/>
  <c r="Y155" i="32"/>
  <c r="Z152" i="32"/>
  <c r="AB152" i="32"/>
  <c r="AT152" i="32" s="1"/>
  <c r="AW152" i="32"/>
  <c r="AW155" i="32" s="1"/>
  <c r="AN152" i="32"/>
  <c r="AV152" i="32" s="1"/>
  <c r="AB153" i="32"/>
  <c r="AT153" i="32" s="1"/>
  <c r="AP153" i="32"/>
  <c r="AA153" i="32"/>
  <c r="AS153" i="32" s="1"/>
  <c r="AP160" i="32"/>
  <c r="AA160" i="32"/>
  <c r="AS160" i="32" s="1"/>
  <c r="Z160" i="32"/>
  <c r="AQ165" i="32"/>
  <c r="Z165" i="32"/>
  <c r="AA167" i="32"/>
  <c r="AS167" i="32" s="1"/>
  <c r="AP167" i="32"/>
  <c r="Z167" i="32"/>
  <c r="Z200" i="32"/>
  <c r="AA200" i="32"/>
  <c r="AS200" i="32" s="1"/>
  <c r="AP200" i="32"/>
  <c r="AB200" i="32"/>
  <c r="AT200" i="32" s="1"/>
  <c r="AN210" i="32"/>
  <c r="AV210" i="32" s="1"/>
  <c r="AW210" i="32"/>
  <c r="AW214" i="32"/>
  <c r="AN214" i="32"/>
  <c r="AV214" i="32" s="1"/>
  <c r="AL219" i="32"/>
  <c r="AS244" i="32"/>
  <c r="AV42" i="32"/>
  <c r="AV43" i="32" s="1"/>
  <c r="AB44" i="32"/>
  <c r="S305" i="32"/>
  <c r="AL305" i="32"/>
  <c r="AB48" i="32"/>
  <c r="AM311" i="32"/>
  <c r="AL50" i="32"/>
  <c r="AV71" i="32"/>
  <c r="AE95" i="32"/>
  <c r="AU90" i="32"/>
  <c r="AU95" i="32" s="1"/>
  <c r="Z92" i="32"/>
  <c r="AP92" i="32"/>
  <c r="AL105" i="32"/>
  <c r="AW306" i="32"/>
  <c r="AW102" i="32"/>
  <c r="AN102" i="32"/>
  <c r="AV102" i="32" s="1"/>
  <c r="AB106" i="32"/>
  <c r="AQ106" i="32"/>
  <c r="AE111" i="32"/>
  <c r="AQ110" i="32"/>
  <c r="AQ111" i="32" s="1"/>
  <c r="Y111" i="32"/>
  <c r="AT112" i="32"/>
  <c r="S307" i="32"/>
  <c r="S118" i="32"/>
  <c r="V113" i="32"/>
  <c r="AL307" i="32"/>
  <c r="AW113" i="32"/>
  <c r="AN113" i="32"/>
  <c r="AB114" i="32"/>
  <c r="AT114" i="32" s="1"/>
  <c r="AP114" i="32"/>
  <c r="AA114" i="32"/>
  <c r="AX116" i="32"/>
  <c r="AN116" i="32"/>
  <c r="AV116" i="32" s="1"/>
  <c r="Z117" i="32"/>
  <c r="AB117" i="32"/>
  <c r="AT117" i="32" s="1"/>
  <c r="AW117" i="32"/>
  <c r="AN117" i="32"/>
  <c r="AV117" i="32" s="1"/>
  <c r="AX121" i="32"/>
  <c r="AN121" i="32"/>
  <c r="AV121" i="32" s="1"/>
  <c r="AU125" i="32"/>
  <c r="AU128" i="32" s="1"/>
  <c r="AE128" i="32"/>
  <c r="AP126" i="32"/>
  <c r="AA126" i="32"/>
  <c r="AS126" i="32" s="1"/>
  <c r="Z126" i="32"/>
  <c r="AM135" i="32"/>
  <c r="AW135" i="32"/>
  <c r="AP131" i="32"/>
  <c r="AA131" i="32"/>
  <c r="AS131" i="32" s="1"/>
  <c r="Z131" i="32"/>
  <c r="Y142" i="32"/>
  <c r="AX136" i="32"/>
  <c r="AM142" i="32"/>
  <c r="AN136" i="32"/>
  <c r="S142" i="32"/>
  <c r="V137" i="32"/>
  <c r="AW137" i="32"/>
  <c r="AN137" i="32"/>
  <c r="AV137" i="32" s="1"/>
  <c r="AB138" i="32"/>
  <c r="AT138" i="32" s="1"/>
  <c r="AP138" i="32"/>
  <c r="AA138" i="32"/>
  <c r="AS138" i="32" s="1"/>
  <c r="AB139" i="32"/>
  <c r="AT139" i="32" s="1"/>
  <c r="AP139" i="32"/>
  <c r="AA139" i="32"/>
  <c r="AS139" i="32" s="1"/>
  <c r="Z139" i="32"/>
  <c r="Z141" i="32"/>
  <c r="AB141" i="32"/>
  <c r="AT141" i="32" s="1"/>
  <c r="AW141" i="32"/>
  <c r="AN141" i="32"/>
  <c r="AV141" i="32" s="1"/>
  <c r="AU145" i="32"/>
  <c r="AU148" i="32" s="1"/>
  <c r="AE148" i="32"/>
  <c r="AQ155" i="32"/>
  <c r="AP156" i="32"/>
  <c r="AA156" i="32"/>
  <c r="Z156" i="32"/>
  <c r="AB159" i="32"/>
  <c r="AT159" i="32" s="1"/>
  <c r="AP159" i="32"/>
  <c r="AA159" i="32"/>
  <c r="AS159" i="32" s="1"/>
  <c r="Z159" i="32"/>
  <c r="AX160" i="32"/>
  <c r="AN160" i="32"/>
  <c r="AV160" i="32" s="1"/>
  <c r="AB164" i="32"/>
  <c r="AT164" i="32" s="1"/>
  <c r="AP164" i="32"/>
  <c r="AA164" i="32"/>
  <c r="AS164" i="32" s="1"/>
  <c r="Z164" i="32"/>
  <c r="AW171" i="32"/>
  <c r="AN171" i="32"/>
  <c r="AV171" i="32" s="1"/>
  <c r="AL176" i="32"/>
  <c r="AS191" i="32"/>
  <c r="AF191" i="32"/>
  <c r="AO191" i="32" s="1"/>
  <c r="AE212" i="32"/>
  <c r="AU204" i="32"/>
  <c r="AU212" i="32" s="1"/>
  <c r="AB210" i="32"/>
  <c r="AT210" i="32" s="1"/>
  <c r="AP210" i="32"/>
  <c r="AA210" i="32"/>
  <c r="AS210" i="32" s="1"/>
  <c r="Z210" i="32"/>
  <c r="S219" i="32"/>
  <c r="V214" i="32"/>
  <c r="Z231" i="32"/>
  <c r="AA231" i="32"/>
  <c r="AS231" i="32" s="1"/>
  <c r="AP231" i="32"/>
  <c r="AB231" i="32"/>
  <c r="AT231" i="32" s="1"/>
  <c r="AR107" i="32"/>
  <c r="AM307" i="32"/>
  <c r="AL144" i="32"/>
  <c r="AL169" i="32"/>
  <c r="AX169" i="32"/>
  <c r="AP170" i="32"/>
  <c r="AA170" i="32"/>
  <c r="Z170" i="32"/>
  <c r="V176" i="32"/>
  <c r="S176" i="32"/>
  <c r="AQ178" i="32"/>
  <c r="AQ182" i="32" s="1"/>
  <c r="Z178" i="32"/>
  <c r="AB181" i="32"/>
  <c r="AT181" i="32" s="1"/>
  <c r="AA181" i="32"/>
  <c r="AS181" i="32" s="1"/>
  <c r="AP181" i="32"/>
  <c r="AN181" i="32"/>
  <c r="AV181" i="32" s="1"/>
  <c r="AW181" i="32"/>
  <c r="AU186" i="32"/>
  <c r="AX184" i="32"/>
  <c r="AX186" i="32" s="1"/>
  <c r="AM186" i="32"/>
  <c r="AN184" i="32"/>
  <c r="AV184" i="32" s="1"/>
  <c r="Z185" i="32"/>
  <c r="AA185" i="32"/>
  <c r="AS185" i="32" s="1"/>
  <c r="AW185" i="32"/>
  <c r="AN185" i="32"/>
  <c r="AV185" i="32" s="1"/>
  <c r="Z195" i="32"/>
  <c r="AP195" i="32"/>
  <c r="AB195" i="32"/>
  <c r="AQ202" i="32"/>
  <c r="AQ203" i="32" s="1"/>
  <c r="Z202" i="32"/>
  <c r="S212" i="32"/>
  <c r="AB206" i="32"/>
  <c r="AT206" i="32" s="1"/>
  <c r="AA206" i="32"/>
  <c r="AS206" i="32" s="1"/>
  <c r="AP206" i="32"/>
  <c r="AN206" i="32"/>
  <c r="AV206" i="32" s="1"/>
  <c r="AW206" i="32"/>
  <c r="AQ213" i="32"/>
  <c r="AQ219" i="32" s="1"/>
  <c r="AN220" i="32"/>
  <c r="AL221" i="32"/>
  <c r="AW220" i="32"/>
  <c r="AW221" i="32" s="1"/>
  <c r="AQ222" i="32"/>
  <c r="AQ225" i="32" s="1"/>
  <c r="Y225" i="32"/>
  <c r="Z222" i="32"/>
  <c r="Z224" i="32"/>
  <c r="AA224" i="32"/>
  <c r="AS224" i="32" s="1"/>
  <c r="AX235" i="32"/>
  <c r="AN235" i="32"/>
  <c r="AV235" i="32" s="1"/>
  <c r="AQ240" i="32"/>
  <c r="AQ243" i="32" s="1"/>
  <c r="Y243" i="32"/>
  <c r="Z246" i="32"/>
  <c r="AA246" i="32"/>
  <c r="AS246" i="32" s="1"/>
  <c r="AB246" i="32"/>
  <c r="AT246" i="32" s="1"/>
  <c r="AE253" i="32"/>
  <c r="AU251" i="32"/>
  <c r="AU253" i="32" s="1"/>
  <c r="AU268" i="32"/>
  <c r="AU269" i="32" s="1"/>
  <c r="AE269" i="32"/>
  <c r="AW285" i="32"/>
  <c r="AN285" i="32"/>
  <c r="AV285" i="32" s="1"/>
  <c r="AA100" i="32"/>
  <c r="AS100" i="32" s="1"/>
  <c r="AP100" i="32"/>
  <c r="AA104" i="32"/>
  <c r="AS104" i="32" s="1"/>
  <c r="AP104" i="32"/>
  <c r="Y307" i="32"/>
  <c r="AE307" i="32"/>
  <c r="AR307" i="32"/>
  <c r="AA115" i="32"/>
  <c r="AS115" i="32" s="1"/>
  <c r="AP115" i="32"/>
  <c r="AQ119" i="32"/>
  <c r="AQ122" i="32" s="1"/>
  <c r="AA125" i="32"/>
  <c r="AS125" i="32" s="1"/>
  <c r="AP125" i="32"/>
  <c r="V129" i="32"/>
  <c r="AU129" i="32"/>
  <c r="AU135" i="32" s="1"/>
  <c r="AL135" i="32"/>
  <c r="V143" i="32"/>
  <c r="V149" i="32"/>
  <c r="AL155" i="32"/>
  <c r="V163" i="32"/>
  <c r="AM169" i="32"/>
  <c r="AQ169" i="32"/>
  <c r="AU169" i="32"/>
  <c r="Y176" i="32"/>
  <c r="AQ170" i="32"/>
  <c r="AX170" i="32"/>
  <c r="AX176" i="32" s="1"/>
  <c r="AM176" i="32"/>
  <c r="AW175" i="32"/>
  <c r="AN175" i="32"/>
  <c r="AV175" i="32" s="1"/>
  <c r="AX179" i="32"/>
  <c r="AX182" i="32" s="1"/>
  <c r="AN179" i="32"/>
  <c r="AV179" i="32" s="1"/>
  <c r="Z180" i="32"/>
  <c r="AA180" i="32"/>
  <c r="AS180" i="32" s="1"/>
  <c r="AW180" i="32"/>
  <c r="AN180" i="32"/>
  <c r="AV180" i="32" s="1"/>
  <c r="AL186" i="32"/>
  <c r="AB188" i="32"/>
  <c r="AT188" i="32" s="1"/>
  <c r="AP188" i="32"/>
  <c r="AA188" i="32"/>
  <c r="Z190" i="32"/>
  <c r="AP190" i="32"/>
  <c r="AB190" i="32"/>
  <c r="AT190" i="32" s="1"/>
  <c r="AB192" i="32"/>
  <c r="AT192" i="32" s="1"/>
  <c r="AP192" i="32"/>
  <c r="AA192" i="32"/>
  <c r="AP194" i="32"/>
  <c r="AA194" i="32"/>
  <c r="Z194" i="32"/>
  <c r="V197" i="32"/>
  <c r="AB201" i="32"/>
  <c r="AT201" i="32" s="1"/>
  <c r="AP201" i="32"/>
  <c r="AA201" i="32"/>
  <c r="AS201" i="32" s="1"/>
  <c r="AN201" i="32"/>
  <c r="AV201" i="32" s="1"/>
  <c r="AW201" i="32"/>
  <c r="AW203" i="32" s="1"/>
  <c r="AT204" i="32"/>
  <c r="AM212" i="32"/>
  <c r="AX204" i="32"/>
  <c r="AN204" i="32"/>
  <c r="Z205" i="32"/>
  <c r="AA205" i="32"/>
  <c r="AS205" i="32" s="1"/>
  <c r="AW205" i="32"/>
  <c r="AN205" i="32"/>
  <c r="AV205" i="32" s="1"/>
  <c r="AX208" i="32"/>
  <c r="AN208" i="32"/>
  <c r="AV208" i="32" s="1"/>
  <c r="Z209" i="32"/>
  <c r="AA209" i="32"/>
  <c r="AS209" i="32" s="1"/>
  <c r="AW209" i="32"/>
  <c r="AN209" i="32"/>
  <c r="AV209" i="32" s="1"/>
  <c r="AT233" i="32"/>
  <c r="Z241" i="32"/>
  <c r="AA241" i="32"/>
  <c r="AS241" i="32" s="1"/>
  <c r="AP241" i="32"/>
  <c r="AB241" i="32"/>
  <c r="AT241" i="32" s="1"/>
  <c r="AP246" i="32"/>
  <c r="Y260" i="32"/>
  <c r="AQ254" i="32"/>
  <c r="AQ260" i="32" s="1"/>
  <c r="AW259" i="32"/>
  <c r="AW260" i="32" s="1"/>
  <c r="AN259" i="32"/>
  <c r="AV259" i="32" s="1"/>
  <c r="S260" i="32"/>
  <c r="V267" i="32"/>
  <c r="S269" i="32"/>
  <c r="AL306" i="32"/>
  <c r="Y309" i="32"/>
  <c r="AE309" i="32"/>
  <c r="AR309" i="32"/>
  <c r="AL107" i="32"/>
  <c r="AN119" i="32"/>
  <c r="Y169" i="32"/>
  <c r="AE169" i="32"/>
  <c r="AN163" i="32"/>
  <c r="AR169" i="32"/>
  <c r="AP165" i="32"/>
  <c r="AA165" i="32"/>
  <c r="AS165" i="32" s="1"/>
  <c r="AN165" i="32"/>
  <c r="AV165" i="32" s="1"/>
  <c r="AN166" i="32"/>
  <c r="AV166" i="32" s="1"/>
  <c r="AN167" i="32"/>
  <c r="AV167" i="32" s="1"/>
  <c r="AB170" i="32"/>
  <c r="AN170" i="32"/>
  <c r="AB172" i="32"/>
  <c r="AT172" i="32" s="1"/>
  <c r="Z172" i="32"/>
  <c r="AP172" i="32"/>
  <c r="AQ173" i="32"/>
  <c r="Z173" i="32"/>
  <c r="AA175" i="32"/>
  <c r="Z181" i="32"/>
  <c r="Y182" i="32"/>
  <c r="AB185" i="32"/>
  <c r="AT185" i="32" s="1"/>
  <c r="AP185" i="32"/>
  <c r="AQ193" i="32"/>
  <c r="AP189" i="32"/>
  <c r="AA189" i="32"/>
  <c r="AS189" i="32" s="1"/>
  <c r="Z189" i="32"/>
  <c r="AA195" i="32"/>
  <c r="AS195" i="32" s="1"/>
  <c r="AE203" i="32"/>
  <c r="AU198" i="32"/>
  <c r="AU203" i="32" s="1"/>
  <c r="AQ204" i="32"/>
  <c r="Z206" i="32"/>
  <c r="Z207" i="32"/>
  <c r="AQ211" i="32"/>
  <c r="Z211" i="32"/>
  <c r="AU213" i="32"/>
  <c r="AU219" i="32" s="1"/>
  <c r="AB215" i="32"/>
  <c r="AT215" i="32" s="1"/>
  <c r="AA215" i="32"/>
  <c r="AP215" i="32"/>
  <c r="AN215" i="32"/>
  <c r="AV215" i="32" s="1"/>
  <c r="AW215" i="32"/>
  <c r="AP217" i="32"/>
  <c r="AA217" i="32"/>
  <c r="AS217" i="32" s="1"/>
  <c r="Z217" i="32"/>
  <c r="AB224" i="32"/>
  <c r="AT224" i="32" s="1"/>
  <c r="AP224" i="32"/>
  <c r="AQ232" i="32"/>
  <c r="AM239" i="32"/>
  <c r="AX233" i="32"/>
  <c r="AP242" i="32"/>
  <c r="Z242" i="32"/>
  <c r="AB242" i="32"/>
  <c r="AT242" i="32" s="1"/>
  <c r="AA242" i="32"/>
  <c r="AS242" i="32" s="1"/>
  <c r="AB257" i="32"/>
  <c r="AT257" i="32" s="1"/>
  <c r="Z257" i="32"/>
  <c r="AA257" i="32"/>
  <c r="AS257" i="32" s="1"/>
  <c r="AP257" i="32"/>
  <c r="AN261" i="32"/>
  <c r="AL263" i="32"/>
  <c r="AW261" i="32"/>
  <c r="AW270" i="32"/>
  <c r="AL276" i="32"/>
  <c r="AN270" i="32"/>
  <c r="AP174" i="32"/>
  <c r="AA174" i="32"/>
  <c r="AS174" i="32" s="1"/>
  <c r="Z174" i="32"/>
  <c r="S182" i="32"/>
  <c r="V177" i="32"/>
  <c r="AE182" i="32"/>
  <c r="AL182" i="32"/>
  <c r="AB186" i="32"/>
  <c r="AT183" i="32"/>
  <c r="AW186" i="32"/>
  <c r="AN187" i="32"/>
  <c r="AL193" i="32"/>
  <c r="AX193" i="32"/>
  <c r="AW190" i="32"/>
  <c r="AN190" i="32"/>
  <c r="AV190" i="32" s="1"/>
  <c r="Y193" i="32"/>
  <c r="S197" i="32"/>
  <c r="AQ194" i="32"/>
  <c r="AQ197" i="32" s="1"/>
  <c r="Z196" i="32"/>
  <c r="AF196" i="32" s="1"/>
  <c r="AO196" i="32" s="1"/>
  <c r="AM203" i="32"/>
  <c r="AP199" i="32"/>
  <c r="AA199" i="32"/>
  <c r="AS199" i="32" s="1"/>
  <c r="Z199" i="32"/>
  <c r="AB202" i="32"/>
  <c r="AT202" i="32" s="1"/>
  <c r="AP202" i="32"/>
  <c r="AA202" i="32"/>
  <c r="AS202" i="32" s="1"/>
  <c r="AP208" i="32"/>
  <c r="AA208" i="32"/>
  <c r="AS208" i="32" s="1"/>
  <c r="Z208" i="32"/>
  <c r="AF208" i="32" s="1"/>
  <c r="AO208" i="32" s="1"/>
  <c r="AB211" i="32"/>
  <c r="AT211" i="32" s="1"/>
  <c r="AP211" i="32"/>
  <c r="AA211" i="32"/>
  <c r="AS211" i="32" s="1"/>
  <c r="AB218" i="32"/>
  <c r="AP218" i="32"/>
  <c r="AP223" i="32"/>
  <c r="AA223" i="32"/>
  <c r="AS223" i="32" s="1"/>
  <c r="Z223" i="32"/>
  <c r="AF223" i="32" s="1"/>
  <c r="AO223" i="32" s="1"/>
  <c r="Y232" i="32"/>
  <c r="AR232" i="32"/>
  <c r="AW227" i="32"/>
  <c r="AW232" i="32" s="1"/>
  <c r="AN227" i="32"/>
  <c r="AV227" i="32" s="1"/>
  <c r="AL232" i="32"/>
  <c r="AA228" i="32"/>
  <c r="AS228" i="32" s="1"/>
  <c r="AP228" i="32"/>
  <c r="Z228" i="32"/>
  <c r="AF228" i="32" s="1"/>
  <c r="AO228" i="32" s="1"/>
  <c r="S239" i="32"/>
  <c r="Z236" i="32"/>
  <c r="AP236" i="32"/>
  <c r="AB238" i="32"/>
  <c r="AA238" i="32"/>
  <c r="AS238" i="32" s="1"/>
  <c r="AP238" i="32"/>
  <c r="Z238" i="32"/>
  <c r="AN243" i="32"/>
  <c r="AV240" i="32"/>
  <c r="AU240" i="32"/>
  <c r="AU243" i="32" s="1"/>
  <c r="AN242" i="32"/>
  <c r="AV242" i="32" s="1"/>
  <c r="AW251" i="32"/>
  <c r="AW253" i="32" s="1"/>
  <c r="AL253" i="32"/>
  <c r="AN251" i="32"/>
  <c r="AN255" i="32"/>
  <c r="AV255" i="32" s="1"/>
  <c r="AX255" i="32"/>
  <c r="AX260" i="32" s="1"/>
  <c r="AA256" i="32"/>
  <c r="AS256" i="32" s="1"/>
  <c r="AB256" i="32"/>
  <c r="AT256" i="32" s="1"/>
  <c r="Z256" i="32"/>
  <c r="Z259" i="32"/>
  <c r="AA259" i="32"/>
  <c r="AS259" i="32" s="1"/>
  <c r="AP259" i="32"/>
  <c r="AB259" i="32"/>
  <c r="AT259" i="32" s="1"/>
  <c r="AP261" i="32"/>
  <c r="Z261" i="32"/>
  <c r="V263" i="32"/>
  <c r="AB261" i="32"/>
  <c r="AA261" i="32"/>
  <c r="AW265" i="32"/>
  <c r="AN265" i="32"/>
  <c r="AV265" i="32" s="1"/>
  <c r="Z270" i="32"/>
  <c r="V276" i="32"/>
  <c r="AA270" i="32"/>
  <c r="AP270" i="32"/>
  <c r="AB270" i="32"/>
  <c r="AQ273" i="32"/>
  <c r="Z273" i="32"/>
  <c r="AA280" i="32"/>
  <c r="AS280" i="32" s="1"/>
  <c r="AB280" i="32"/>
  <c r="AT280" i="32" s="1"/>
  <c r="AP280" i="32"/>
  <c r="Z280" i="32"/>
  <c r="AW281" i="32"/>
  <c r="AN281" i="32"/>
  <c r="AV281" i="32" s="1"/>
  <c r="AP285" i="32"/>
  <c r="Z285" i="32"/>
  <c r="AB285" i="32"/>
  <c r="AT285" i="32" s="1"/>
  <c r="AA285" i="32"/>
  <c r="AS285" i="32" s="1"/>
  <c r="S221" i="32"/>
  <c r="V220" i="32"/>
  <c r="AE225" i="32"/>
  <c r="AU222" i="32"/>
  <c r="AU225" i="32" s="1"/>
  <c r="AV222" i="32"/>
  <c r="AW224" i="32"/>
  <c r="AW225" i="32" s="1"/>
  <c r="AN224" i="32"/>
  <c r="AV224" i="32" s="1"/>
  <c r="Z227" i="32"/>
  <c r="AB227" i="32"/>
  <c r="AT227" i="32" s="1"/>
  <c r="AA227" i="32"/>
  <c r="AS227" i="32" s="1"/>
  <c r="V239" i="32"/>
  <c r="AP233" i="32"/>
  <c r="Z233" i="32"/>
  <c r="AQ234" i="32"/>
  <c r="AQ239" i="32" s="1"/>
  <c r="Y239" i="32"/>
  <c r="AN234" i="32"/>
  <c r="AV234" i="32" s="1"/>
  <c r="AW234" i="32"/>
  <c r="AN237" i="32"/>
  <c r="AV237" i="32" s="1"/>
  <c r="AW237" i="32"/>
  <c r="AP245" i="32"/>
  <c r="AA245" i="32"/>
  <c r="AB245" i="32"/>
  <c r="AT245" i="32" s="1"/>
  <c r="Z245" i="32"/>
  <c r="AW246" i="32"/>
  <c r="AN246" i="32"/>
  <c r="AN247" i="32"/>
  <c r="AV247" i="32" s="1"/>
  <c r="AW247" i="32"/>
  <c r="Z251" i="32"/>
  <c r="AB251" i="32"/>
  <c r="AP251" i="32"/>
  <c r="AP253" i="32" s="1"/>
  <c r="AA251" i="32"/>
  <c r="V253" i="32"/>
  <c r="AX264" i="32"/>
  <c r="AM269" i="32"/>
  <c r="AN264" i="32"/>
  <c r="Z265" i="32"/>
  <c r="AB265" i="32"/>
  <c r="AT265" i="32" s="1"/>
  <c r="AP265" i="32"/>
  <c r="AA265" i="32"/>
  <c r="AS265" i="32" s="1"/>
  <c r="V281" i="32"/>
  <c r="V283" i="32" s="1"/>
  <c r="S283" i="32"/>
  <c r="AU288" i="32"/>
  <c r="AU290" i="32" s="1"/>
  <c r="AE290" i="32"/>
  <c r="AV177" i="32"/>
  <c r="AR182" i="32"/>
  <c r="AP179" i="32"/>
  <c r="AA179" i="32"/>
  <c r="AS179" i="32" s="1"/>
  <c r="Z179" i="32"/>
  <c r="AP184" i="32"/>
  <c r="AA184" i="32"/>
  <c r="AS184" i="32" s="1"/>
  <c r="Z184" i="32"/>
  <c r="V186" i="32"/>
  <c r="S193" i="32"/>
  <c r="V187" i="32"/>
  <c r="AX194" i="32"/>
  <c r="AX197" i="32" s="1"/>
  <c r="AM197" i="32"/>
  <c r="AW195" i="32"/>
  <c r="AW197" i="32" s="1"/>
  <c r="AN195" i="32"/>
  <c r="S203" i="32"/>
  <c r="AP204" i="32"/>
  <c r="AA204" i="32"/>
  <c r="V212" i="32"/>
  <c r="Z204" i="32"/>
  <c r="AL212" i="32"/>
  <c r="AB207" i="32"/>
  <c r="AT207" i="32" s="1"/>
  <c r="AP207" i="32"/>
  <c r="AA207" i="32"/>
  <c r="AS207" i="32" s="1"/>
  <c r="AP213" i="32"/>
  <c r="AA213" i="32"/>
  <c r="Z213" i="32"/>
  <c r="AR219" i="32"/>
  <c r="AW218" i="32"/>
  <c r="AN218" i="32"/>
  <c r="AV218" i="32" s="1"/>
  <c r="AB225" i="32"/>
  <c r="AT222" i="32"/>
  <c r="AN223" i="32"/>
  <c r="AV223" i="32" s="1"/>
  <c r="AE232" i="32"/>
  <c r="AP227" i="32"/>
  <c r="AP230" i="32"/>
  <c r="AA230" i="32"/>
  <c r="AS230" i="32" s="1"/>
  <c r="AB230" i="32"/>
  <c r="AT230" i="32" s="1"/>
  <c r="Z230" i="32"/>
  <c r="AN233" i="32"/>
  <c r="AU239" i="32"/>
  <c r="Z234" i="32"/>
  <c r="AP235" i="32"/>
  <c r="AA235" i="32"/>
  <c r="AS235" i="32" s="1"/>
  <c r="Z235" i="32"/>
  <c r="AA236" i="32"/>
  <c r="AS236" i="32" s="1"/>
  <c r="AP240" i="32"/>
  <c r="AA240" i="32"/>
  <c r="AB240" i="32"/>
  <c r="V243" i="32"/>
  <c r="Z240" i="32"/>
  <c r="AL243" i="32"/>
  <c r="AF248" i="32"/>
  <c r="AO248" i="32" s="1"/>
  <c r="AP249" i="32"/>
  <c r="AA249" i="32"/>
  <c r="AS249" i="32" s="1"/>
  <c r="Z249" i="32"/>
  <c r="AB249" i="32"/>
  <c r="AT249" i="32" s="1"/>
  <c r="AM253" i="32"/>
  <c r="AS254" i="32"/>
  <c r="AW257" i="32"/>
  <c r="AN257" i="32"/>
  <c r="AV257" i="32" s="1"/>
  <c r="AL260" i="32"/>
  <c r="AT264" i="32"/>
  <c r="AU276" i="32"/>
  <c r="AW283" i="32"/>
  <c r="AQ278" i="32"/>
  <c r="Z278" i="32"/>
  <c r="AQ284" i="32"/>
  <c r="AQ290" i="32" s="1"/>
  <c r="AA173" i="32"/>
  <c r="AS173" i="32" s="1"/>
  <c r="AP173" i="32"/>
  <c r="AU177" i="32"/>
  <c r="AU182" i="32" s="1"/>
  <c r="AA178" i="32"/>
  <c r="AS178" i="32" s="1"/>
  <c r="AP178" i="32"/>
  <c r="AA183" i="32"/>
  <c r="AP183" i="32"/>
  <c r="AU187" i="32"/>
  <c r="AU193" i="32" s="1"/>
  <c r="AX198" i="32"/>
  <c r="AX203" i="32" s="1"/>
  <c r="AW204" i="32"/>
  <c r="AA216" i="32"/>
  <c r="AP216" i="32"/>
  <c r="AU220" i="32"/>
  <c r="S225" i="32"/>
  <c r="AA222" i="32"/>
  <c r="AP222" i="32"/>
  <c r="V225" i="32"/>
  <c r="AE239" i="32"/>
  <c r="AA234" i="32"/>
  <c r="AS234" i="32" s="1"/>
  <c r="V250" i="32"/>
  <c r="AB244" i="32"/>
  <c r="AF244" i="32" s="1"/>
  <c r="AU244" i="32"/>
  <c r="AU250" i="32" s="1"/>
  <c r="AE250" i="32"/>
  <c r="AP244" i="32"/>
  <c r="AQ245" i="32"/>
  <c r="AQ250" i="32" s="1"/>
  <c r="AW248" i="32"/>
  <c r="S250" i="32"/>
  <c r="AE260" i="32"/>
  <c r="AU254" i="32"/>
  <c r="AU260" i="32" s="1"/>
  <c r="AP258" i="32"/>
  <c r="AA258" i="32"/>
  <c r="AS258" i="32" s="1"/>
  <c r="AB258" i="32"/>
  <c r="AT258" i="32" s="1"/>
  <c r="AN262" i="32"/>
  <c r="AV262" i="32" s="1"/>
  <c r="AW262" i="32"/>
  <c r="AP268" i="32"/>
  <c r="AA268" i="32"/>
  <c r="AS268" i="32" s="1"/>
  <c r="AB268" i="32"/>
  <c r="AT268" i="32" s="1"/>
  <c r="Y276" i="32"/>
  <c r="AQ270" i="32"/>
  <c r="AA275" i="32"/>
  <c r="AS275" i="32" s="1"/>
  <c r="AB275" i="32"/>
  <c r="AT275" i="32" s="1"/>
  <c r="AQ277" i="32"/>
  <c r="Y283" i="32"/>
  <c r="AU279" i="32"/>
  <c r="AU307" i="32" s="1"/>
  <c r="AE283" i="32"/>
  <c r="AX288" i="32"/>
  <c r="AX290" i="32" s="1"/>
  <c r="AN288" i="32"/>
  <c r="AV288" i="32" s="1"/>
  <c r="AM290" i="32"/>
  <c r="V198" i="32"/>
  <c r="AM225" i="32"/>
  <c r="AP226" i="32"/>
  <c r="AA226" i="32"/>
  <c r="AN226" i="32"/>
  <c r="AN228" i="32"/>
  <c r="AV228" i="32" s="1"/>
  <c r="V232" i="32"/>
  <c r="AM232" i="32"/>
  <c r="AL250" i="32"/>
  <c r="AX250" i="32"/>
  <c r="AP247" i="32"/>
  <c r="Z247" i="32"/>
  <c r="AF247" i="32" s="1"/>
  <c r="AO247" i="32" s="1"/>
  <c r="AP252" i="32"/>
  <c r="V260" i="32"/>
  <c r="AB254" i="32"/>
  <c r="AP254" i="32"/>
  <c r="Z254" i="32"/>
  <c r="AF262" i="32"/>
  <c r="AO262" i="32" s="1"/>
  <c r="Y269" i="32"/>
  <c r="Z264" i="32"/>
  <c r="AW267" i="32"/>
  <c r="AN267" i="32"/>
  <c r="AV267" i="32" s="1"/>
  <c r="Z274" i="32"/>
  <c r="AB274" i="32"/>
  <c r="AT274" i="32" s="1"/>
  <c r="AX278" i="32"/>
  <c r="AM283" i="32"/>
  <c r="AN278" i="32"/>
  <c r="AP282" i="32"/>
  <c r="AA282" i="32"/>
  <c r="AS282" i="32" s="1"/>
  <c r="AB282" i="32"/>
  <c r="AT282" i="32" s="1"/>
  <c r="AV284" i="32"/>
  <c r="AB286" i="32"/>
  <c r="AT286" i="32" s="1"/>
  <c r="Z286" i="32"/>
  <c r="AN286" i="32"/>
  <c r="AV286" i="32" s="1"/>
  <c r="AW286" i="32"/>
  <c r="AW289" i="32"/>
  <c r="AN289" i="32"/>
  <c r="AV289" i="32" s="1"/>
  <c r="AB292" i="32"/>
  <c r="AT292" i="32" s="1"/>
  <c r="AP292" i="32"/>
  <c r="Z292" i="32"/>
  <c r="AW294" i="32"/>
  <c r="AN294" i="32"/>
  <c r="AV294" i="32" s="1"/>
  <c r="AN252" i="32"/>
  <c r="AV252" i="32" s="1"/>
  <c r="AP255" i="32"/>
  <c r="AA255" i="32"/>
  <c r="AS255" i="32" s="1"/>
  <c r="AL269" i="32"/>
  <c r="AP266" i="32"/>
  <c r="AP271" i="32"/>
  <c r="Z271" i="32"/>
  <c r="AB271" i="32"/>
  <c r="AT271" i="32" s="1"/>
  <c r="AN271" i="32"/>
  <c r="AV271" i="32" s="1"/>
  <c r="AW271" i="32"/>
  <c r="AX273" i="32"/>
  <c r="AX276" i="32" s="1"/>
  <c r="AN273" i="32"/>
  <c r="AV273" i="32" s="1"/>
  <c r="AA274" i="32"/>
  <c r="AS274" i="32" s="1"/>
  <c r="AP274" i="32"/>
  <c r="Z279" i="32"/>
  <c r="AB279" i="32"/>
  <c r="AT279" i="32" s="1"/>
  <c r="Z282" i="32"/>
  <c r="S290" i="32"/>
  <c r="V284" i="32"/>
  <c r="AW284" i="32"/>
  <c r="AL290" i="32"/>
  <c r="AA286" i="32"/>
  <c r="AS286" i="32" s="1"/>
  <c r="AP286" i="32"/>
  <c r="AB287" i="32"/>
  <c r="AT287" i="32" s="1"/>
  <c r="AA287" i="32"/>
  <c r="AS287" i="32" s="1"/>
  <c r="AP287" i="32"/>
  <c r="AP288" i="32"/>
  <c r="AA288" i="32"/>
  <c r="AS288" i="32" s="1"/>
  <c r="AB288" i="32"/>
  <c r="AT288" i="32" s="1"/>
  <c r="AA292" i="32"/>
  <c r="AS292" i="32" s="1"/>
  <c r="AX297" i="32"/>
  <c r="AA295" i="32"/>
  <c r="AS295" i="32" s="1"/>
  <c r="AP295" i="32"/>
  <c r="Z295" i="32"/>
  <c r="AN256" i="32"/>
  <c r="AV256" i="32" s="1"/>
  <c r="V269" i="32"/>
  <c r="AP264" i="32"/>
  <c r="AA264" i="32"/>
  <c r="AN266" i="32"/>
  <c r="AV266" i="32" s="1"/>
  <c r="Z272" i="32"/>
  <c r="AF272" i="32" s="1"/>
  <c r="AO272" i="32" s="1"/>
  <c r="AP272" i="32"/>
  <c r="AP273" i="32"/>
  <c r="AA273" i="32"/>
  <c r="AS273" i="32" s="1"/>
  <c r="AN274" i="32"/>
  <c r="AV274" i="32" s="1"/>
  <c r="AN275" i="32"/>
  <c r="AV275" i="32" s="1"/>
  <c r="Z277" i="32"/>
  <c r="AL283" i="32"/>
  <c r="AP278" i="32"/>
  <c r="AA278" i="32"/>
  <c r="AN279" i="32"/>
  <c r="AV279" i="32" s="1"/>
  <c r="AN280" i="32"/>
  <c r="AV280" i="32" s="1"/>
  <c r="AN287" i="32"/>
  <c r="AV287" i="32" s="1"/>
  <c r="Z294" i="32"/>
  <c r="AB294" i="32"/>
  <c r="AT294" i="32" s="1"/>
  <c r="AA294" i="32"/>
  <c r="AS294" i="32" s="1"/>
  <c r="AR276" i="32"/>
  <c r="AE276" i="32"/>
  <c r="AB277" i="32"/>
  <c r="AX283" i="32"/>
  <c r="Z289" i="32"/>
  <c r="AF289" i="32" s="1"/>
  <c r="AO289" i="32" s="1"/>
  <c r="AP289" i="32"/>
  <c r="Y297" i="32"/>
  <c r="AQ293" i="32"/>
  <c r="AQ297" i="32" s="1"/>
  <c r="AX298" i="32"/>
  <c r="AX299" i="32" s="1"/>
  <c r="AM299" i="32"/>
  <c r="AN298" i="32"/>
  <c r="J303" i="32"/>
  <c r="N303" i="32"/>
  <c r="R303" i="32"/>
  <c r="S297" i="32"/>
  <c r="AL297" i="32"/>
  <c r="AN291" i="32"/>
  <c r="AU297" i="32"/>
  <c r="V291" i="32"/>
  <c r="AM297" i="32"/>
  <c r="AR297" i="32"/>
  <c r="AW291" i="32"/>
  <c r="AP293" i="32"/>
  <c r="AA293" i="32"/>
  <c r="AS293" i="32" s="1"/>
  <c r="AN293" i="32"/>
  <c r="AV293" i="32" s="1"/>
  <c r="AN295" i="32"/>
  <c r="AV295" i="32" s="1"/>
  <c r="V299" i="32"/>
  <c r="I303" i="32"/>
  <c r="AE297" i="32"/>
  <c r="U303" i="32"/>
  <c r="M303" i="32"/>
  <c r="Q303" i="32"/>
  <c r="W76" i="31"/>
  <c r="X76" i="31"/>
  <c r="Z30" i="31"/>
  <c r="AA30" i="31"/>
  <c r="AS30" i="31" s="1"/>
  <c r="AP30" i="31"/>
  <c r="AB30" i="31"/>
  <c r="AT30" i="31" s="1"/>
  <c r="AB85" i="31"/>
  <c r="AT38" i="31"/>
  <c r="AB39" i="31"/>
  <c r="Z20" i="31"/>
  <c r="V22" i="31"/>
  <c r="AA20" i="31"/>
  <c r="AS20" i="31" s="1"/>
  <c r="AP20" i="31"/>
  <c r="AB20" i="31"/>
  <c r="AT20" i="31" s="1"/>
  <c r="AQ31" i="31"/>
  <c r="AN13" i="31"/>
  <c r="AV13" i="31" s="1"/>
  <c r="AL83" i="31"/>
  <c r="AW14" i="31"/>
  <c r="AN14" i="31"/>
  <c r="W73" i="31"/>
  <c r="P17" i="45" s="1"/>
  <c r="AH73" i="31"/>
  <c r="AL15" i="31"/>
  <c r="Y18" i="31"/>
  <c r="AQ22" i="31"/>
  <c r="Y86" i="31"/>
  <c r="AQ23" i="31"/>
  <c r="AW24" i="31"/>
  <c r="AT25" i="31"/>
  <c r="AN25" i="31"/>
  <c r="AP27" i="31"/>
  <c r="AE84" i="31"/>
  <c r="AE31" i="31"/>
  <c r="AB36" i="31"/>
  <c r="AT36" i="31" s="1"/>
  <c r="AP36" i="31"/>
  <c r="Z36" i="31"/>
  <c r="AM85" i="31"/>
  <c r="AX38" i="31"/>
  <c r="AM39" i="31"/>
  <c r="AN38" i="31"/>
  <c r="AW47" i="31"/>
  <c r="AQ44" i="31"/>
  <c r="Z44" i="31"/>
  <c r="Z45" i="31"/>
  <c r="AB45" i="31"/>
  <c r="AT45" i="31" s="1"/>
  <c r="AA45" i="31"/>
  <c r="AS45" i="31" s="1"/>
  <c r="AS48" i="31"/>
  <c r="AV51" i="31"/>
  <c r="AQ58" i="31"/>
  <c r="AQ63" i="31" s="1"/>
  <c r="Y63" i="31"/>
  <c r="Z58" i="31"/>
  <c r="AF13" i="31"/>
  <c r="AO13" i="31" s="1"/>
  <c r="V83" i="31"/>
  <c r="Z14" i="31"/>
  <c r="AB22" i="31"/>
  <c r="AT19" i="31"/>
  <c r="AV19" i="31"/>
  <c r="AT29" i="31"/>
  <c r="AW32" i="31"/>
  <c r="AW37" i="31" s="1"/>
  <c r="AN32" i="31"/>
  <c r="AL37" i="31"/>
  <c r="AW85" i="31"/>
  <c r="AW39" i="31"/>
  <c r="AR80" i="31"/>
  <c r="AR47" i="31"/>
  <c r="S77" i="31"/>
  <c r="AP13" i="31"/>
  <c r="AA13" i="31"/>
  <c r="AS13" i="31" s="1"/>
  <c r="AA14" i="31"/>
  <c r="AM83" i="31"/>
  <c r="AD73" i="31"/>
  <c r="W17" i="45" s="1"/>
  <c r="AI73" i="31"/>
  <c r="AB17" i="45" s="1"/>
  <c r="AM15" i="31"/>
  <c r="AN16" i="31"/>
  <c r="AL18" i="31"/>
  <c r="AX18" i="31"/>
  <c r="Z17" i="31"/>
  <c r="AP19" i="31"/>
  <c r="AA19" i="31"/>
  <c r="Z19" i="31"/>
  <c r="Z23" i="31"/>
  <c r="Y24" i="31"/>
  <c r="AR24" i="31"/>
  <c r="S78" i="31"/>
  <c r="Z27" i="31"/>
  <c r="Z28" i="31"/>
  <c r="AF28" i="31" s="1"/>
  <c r="AO28" i="31" s="1"/>
  <c r="V84" i="31"/>
  <c r="AP29" i="31"/>
  <c r="AA29" i="31"/>
  <c r="Z29" i="31"/>
  <c r="AR84" i="31"/>
  <c r="S37" i="31"/>
  <c r="S73" i="31" s="1"/>
  <c r="V32" i="31"/>
  <c r="AW34" i="31"/>
  <c r="AN34" i="31"/>
  <c r="AV34" i="31" s="1"/>
  <c r="AW42" i="31"/>
  <c r="AU40" i="31"/>
  <c r="AU42" i="31" s="1"/>
  <c r="AM42" i="31"/>
  <c r="AP45" i="31"/>
  <c r="AA46" i="31"/>
  <c r="AS46" i="31" s="1"/>
  <c r="AP46" i="31"/>
  <c r="Z46" i="31"/>
  <c r="AR51" i="31"/>
  <c r="AW52" i="31"/>
  <c r="AW56" i="31" s="1"/>
  <c r="AL56" i="31"/>
  <c r="AN52" i="31"/>
  <c r="Y66" i="31"/>
  <c r="AQ64" i="31"/>
  <c r="AQ66" i="31" s="1"/>
  <c r="AT67" i="31"/>
  <c r="Y15" i="31"/>
  <c r="Y73" i="31" s="1"/>
  <c r="R17" i="45" s="1"/>
  <c r="AQ12" i="31"/>
  <c r="AE77" i="31"/>
  <c r="AU12" i="31"/>
  <c r="S18" i="31"/>
  <c r="V16" i="31"/>
  <c r="Y78" i="31"/>
  <c r="Y31" i="31"/>
  <c r="AM78" i="31"/>
  <c r="AX25" i="31"/>
  <c r="AW26" i="31"/>
  <c r="AW31" i="31" s="1"/>
  <c r="AN26" i="31"/>
  <c r="AV26" i="31" s="1"/>
  <c r="AV29" i="31"/>
  <c r="AU31" i="31"/>
  <c r="V85" i="31"/>
  <c r="V39" i="31"/>
  <c r="AP38" i="31"/>
  <c r="AA38" i="31"/>
  <c r="Z38" i="31"/>
  <c r="AA41" i="31"/>
  <c r="AS41" i="31" s="1"/>
  <c r="AP41" i="31"/>
  <c r="AP42" i="31" s="1"/>
  <c r="Z41" i="31"/>
  <c r="AF41" i="31" s="1"/>
  <c r="AO41" i="31" s="1"/>
  <c r="V63" i="31"/>
  <c r="AP57" i="31"/>
  <c r="Z57" i="31"/>
  <c r="AB57" i="31"/>
  <c r="AA57" i="31"/>
  <c r="V12" i="31"/>
  <c r="AR77" i="31"/>
  <c r="AR15" i="31"/>
  <c r="AW12" i="31"/>
  <c r="AB14" i="31"/>
  <c r="AP14" i="31"/>
  <c r="AU83" i="31"/>
  <c r="AE15" i="31"/>
  <c r="AX15" i="31"/>
  <c r="AX19" i="31"/>
  <c r="AX22" i="31" s="1"/>
  <c r="AM22" i="31"/>
  <c r="AU19" i="31"/>
  <c r="AU22" i="31" s="1"/>
  <c r="AW20" i="31"/>
  <c r="AW22" i="31" s="1"/>
  <c r="AN20" i="31"/>
  <c r="AV20" i="31" s="1"/>
  <c r="AE86" i="31"/>
  <c r="AE24" i="31"/>
  <c r="AU23" i="31"/>
  <c r="AV23" i="31"/>
  <c r="V78" i="31"/>
  <c r="AP25" i="31"/>
  <c r="AA25" i="31"/>
  <c r="Z25" i="31"/>
  <c r="AR31" i="31"/>
  <c r="V26" i="31"/>
  <c r="V31" i="31" s="1"/>
  <c r="AA27" i="31"/>
  <c r="AS27" i="31" s="1"/>
  <c r="AM84" i="31"/>
  <c r="AX29" i="31"/>
  <c r="AX84" i="31" s="1"/>
  <c r="AU29" i="31"/>
  <c r="AU84" i="31" s="1"/>
  <c r="AW30" i="31"/>
  <c r="AN30" i="31"/>
  <c r="AV30" i="31" s="1"/>
  <c r="AL31" i="31"/>
  <c r="AX37" i="31"/>
  <c r="AX33" i="31"/>
  <c r="AN33" i="31"/>
  <c r="AV33" i="31" s="1"/>
  <c r="AA36" i="31"/>
  <c r="AS36" i="31" s="1"/>
  <c r="AE85" i="31"/>
  <c r="AE39" i="31"/>
  <c r="AU38" i="31"/>
  <c r="AR85" i="31"/>
  <c r="AR39" i="31"/>
  <c r="Z40" i="31"/>
  <c r="AB40" i="31"/>
  <c r="AA40" i="31"/>
  <c r="V42" i="31"/>
  <c r="AQ49" i="31"/>
  <c r="Z49" i="31"/>
  <c r="V53" i="31"/>
  <c r="S56" i="31"/>
  <c r="AN58" i="31"/>
  <c r="AV58" i="31" s="1"/>
  <c r="AW58" i="31"/>
  <c r="AW80" i="31" s="1"/>
  <c r="Z60" i="31"/>
  <c r="AF60" i="31" s="1"/>
  <c r="AO60" i="31" s="1"/>
  <c r="AP60" i="31"/>
  <c r="AB60" i="31"/>
  <c r="AT60" i="31" s="1"/>
  <c r="AA60" i="31"/>
  <c r="AS60" i="31" s="1"/>
  <c r="Y77" i="31"/>
  <c r="S80" i="31"/>
  <c r="V43" i="31"/>
  <c r="AE80" i="31"/>
  <c r="AU43" i="31"/>
  <c r="AN80" i="31"/>
  <c r="AE47" i="31"/>
  <c r="V51" i="31"/>
  <c r="AB48" i="31"/>
  <c r="AP50" i="31"/>
  <c r="AA50" i="31"/>
  <c r="AS50" i="31" s="1"/>
  <c r="Z50" i="31"/>
  <c r="AE51" i="31"/>
  <c r="AN51" i="31"/>
  <c r="AS52" i="31"/>
  <c r="AV57" i="31"/>
  <c r="AU63" i="31"/>
  <c r="AP59" i="31"/>
  <c r="AA59" i="31"/>
  <c r="AS59" i="31" s="1"/>
  <c r="Z59" i="31"/>
  <c r="AN61" i="31"/>
  <c r="AV61" i="31" s="1"/>
  <c r="AW61" i="31"/>
  <c r="AB62" i="31"/>
  <c r="AT62" i="31" s="1"/>
  <c r="AA62" i="31"/>
  <c r="AS62" i="31" s="1"/>
  <c r="AP62" i="31"/>
  <c r="Z62" i="31"/>
  <c r="Y83" i="31"/>
  <c r="AE83" i="31"/>
  <c r="AR83" i="31"/>
  <c r="T73" i="31"/>
  <c r="M17" i="45" s="1"/>
  <c r="X73" i="31"/>
  <c r="AJ73" i="31"/>
  <c r="AU16" i="31"/>
  <c r="AU18" i="31" s="1"/>
  <c r="AA17" i="31"/>
  <c r="AS17" i="31" s="1"/>
  <c r="AP17" i="31"/>
  <c r="AX17" i="31"/>
  <c r="AX83" i="31" s="1"/>
  <c r="AA23" i="31"/>
  <c r="AP23" i="31"/>
  <c r="AX23" i="31"/>
  <c r="V24" i="31"/>
  <c r="AL24" i="31"/>
  <c r="AA28" i="31"/>
  <c r="AS28" i="31" s="1"/>
  <c r="AP28" i="31"/>
  <c r="AM37" i="31"/>
  <c r="AQ32" i="31"/>
  <c r="AQ37" i="31" s="1"/>
  <c r="AP33" i="31"/>
  <c r="AA33" i="31"/>
  <c r="AS33" i="31" s="1"/>
  <c r="AA35" i="31"/>
  <c r="AN35" i="31"/>
  <c r="AV35" i="31" s="1"/>
  <c r="Y80" i="31"/>
  <c r="AQ43" i="31"/>
  <c r="S47" i="31"/>
  <c r="Y51" i="31"/>
  <c r="AQ48" i="31"/>
  <c r="AQ51" i="31" s="1"/>
  <c r="AB52" i="31"/>
  <c r="AR56" i="31"/>
  <c r="Z54" i="31"/>
  <c r="AA55" i="31"/>
  <c r="AS55" i="31" s="1"/>
  <c r="Z55" i="31"/>
  <c r="AF55" i="31" s="1"/>
  <c r="AO55" i="31" s="1"/>
  <c r="AM63" i="31"/>
  <c r="AX57" i="31"/>
  <c r="AX63" i="31" s="1"/>
  <c r="AW57" i="31"/>
  <c r="AA61" i="31"/>
  <c r="AL63" i="31"/>
  <c r="V72" i="31"/>
  <c r="AA67" i="31"/>
  <c r="AP67" i="31"/>
  <c r="Z67" i="31"/>
  <c r="AM77" i="31"/>
  <c r="U73" i="31"/>
  <c r="N17" i="45" s="1"/>
  <c r="AC73" i="31"/>
  <c r="AG73" i="31"/>
  <c r="AK73" i="31"/>
  <c r="AB23" i="31"/>
  <c r="AM24" i="31"/>
  <c r="AL78" i="31"/>
  <c r="S84" i="31"/>
  <c r="AL84" i="31"/>
  <c r="AE37" i="31"/>
  <c r="AU32" i="31"/>
  <c r="AU37" i="31" s="1"/>
  <c r="Z34" i="31"/>
  <c r="AF34" i="31" s="1"/>
  <c r="AO34" i="31" s="1"/>
  <c r="AP34" i="31"/>
  <c r="AN40" i="31"/>
  <c r="AN41" i="31"/>
  <c r="AV41" i="31" s="1"/>
  <c r="AL42" i="31"/>
  <c r="AL80" i="31"/>
  <c r="AL76" i="31" s="1"/>
  <c r="AV43" i="31"/>
  <c r="AP44" i="31"/>
  <c r="AA44" i="31"/>
  <c r="AS44" i="31" s="1"/>
  <c r="AN45" i="31"/>
  <c r="AV45" i="31" s="1"/>
  <c r="AN46" i="31"/>
  <c r="AV46" i="31" s="1"/>
  <c r="AL47" i="31"/>
  <c r="Z48" i="31"/>
  <c r="AP48" i="31"/>
  <c r="AB49" i="31"/>
  <c r="AT49" i="31" s="1"/>
  <c r="AP49" i="31"/>
  <c r="AA49" i="31"/>
  <c r="AS49" i="31" s="1"/>
  <c r="AB50" i="31"/>
  <c r="AT50" i="31" s="1"/>
  <c r="V56" i="31"/>
  <c r="Z52" i="31"/>
  <c r="AQ56" i="31"/>
  <c r="AX52" i="31"/>
  <c r="AX56" i="31" s="1"/>
  <c r="S63" i="31"/>
  <c r="AB59" i="31"/>
  <c r="AT59" i="31" s="1"/>
  <c r="AP61" i="31"/>
  <c r="Z65" i="31"/>
  <c r="AF65" i="31" s="1"/>
  <c r="AO65" i="31" s="1"/>
  <c r="AB65" i="31"/>
  <c r="AT65" i="31" s="1"/>
  <c r="AA65" i="31"/>
  <c r="AS65" i="31" s="1"/>
  <c r="AM72" i="31"/>
  <c r="AX67" i="31"/>
  <c r="AP68" i="31"/>
  <c r="AA68" i="31"/>
  <c r="AS68" i="31" s="1"/>
  <c r="Z68" i="31"/>
  <c r="AB68" i="31"/>
  <c r="AT68" i="31" s="1"/>
  <c r="AL39" i="31"/>
  <c r="Y56" i="31"/>
  <c r="AU53" i="31"/>
  <c r="AU56" i="31" s="1"/>
  <c r="AA54" i="31"/>
  <c r="AS54" i="31" s="1"/>
  <c r="AP54" i="31"/>
  <c r="AE63" i="31"/>
  <c r="AA58" i="31"/>
  <c r="AS58" i="31" s="1"/>
  <c r="Z64" i="31"/>
  <c r="AV64" i="31"/>
  <c r="AV66" i="31" s="1"/>
  <c r="AL66" i="31"/>
  <c r="AX68" i="31"/>
  <c r="AN68" i="31"/>
  <c r="AV68" i="31" s="1"/>
  <c r="AB70" i="31"/>
  <c r="AT70" i="31" s="1"/>
  <c r="AP70" i="31"/>
  <c r="AB71" i="31"/>
  <c r="AT71" i="31" s="1"/>
  <c r="AP71" i="31"/>
  <c r="AA71" i="31"/>
  <c r="AS71" i="31" s="1"/>
  <c r="Z71" i="31"/>
  <c r="I76" i="31"/>
  <c r="M76" i="31"/>
  <c r="Q76" i="31"/>
  <c r="AM75" i="31"/>
  <c r="AB64" i="31"/>
  <c r="AM66" i="31"/>
  <c r="AU72" i="31"/>
  <c r="Z69" i="31"/>
  <c r="AA69" i="31"/>
  <c r="AS69" i="31" s="1"/>
  <c r="AW69" i="31"/>
  <c r="AN69" i="31"/>
  <c r="AV69" i="31" s="1"/>
  <c r="AN70" i="31"/>
  <c r="AV70" i="31" s="1"/>
  <c r="AW70" i="31"/>
  <c r="J76" i="31"/>
  <c r="N76" i="31"/>
  <c r="R76" i="31"/>
  <c r="AP64" i="31"/>
  <c r="AP66" i="31" s="1"/>
  <c r="AA64" i="31"/>
  <c r="S72" i="31"/>
  <c r="AL72" i="31"/>
  <c r="AW67" i="31"/>
  <c r="AW72" i="31" s="1"/>
  <c r="AN67" i="31"/>
  <c r="AQ72" i="31"/>
  <c r="AF70" i="31"/>
  <c r="AO70" i="31" s="1"/>
  <c r="AE72" i="31"/>
  <c r="AD76" i="31"/>
  <c r="AE75" i="31" s="1"/>
  <c r="K101" i="30"/>
  <c r="AI101" i="30"/>
  <c r="O186" i="29"/>
  <c r="W186" i="29"/>
  <c r="AI186" i="29"/>
  <c r="J101" i="30"/>
  <c r="AH101" i="30"/>
  <c r="AQ14" i="30"/>
  <c r="AQ108" i="30" s="1"/>
  <c r="Z14" i="30"/>
  <c r="Y108" i="30"/>
  <c r="Y15" i="30"/>
  <c r="AA24" i="30"/>
  <c r="AB24" i="30"/>
  <c r="AP24" i="30"/>
  <c r="AR28" i="30"/>
  <c r="AX26" i="30"/>
  <c r="AM28" i="30"/>
  <c r="AN26" i="30"/>
  <c r="AV26" i="30" s="1"/>
  <c r="Z27" i="30"/>
  <c r="AB27" i="30"/>
  <c r="AT27" i="30" s="1"/>
  <c r="AW27" i="30"/>
  <c r="AW109" i="30" s="1"/>
  <c r="AL28" i="30"/>
  <c r="AN27" i="30"/>
  <c r="AV27" i="30" s="1"/>
  <c r="Z34" i="30"/>
  <c r="AB34" i="30"/>
  <c r="AT34" i="30" s="1"/>
  <c r="AP34" i="30"/>
  <c r="AA34" i="30"/>
  <c r="AS34" i="30" s="1"/>
  <c r="AA37" i="30"/>
  <c r="V43" i="30"/>
  <c r="AP37" i="30"/>
  <c r="Z37" i="30"/>
  <c r="AB37" i="30"/>
  <c r="AA46" i="30"/>
  <c r="AS46" i="30" s="1"/>
  <c r="AP46" i="30"/>
  <c r="Z46" i="30"/>
  <c r="AB46" i="30"/>
  <c r="AT46" i="30" s="1"/>
  <c r="AX15" i="30"/>
  <c r="AE108" i="30"/>
  <c r="AU14" i="30"/>
  <c r="AU108" i="30" s="1"/>
  <c r="V111" i="30"/>
  <c r="V17" i="30"/>
  <c r="AP16" i="30"/>
  <c r="AA16" i="30"/>
  <c r="Z16" i="30"/>
  <c r="AQ17" i="30"/>
  <c r="Y109" i="30"/>
  <c r="AQ20" i="30"/>
  <c r="AQ109" i="30" s="1"/>
  <c r="Z20" i="30"/>
  <c r="AA22" i="30"/>
  <c r="AS22" i="30" s="1"/>
  <c r="Y28" i="30"/>
  <c r="AV24" i="30"/>
  <c r="AV28" i="30" s="1"/>
  <c r="AN28" i="30"/>
  <c r="AX28" i="30"/>
  <c r="AT54" i="30"/>
  <c r="AB111" i="30"/>
  <c r="AT16" i="30"/>
  <c r="AB17" i="30"/>
  <c r="S103" i="30"/>
  <c r="V18" i="30"/>
  <c r="S23" i="30"/>
  <c r="AL103" i="30"/>
  <c r="AW18" i="30"/>
  <c r="AN18" i="30"/>
  <c r="AB19" i="30"/>
  <c r="AT19" i="30" s="1"/>
  <c r="AP19" i="30"/>
  <c r="AA19" i="30"/>
  <c r="AS19" i="30" s="1"/>
  <c r="AX21" i="30"/>
  <c r="AX23" i="30" s="1"/>
  <c r="AN21" i="30"/>
  <c r="AV21" i="30" s="1"/>
  <c r="Z22" i="30"/>
  <c r="AF22" i="30" s="1"/>
  <c r="AO22" i="30" s="1"/>
  <c r="AB22" i="30"/>
  <c r="AT22" i="30" s="1"/>
  <c r="AW22" i="30"/>
  <c r="AN22" i="30"/>
  <c r="AV22" i="30" s="1"/>
  <c r="AU25" i="30"/>
  <c r="AU28" i="30" s="1"/>
  <c r="AE28" i="30"/>
  <c r="AP26" i="30"/>
  <c r="AA26" i="30"/>
  <c r="AS26" i="30" s="1"/>
  <c r="Z26" i="30"/>
  <c r="Z35" i="30"/>
  <c r="AA35" i="30"/>
  <c r="AS35" i="30" s="1"/>
  <c r="AP35" i="30"/>
  <c r="AB35" i="30"/>
  <c r="AT35" i="30" s="1"/>
  <c r="S102" i="30"/>
  <c r="S15" i="30"/>
  <c r="V12" i="30"/>
  <c r="AL102" i="30"/>
  <c r="AW12" i="30"/>
  <c r="AL15" i="30"/>
  <c r="AN12" i="30"/>
  <c r="AB13" i="30"/>
  <c r="AT13" i="30" s="1"/>
  <c r="AP13" i="30"/>
  <c r="AA13" i="30"/>
  <c r="AS13" i="30" s="1"/>
  <c r="AV14" i="30"/>
  <c r="AM111" i="30"/>
  <c r="AX16" i="30"/>
  <c r="AN16" i="30"/>
  <c r="AE109" i="30"/>
  <c r="AU20" i="30"/>
  <c r="AU109" i="30" s="1"/>
  <c r="AE23" i="30"/>
  <c r="AP21" i="30"/>
  <c r="AA21" i="30"/>
  <c r="AS21" i="30" s="1"/>
  <c r="Z21" i="30"/>
  <c r="AF21" i="30" s="1"/>
  <c r="AO21" i="30" s="1"/>
  <c r="Z24" i="30"/>
  <c r="AW28" i="30"/>
  <c r="AQ25" i="30"/>
  <c r="Z25" i="30"/>
  <c r="AA27" i="30"/>
  <c r="AS27" i="30" s="1"/>
  <c r="AP27" i="30"/>
  <c r="V28" i="30"/>
  <c r="AT31" i="30"/>
  <c r="Z45" i="30"/>
  <c r="AA45" i="30"/>
  <c r="AS45" i="30" s="1"/>
  <c r="AP45" i="30"/>
  <c r="AB45" i="30"/>
  <c r="AT45" i="30" s="1"/>
  <c r="AQ102" i="30"/>
  <c r="AC98" i="30"/>
  <c r="V16" i="45" s="1"/>
  <c r="AG98" i="30"/>
  <c r="AK98" i="30"/>
  <c r="AM103" i="30"/>
  <c r="S28" i="30"/>
  <c r="AR105" i="30"/>
  <c r="AP44" i="30"/>
  <c r="AA44" i="30"/>
  <c r="AN44" i="30"/>
  <c r="AP49" i="30"/>
  <c r="AA49" i="30"/>
  <c r="AS49" i="30" s="1"/>
  <c r="AN49" i="30"/>
  <c r="AV49" i="30" s="1"/>
  <c r="AB52" i="30"/>
  <c r="AT52" i="30" s="1"/>
  <c r="AP52" i="30"/>
  <c r="Z52" i="30"/>
  <c r="AM60" i="30"/>
  <c r="Z63" i="30"/>
  <c r="Y64" i="30"/>
  <c r="AB67" i="30"/>
  <c r="AT67" i="30" s="1"/>
  <c r="AA67" i="30"/>
  <c r="AS67" i="30" s="1"/>
  <c r="AP67" i="30"/>
  <c r="Z67" i="30"/>
  <c r="AB73" i="30"/>
  <c r="Y83" i="30"/>
  <c r="AQ80" i="30"/>
  <c r="AQ83" i="30" s="1"/>
  <c r="AQ91" i="30"/>
  <c r="AQ97" i="30" s="1"/>
  <c r="Z91" i="30"/>
  <c r="Y97" i="30"/>
  <c r="Y102" i="30"/>
  <c r="Y101" i="30" s="1"/>
  <c r="AE102" i="30"/>
  <c r="AR102" i="30"/>
  <c r="AR101" i="30" s="1"/>
  <c r="AU13" i="30"/>
  <c r="AU15" i="30" s="1"/>
  <c r="S108" i="30"/>
  <c r="AA14" i="30"/>
  <c r="AL108" i="30"/>
  <c r="AD98" i="30"/>
  <c r="W16" i="45" s="1"/>
  <c r="AH98" i="30"/>
  <c r="AW16" i="30"/>
  <c r="Y17" i="30"/>
  <c r="Y103" i="30"/>
  <c r="AE103" i="30"/>
  <c r="AR103" i="30"/>
  <c r="AQ19" i="30"/>
  <c r="S109" i="30"/>
  <c r="AA20" i="30"/>
  <c r="AL109" i="30"/>
  <c r="AR23" i="30"/>
  <c r="AQ24" i="30"/>
  <c r="AQ28" i="30" s="1"/>
  <c r="AA25" i="30"/>
  <c r="AS25" i="30" s="1"/>
  <c r="AP25" i="30"/>
  <c r="V29" i="30"/>
  <c r="AQ29" i="30"/>
  <c r="AU29" i="30"/>
  <c r="S30" i="30"/>
  <c r="AE30" i="30"/>
  <c r="AM30" i="30"/>
  <c r="AA31" i="30"/>
  <c r="AP31" i="30"/>
  <c r="AN33" i="30"/>
  <c r="AV33" i="30" s="1"/>
  <c r="AM43" i="30"/>
  <c r="AW37" i="30"/>
  <c r="AW43" i="30" s="1"/>
  <c r="Z38" i="30"/>
  <c r="AP38" i="30"/>
  <c r="AP39" i="30"/>
  <c r="AA39" i="30"/>
  <c r="AS39" i="30" s="1"/>
  <c r="AN39" i="30"/>
  <c r="AV39" i="30" s="1"/>
  <c r="AN40" i="30"/>
  <c r="AV40" i="30" s="1"/>
  <c r="AA41" i="30"/>
  <c r="AS41" i="30" s="1"/>
  <c r="AN41" i="30"/>
  <c r="AV41" i="30" s="1"/>
  <c r="AL43" i="30"/>
  <c r="AU44" i="30"/>
  <c r="AU47" i="30" s="1"/>
  <c r="AW46" i="30"/>
  <c r="AW108" i="30" s="1"/>
  <c r="AM47" i="30"/>
  <c r="AR53" i="30"/>
  <c r="AW48" i="30"/>
  <c r="AW50" i="30"/>
  <c r="AN50" i="30"/>
  <c r="AV50" i="30" s="1"/>
  <c r="AN54" i="30"/>
  <c r="AN55" i="30"/>
  <c r="AV55" i="30" s="1"/>
  <c r="AP56" i="30"/>
  <c r="AE60" i="30"/>
  <c r="AS61" i="30"/>
  <c r="AX64" i="30"/>
  <c r="AX65" i="30"/>
  <c r="AA66" i="30"/>
  <c r="Z73" i="30"/>
  <c r="S73" i="30"/>
  <c r="AX76" i="30"/>
  <c r="AN76" i="30"/>
  <c r="AV76" i="30" s="1"/>
  <c r="AW77" i="30"/>
  <c r="AN77" i="30"/>
  <c r="AV77" i="30" s="1"/>
  <c r="AF78" i="30"/>
  <c r="AO78" i="30" s="1"/>
  <c r="AX81" i="30"/>
  <c r="AX83" i="30" s="1"/>
  <c r="AN81" i="30"/>
  <c r="AV81" i="30" s="1"/>
  <c r="AW82" i="30"/>
  <c r="AN82" i="30"/>
  <c r="AV82" i="30" s="1"/>
  <c r="AL83" i="30"/>
  <c r="Z93" i="30"/>
  <c r="AF93" i="30" s="1"/>
  <c r="AO93" i="30" s="1"/>
  <c r="AB93" i="30"/>
  <c r="AT93" i="30" s="1"/>
  <c r="AA93" i="30"/>
  <c r="AS93" i="30" s="1"/>
  <c r="AP93" i="30"/>
  <c r="AA94" i="30"/>
  <c r="AS94" i="30" s="1"/>
  <c r="AP94" i="30"/>
  <c r="Z94" i="30"/>
  <c r="AB94" i="30"/>
  <c r="AT94" i="30" s="1"/>
  <c r="AM97" i="30"/>
  <c r="AX94" i="30"/>
  <c r="AW30" i="30"/>
  <c r="AB32" i="30"/>
  <c r="AX35" i="30"/>
  <c r="AX36" i="30" s="1"/>
  <c r="AE36" i="30"/>
  <c r="AM36" i="30"/>
  <c r="AB47" i="30"/>
  <c r="AT44" i="30"/>
  <c r="AT47" i="30" s="1"/>
  <c r="AX45" i="30"/>
  <c r="Y53" i="30"/>
  <c r="AQ48" i="30"/>
  <c r="AQ53" i="30" s="1"/>
  <c r="AP54" i="30"/>
  <c r="AA54" i="30"/>
  <c r="Z54" i="30"/>
  <c r="AN56" i="30"/>
  <c r="AV56" i="30" s="1"/>
  <c r="AW56" i="30"/>
  <c r="AW105" i="30" s="1"/>
  <c r="AB57" i="30"/>
  <c r="AT57" i="30" s="1"/>
  <c r="AA57" i="30"/>
  <c r="AS57" i="30" s="1"/>
  <c r="AP57" i="30"/>
  <c r="Z57" i="30"/>
  <c r="AF58" i="30"/>
  <c r="AO58" i="30" s="1"/>
  <c r="AX58" i="30"/>
  <c r="AX60" i="30" s="1"/>
  <c r="AN58" i="30"/>
  <c r="AV58" i="30" s="1"/>
  <c r="AL60" i="30"/>
  <c r="S70" i="30"/>
  <c r="V65" i="30"/>
  <c r="AW69" i="30"/>
  <c r="AN69" i="30"/>
  <c r="AV69" i="30" s="1"/>
  <c r="AB72" i="30"/>
  <c r="AT72" i="30" s="1"/>
  <c r="AT73" i="30" s="1"/>
  <c r="AP72" i="30"/>
  <c r="AP73" i="30" s="1"/>
  <c r="Z72" i="30"/>
  <c r="AN74" i="30"/>
  <c r="AL79" i="30"/>
  <c r="AW74" i="30"/>
  <c r="AW79" i="30" s="1"/>
  <c r="AM102" i="30"/>
  <c r="AR17" i="30"/>
  <c r="AM23" i="30"/>
  <c r="AU23" i="30"/>
  <c r="AL30" i="30"/>
  <c r="AX30" i="30"/>
  <c r="Z31" i="30"/>
  <c r="AW36" i="30"/>
  <c r="AN32" i="30"/>
  <c r="V33" i="30"/>
  <c r="V36" i="30" s="1"/>
  <c r="S43" i="30"/>
  <c r="AQ43" i="30"/>
  <c r="AU43" i="30"/>
  <c r="AL47" i="30"/>
  <c r="AN66" i="30"/>
  <c r="AV66" i="30" s="1"/>
  <c r="AW66" i="30"/>
  <c r="AW70" i="30" s="1"/>
  <c r="AX68" i="30"/>
  <c r="AN68" i="30"/>
  <c r="AV68" i="30" s="1"/>
  <c r="AL70" i="30"/>
  <c r="V73" i="30"/>
  <c r="AB14" i="30"/>
  <c r="AM108" i="30"/>
  <c r="W98" i="30"/>
  <c r="AI98" i="30"/>
  <c r="AB16" i="45" s="1"/>
  <c r="AM15" i="30"/>
  <c r="AL17" i="30"/>
  <c r="V109" i="30"/>
  <c r="AB20" i="30"/>
  <c r="AM109" i="30"/>
  <c r="AN29" i="30"/>
  <c r="AR30" i="30"/>
  <c r="AQ31" i="30"/>
  <c r="AQ36" i="30" s="1"/>
  <c r="AA32" i="30"/>
  <c r="AL105" i="30"/>
  <c r="AP32" i="30"/>
  <c r="AX32" i="30"/>
  <c r="AL36" i="30"/>
  <c r="AE43" i="30"/>
  <c r="AA38" i="30"/>
  <c r="AS38" i="30" s="1"/>
  <c r="Z40" i="30"/>
  <c r="AF40" i="30" s="1"/>
  <c r="AO40" i="30" s="1"/>
  <c r="AP40" i="30"/>
  <c r="Z42" i="30"/>
  <c r="AF42" i="30" s="1"/>
  <c r="AO42" i="30" s="1"/>
  <c r="AP42" i="30"/>
  <c r="Y43" i="30"/>
  <c r="AN43" i="30"/>
  <c r="Z44" i="30"/>
  <c r="V47" i="30"/>
  <c r="S53" i="30"/>
  <c r="V48" i="30"/>
  <c r="AE53" i="30"/>
  <c r="AU48" i="30"/>
  <c r="AU53" i="30" s="1"/>
  <c r="AN48" i="30"/>
  <c r="AX53" i="30"/>
  <c r="Z49" i="30"/>
  <c r="AF49" i="30" s="1"/>
  <c r="AO49" i="30" s="1"/>
  <c r="AA52" i="30"/>
  <c r="AS52" i="30" s="1"/>
  <c r="S60" i="30"/>
  <c r="V55" i="30"/>
  <c r="AW59" i="30"/>
  <c r="AN59" i="30"/>
  <c r="AV59" i="30" s="1"/>
  <c r="AF61" i="30"/>
  <c r="V62" i="30"/>
  <c r="S64" i="30"/>
  <c r="AV65" i="30"/>
  <c r="AV70" i="30" s="1"/>
  <c r="AN70" i="30"/>
  <c r="AP66" i="30"/>
  <c r="AE70" i="30"/>
  <c r="AX73" i="30"/>
  <c r="AQ79" i="30"/>
  <c r="Z77" i="30"/>
  <c r="AF77" i="30" s="1"/>
  <c r="AO77" i="30" s="1"/>
  <c r="AB77" i="30"/>
  <c r="AT77" i="30" s="1"/>
  <c r="AP77" i="30"/>
  <c r="AA77" i="30"/>
  <c r="AS77" i="30" s="1"/>
  <c r="AR83" i="30"/>
  <c r="Z82" i="30"/>
  <c r="AB82" i="30"/>
  <c r="AT82" i="30" s="1"/>
  <c r="AP82" i="30"/>
  <c r="AA82" i="30"/>
  <c r="AS82" i="30" s="1"/>
  <c r="AB85" i="30"/>
  <c r="AT85" i="30" s="1"/>
  <c r="AA85" i="30"/>
  <c r="AS85" i="30" s="1"/>
  <c r="Z85" i="30"/>
  <c r="AP85" i="30"/>
  <c r="AN89" i="30"/>
  <c r="AV89" i="30" s="1"/>
  <c r="AL90" i="30"/>
  <c r="AW89" i="30"/>
  <c r="AM53" i="30"/>
  <c r="AA51" i="30"/>
  <c r="AN51" i="30"/>
  <c r="AV51" i="30" s="1"/>
  <c r="Y60" i="30"/>
  <c r="AP58" i="30"/>
  <c r="AA58" i="30"/>
  <c r="AS58" i="30" s="1"/>
  <c r="AL64" i="30"/>
  <c r="AN61" i="30"/>
  <c r="AP68" i="30"/>
  <c r="AA68" i="30"/>
  <c r="AS68" i="30" s="1"/>
  <c r="AA71" i="30"/>
  <c r="AN71" i="30"/>
  <c r="AU73" i="30"/>
  <c r="AA74" i="30"/>
  <c r="V79" i="30"/>
  <c r="AE79" i="30"/>
  <c r="AN83" i="30"/>
  <c r="AV80" i="30"/>
  <c r="AE83" i="30"/>
  <c r="AW84" i="30"/>
  <c r="AN84" i="30"/>
  <c r="AQ86" i="30"/>
  <c r="AQ90" i="30" s="1"/>
  <c r="Y90" i="30"/>
  <c r="Z86" i="30"/>
  <c r="AF88" i="30"/>
  <c r="AO88" i="30" s="1"/>
  <c r="AX97" i="30"/>
  <c r="AF92" i="30"/>
  <c r="AO92" i="30" s="1"/>
  <c r="AC101" i="30"/>
  <c r="Z50" i="30"/>
  <c r="AF50" i="30" s="1"/>
  <c r="AO50" i="30" s="1"/>
  <c r="AP50" i="30"/>
  <c r="Z59" i="30"/>
  <c r="AF59" i="30" s="1"/>
  <c r="AO59" i="30" s="1"/>
  <c r="AP59" i="30"/>
  <c r="V64" i="30"/>
  <c r="AB61" i="30"/>
  <c r="AP63" i="30"/>
  <c r="AA63" i="30"/>
  <c r="AS63" i="30" s="1"/>
  <c r="Y70" i="30"/>
  <c r="AQ65" i="30"/>
  <c r="AQ70" i="30" s="1"/>
  <c r="Z69" i="30"/>
  <c r="AF69" i="30" s="1"/>
  <c r="AO69" i="30" s="1"/>
  <c r="AP69" i="30"/>
  <c r="AL73" i="30"/>
  <c r="AB79" i="30"/>
  <c r="AB75" i="30"/>
  <c r="AT75" i="30" s="1"/>
  <c r="AP75" i="30"/>
  <c r="Z75" i="30"/>
  <c r="AF75" i="30" s="1"/>
  <c r="AO75" i="30" s="1"/>
  <c r="S79" i="30"/>
  <c r="V80" i="30"/>
  <c r="S83" i="30"/>
  <c r="AW83" i="30"/>
  <c r="AM90" i="30"/>
  <c r="AX84" i="30"/>
  <c r="AX90" i="30" s="1"/>
  <c r="AW93" i="30"/>
  <c r="AW97" i="30" s="1"/>
  <c r="AN93" i="30"/>
  <c r="AV93" i="30" s="1"/>
  <c r="U101" i="30"/>
  <c r="S90" i="30"/>
  <c r="AU90" i="30"/>
  <c r="AR90" i="30"/>
  <c r="AP87" i="30"/>
  <c r="AA87" i="30"/>
  <c r="AS87" i="30" s="1"/>
  <c r="Z87" i="30"/>
  <c r="X101" i="30"/>
  <c r="Y100" i="30" s="1"/>
  <c r="Y73" i="30"/>
  <c r="AR79" i="30"/>
  <c r="AP76" i="30"/>
  <c r="AA76" i="30"/>
  <c r="AS76" i="30" s="1"/>
  <c r="AN78" i="30"/>
  <c r="AV78" i="30" s="1"/>
  <c r="AP81" i="30"/>
  <c r="AA81" i="30"/>
  <c r="AS81" i="30" s="1"/>
  <c r="V84" i="30"/>
  <c r="AE90" i="30"/>
  <c r="AW88" i="30"/>
  <c r="AN88" i="30"/>
  <c r="AV88" i="30" s="1"/>
  <c r="AU91" i="30"/>
  <c r="AU97" i="30" s="1"/>
  <c r="AE97" i="30"/>
  <c r="AV91" i="30"/>
  <c r="AF95" i="30"/>
  <c r="AO95" i="30" s="1"/>
  <c r="AP96" i="30"/>
  <c r="AA96" i="30"/>
  <c r="AS96" i="30" s="1"/>
  <c r="AB96" i="30"/>
  <c r="AT96" i="30" s="1"/>
  <c r="Z96" i="30"/>
  <c r="AF96" i="30" s="1"/>
  <c r="AO96" i="30" s="1"/>
  <c r="T101" i="30"/>
  <c r="O101" i="30"/>
  <c r="AJ101" i="30"/>
  <c r="AA86" i="30"/>
  <c r="AS86" i="30" s="1"/>
  <c r="AP86" i="30"/>
  <c r="AA91" i="30"/>
  <c r="AL97" i="30"/>
  <c r="P99" i="30"/>
  <c r="I101" i="30"/>
  <c r="M101" i="30"/>
  <c r="Q101" i="30"/>
  <c r="V97" i="30"/>
  <c r="AB91" i="30"/>
  <c r="AP92" i="30"/>
  <c r="AA92" i="30"/>
  <c r="AS92" i="30" s="1"/>
  <c r="AN94" i="30"/>
  <c r="AV94" i="30" s="1"/>
  <c r="AG101" i="30"/>
  <c r="AK101" i="30"/>
  <c r="Z40" i="29"/>
  <c r="AP40" i="29"/>
  <c r="AA40" i="29"/>
  <c r="AS40" i="29" s="1"/>
  <c r="AB40" i="29"/>
  <c r="AT40" i="29" s="1"/>
  <c r="U183" i="29"/>
  <c r="N15" i="45" s="1"/>
  <c r="AC183" i="29"/>
  <c r="V15" i="45" s="1"/>
  <c r="Y187" i="29"/>
  <c r="AQ14" i="29"/>
  <c r="Y16" i="29"/>
  <c r="Z14" i="29"/>
  <c r="AQ20" i="29"/>
  <c r="AQ22" i="29" s="1"/>
  <c r="Y22" i="29"/>
  <c r="Z20" i="29"/>
  <c r="AM22" i="29"/>
  <c r="AQ25" i="29"/>
  <c r="AX25" i="29"/>
  <c r="AQ26" i="29"/>
  <c r="AQ28" i="29" s="1"/>
  <c r="Y28" i="29"/>
  <c r="AP27" i="29"/>
  <c r="AA27" i="29"/>
  <c r="AS27" i="29" s="1"/>
  <c r="Z27" i="29"/>
  <c r="AF27" i="29" s="1"/>
  <c r="AO27" i="29" s="1"/>
  <c r="AU31" i="29"/>
  <c r="AP33" i="29"/>
  <c r="AA33" i="29"/>
  <c r="AS33" i="29" s="1"/>
  <c r="Z33" i="29"/>
  <c r="AF33" i="29" s="1"/>
  <c r="AO33" i="29" s="1"/>
  <c r="AX38" i="29"/>
  <c r="Z41" i="29"/>
  <c r="AB41" i="29"/>
  <c r="AT41" i="29" s="1"/>
  <c r="AP41" i="29"/>
  <c r="AA41" i="29"/>
  <c r="AS41" i="29" s="1"/>
  <c r="Z56" i="29"/>
  <c r="AP56" i="29"/>
  <c r="AA56" i="29"/>
  <c r="AS56" i="29" s="1"/>
  <c r="AB56" i="29"/>
  <c r="AT56" i="29" s="1"/>
  <c r="V61" i="29"/>
  <c r="AB58" i="29"/>
  <c r="Z58" i="29"/>
  <c r="AP58" i="29"/>
  <c r="AA58" i="29"/>
  <c r="AT89" i="29"/>
  <c r="AT15" i="29"/>
  <c r="S19" i="29"/>
  <c r="V17" i="29"/>
  <c r="AB18" i="29"/>
  <c r="AT18" i="29" s="1"/>
  <c r="AP18" i="29"/>
  <c r="AA18" i="29"/>
  <c r="AS18" i="29" s="1"/>
  <c r="AW23" i="29"/>
  <c r="AW25" i="29" s="1"/>
  <c r="AN23" i="29"/>
  <c r="AL25" i="29"/>
  <c r="AQ32" i="29"/>
  <c r="AQ34" i="29" s="1"/>
  <c r="Y34" i="29"/>
  <c r="V50" i="29"/>
  <c r="Z47" i="29"/>
  <c r="AA47" i="29"/>
  <c r="AB63" i="29"/>
  <c r="AT63" i="29" s="1"/>
  <c r="Z63" i="29"/>
  <c r="AP63" i="29"/>
  <c r="AA63" i="29"/>
  <c r="AS63" i="29" s="1"/>
  <c r="AW13" i="29"/>
  <c r="AE187" i="29"/>
  <c r="AU14" i="29"/>
  <c r="AR187" i="29"/>
  <c r="AR16" i="29"/>
  <c r="AP15" i="29"/>
  <c r="AA15" i="29"/>
  <c r="Z15" i="29"/>
  <c r="Z18" i="29"/>
  <c r="AP21" i="29"/>
  <c r="AA21" i="29"/>
  <c r="AS21" i="29" s="1"/>
  <c r="Z21" i="29"/>
  <c r="AF21" i="29" s="1"/>
  <c r="AO21" i="29" s="1"/>
  <c r="AB24" i="29"/>
  <c r="AT24" i="29" s="1"/>
  <c r="AP24" i="29"/>
  <c r="AA24" i="29"/>
  <c r="AS24" i="29" s="1"/>
  <c r="AX27" i="29"/>
  <c r="AX28" i="29" s="1"/>
  <c r="AN27" i="29"/>
  <c r="AV27" i="29" s="1"/>
  <c r="AV28" i="29" s="1"/>
  <c r="AE28" i="29"/>
  <c r="AQ31" i="29"/>
  <c r="AB36" i="29"/>
  <c r="AT36" i="29" s="1"/>
  <c r="Z36" i="29"/>
  <c r="AP36" i="29"/>
  <c r="AA36" i="29"/>
  <c r="AS36" i="29" s="1"/>
  <c r="AT65" i="29"/>
  <c r="AT69" i="29"/>
  <c r="AW17" i="29"/>
  <c r="AW19" i="29" s="1"/>
  <c r="AN17" i="29"/>
  <c r="AL19" i="29"/>
  <c r="S25" i="29"/>
  <c r="V23" i="29"/>
  <c r="V28" i="29"/>
  <c r="AB26" i="29"/>
  <c r="AP26" i="29"/>
  <c r="AA26" i="29"/>
  <c r="Z26" i="29"/>
  <c r="Z45" i="29"/>
  <c r="AP45" i="29"/>
  <c r="AA45" i="29"/>
  <c r="AS45" i="29" s="1"/>
  <c r="AB45" i="29"/>
  <c r="AT45" i="29" s="1"/>
  <c r="AT54" i="29"/>
  <c r="AG183" i="29"/>
  <c r="Z15" i="45" s="1"/>
  <c r="AK183" i="29"/>
  <c r="AD15" i="45" s="1"/>
  <c r="AM193" i="29"/>
  <c r="AX15" i="29"/>
  <c r="AX16" i="29" s="1"/>
  <c r="AN15" i="29"/>
  <c r="AE16" i="29"/>
  <c r="AE22" i="29"/>
  <c r="S31" i="29"/>
  <c r="V29" i="29"/>
  <c r="AW29" i="29"/>
  <c r="AN29" i="29"/>
  <c r="AL31" i="29"/>
  <c r="AB30" i="29"/>
  <c r="AT30" i="29" s="1"/>
  <c r="AP30" i="29"/>
  <c r="AA30" i="29"/>
  <c r="AS30" i="29" s="1"/>
  <c r="AX34" i="29"/>
  <c r="S38" i="29"/>
  <c r="V35" i="29"/>
  <c r="AW35" i="29"/>
  <c r="AW38" i="29" s="1"/>
  <c r="AL38" i="29"/>
  <c r="AN35" i="29"/>
  <c r="AT43" i="29"/>
  <c r="AX46" i="29"/>
  <c r="AX50" i="29"/>
  <c r="AQ53" i="29"/>
  <c r="AB52" i="29"/>
  <c r="AT52" i="29" s="1"/>
  <c r="AP52" i="29"/>
  <c r="AW57" i="29"/>
  <c r="AU61" i="29"/>
  <c r="AW61" i="29"/>
  <c r="AD183" i="29"/>
  <c r="W15" i="45" s="1"/>
  <c r="AH183" i="29"/>
  <c r="AA15" i="45" s="1"/>
  <c r="AL13" i="29"/>
  <c r="AX13" i="29"/>
  <c r="Y193" i="29"/>
  <c r="AE193" i="29"/>
  <c r="AR193" i="29"/>
  <c r="AN21" i="29"/>
  <c r="AV21" i="29" s="1"/>
  <c r="AV22" i="29" s="1"/>
  <c r="AU23" i="29"/>
  <c r="AU25" i="29" s="1"/>
  <c r="AW26" i="29"/>
  <c r="AW28" i="29" s="1"/>
  <c r="Z32" i="29"/>
  <c r="AN33" i="29"/>
  <c r="AV33" i="29" s="1"/>
  <c r="AV34" i="29" s="1"/>
  <c r="Z37" i="29"/>
  <c r="AN39" i="29"/>
  <c r="V42" i="29"/>
  <c r="AL42" i="29"/>
  <c r="Z43" i="29"/>
  <c r="AN44" i="29"/>
  <c r="AV44" i="29" s="1"/>
  <c r="AE46" i="29"/>
  <c r="AM46" i="29"/>
  <c r="Z48" i="29"/>
  <c r="AN49" i="29"/>
  <c r="AV49" i="29" s="1"/>
  <c r="V51" i="29"/>
  <c r="AL53" i="29"/>
  <c r="Z54" i="29"/>
  <c r="AN55" i="29"/>
  <c r="AV55" i="29" s="1"/>
  <c r="AE57" i="29"/>
  <c r="AM57" i="29"/>
  <c r="Z59" i="29"/>
  <c r="AN60" i="29"/>
  <c r="AV60" i="29" s="1"/>
  <c r="V62" i="29"/>
  <c r="AL64" i="29"/>
  <c r="Z65" i="29"/>
  <c r="Z69" i="29"/>
  <c r="Z70" i="29"/>
  <c r="AB70" i="29"/>
  <c r="AT70" i="29" s="1"/>
  <c r="Y76" i="29"/>
  <c r="AQ76" i="29"/>
  <c r="AW76" i="29"/>
  <c r="Z74" i="29"/>
  <c r="Z75" i="29"/>
  <c r="AB75" i="29"/>
  <c r="AT75" i="29" s="1"/>
  <c r="AX79" i="29"/>
  <c r="AN79" i="29"/>
  <c r="AV79" i="29" s="1"/>
  <c r="AM88" i="29"/>
  <c r="AX88" i="29"/>
  <c r="Z85" i="29"/>
  <c r="AB85" i="29"/>
  <c r="AT85" i="29" s="1"/>
  <c r="AW85" i="29"/>
  <c r="AN85" i="29"/>
  <c r="AV85" i="29" s="1"/>
  <c r="AB87" i="29"/>
  <c r="AT87" i="29" s="1"/>
  <c r="AP87" i="29"/>
  <c r="AA87" i="29"/>
  <c r="AS87" i="29" s="1"/>
  <c r="Z87" i="29"/>
  <c r="Z90" i="29"/>
  <c r="AB90" i="29"/>
  <c r="AT90" i="29" s="1"/>
  <c r="AW90" i="29"/>
  <c r="AN90" i="29"/>
  <c r="AV90" i="29" s="1"/>
  <c r="AB92" i="29"/>
  <c r="AT92" i="29" s="1"/>
  <c r="AP92" i="29"/>
  <c r="AA92" i="29"/>
  <c r="AS92" i="29" s="1"/>
  <c r="Z92" i="29"/>
  <c r="S94" i="29"/>
  <c r="AE94" i="29"/>
  <c r="AS101" i="29"/>
  <c r="AT107" i="29"/>
  <c r="AB39" i="29"/>
  <c r="AB44" i="29"/>
  <c r="AT44" i="29" s="1"/>
  <c r="AE50" i="29"/>
  <c r="AM50" i="29"/>
  <c r="AE68" i="29"/>
  <c r="AU65" i="29"/>
  <c r="AU68" i="29" s="1"/>
  <c r="AB67" i="29"/>
  <c r="AT67" i="29" s="1"/>
  <c r="Z67" i="29"/>
  <c r="AP72" i="29"/>
  <c r="AA72" i="29"/>
  <c r="AP77" i="29"/>
  <c r="AA77" i="29"/>
  <c r="AP79" i="29"/>
  <c r="AA79" i="29"/>
  <c r="AS79" i="29" s="1"/>
  <c r="Z79" i="29"/>
  <c r="AB128" i="29"/>
  <c r="AT128" i="29" s="1"/>
  <c r="AP128" i="29"/>
  <c r="AA128" i="29"/>
  <c r="AS128" i="29" s="1"/>
  <c r="Z128" i="29"/>
  <c r="AF128" i="29" s="1"/>
  <c r="AO128" i="29" s="1"/>
  <c r="V12" i="29"/>
  <c r="AQ12" i="29"/>
  <c r="AU12" i="29"/>
  <c r="S13" i="29"/>
  <c r="W183" i="29"/>
  <c r="P15" i="45" s="1"/>
  <c r="AE13" i="29"/>
  <c r="AI183" i="29"/>
  <c r="AB15" i="45" s="1"/>
  <c r="AM13" i="29"/>
  <c r="S187" i="29"/>
  <c r="AA14" i="29"/>
  <c r="AL187" i="29"/>
  <c r="AW16" i="29"/>
  <c r="AA20" i="29"/>
  <c r="AP20" i="29"/>
  <c r="AP22" i="29" s="1"/>
  <c r="AA32" i="29"/>
  <c r="AP32" i="29"/>
  <c r="AU36" i="29"/>
  <c r="AU38" i="29" s="1"/>
  <c r="AA37" i="29"/>
  <c r="AS37" i="29" s="1"/>
  <c r="AP37" i="29"/>
  <c r="AN40" i="29"/>
  <c r="AV40" i="29" s="1"/>
  <c r="AM42" i="29"/>
  <c r="AA43" i="29"/>
  <c r="AP43" i="29"/>
  <c r="Z44" i="29"/>
  <c r="AN45" i="29"/>
  <c r="AV45" i="29" s="1"/>
  <c r="AQ47" i="29"/>
  <c r="AQ50" i="29" s="1"/>
  <c r="AA48" i="29"/>
  <c r="AS48" i="29" s="1"/>
  <c r="AP48" i="29"/>
  <c r="Z49" i="29"/>
  <c r="AN51" i="29"/>
  <c r="AA54" i="29"/>
  <c r="AP54" i="29"/>
  <c r="Z55" i="29"/>
  <c r="AN56" i="29"/>
  <c r="AV56" i="29" s="1"/>
  <c r="AQ58" i="29"/>
  <c r="AQ61" i="29" s="1"/>
  <c r="AA59" i="29"/>
  <c r="AS59" i="29" s="1"/>
  <c r="AP59" i="29"/>
  <c r="Z60" i="29"/>
  <c r="AN62" i="29"/>
  <c r="S68" i="29"/>
  <c r="AA65" i="29"/>
  <c r="AM68" i="29"/>
  <c r="AP66" i="29"/>
  <c r="AA66" i="29"/>
  <c r="AS66" i="29" s="1"/>
  <c r="AA67" i="29"/>
  <c r="AS67" i="29" s="1"/>
  <c r="AN67" i="29"/>
  <c r="AV67" i="29" s="1"/>
  <c r="V68" i="29"/>
  <c r="S71" i="29"/>
  <c r="AX69" i="29"/>
  <c r="AX71" i="29" s="1"/>
  <c r="AM71" i="29"/>
  <c r="AN69" i="29"/>
  <c r="Z72" i="29"/>
  <c r="AN72" i="29"/>
  <c r="AB73" i="29"/>
  <c r="AT73" i="29" s="1"/>
  <c r="Z73" i="29"/>
  <c r="AF73" i="29" s="1"/>
  <c r="AO73" i="29" s="1"/>
  <c r="AX74" i="29"/>
  <c r="AN74" i="29"/>
  <c r="AV74" i="29" s="1"/>
  <c r="Z77" i="29"/>
  <c r="AB78" i="29"/>
  <c r="AT78" i="29" s="1"/>
  <c r="AP78" i="29"/>
  <c r="AA78" i="29"/>
  <c r="AS78" i="29" s="1"/>
  <c r="Z78" i="29"/>
  <c r="AB79" i="29"/>
  <c r="AT79" i="29" s="1"/>
  <c r="S194" i="29"/>
  <c r="V80" i="29"/>
  <c r="V82" i="29" s="1"/>
  <c r="AL194" i="29"/>
  <c r="AW80" i="29"/>
  <c r="AN80" i="29"/>
  <c r="Y82" i="29"/>
  <c r="AQ83" i="29"/>
  <c r="AQ88" i="29" s="1"/>
  <c r="Y88" i="29"/>
  <c r="S100" i="29"/>
  <c r="V95" i="29"/>
  <c r="AL100" i="29"/>
  <c r="AW95" i="29"/>
  <c r="AN95" i="29"/>
  <c r="AB97" i="29"/>
  <c r="AT97" i="29" s="1"/>
  <c r="AA97" i="29"/>
  <c r="AS97" i="29" s="1"/>
  <c r="AP97" i="29"/>
  <c r="Z97" i="29"/>
  <c r="AX101" i="29"/>
  <c r="AX129" i="29"/>
  <c r="AN129" i="29"/>
  <c r="AV129" i="29" s="1"/>
  <c r="V46" i="29"/>
  <c r="AL46" i="29"/>
  <c r="AB49" i="29"/>
  <c r="AT49" i="29" s="1"/>
  <c r="AB55" i="29"/>
  <c r="AT55" i="29" s="1"/>
  <c r="V57" i="29"/>
  <c r="AL57" i="29"/>
  <c r="AB60" i="29"/>
  <c r="AT60" i="29" s="1"/>
  <c r="AE61" i="29"/>
  <c r="AM61" i="29"/>
  <c r="Y68" i="29"/>
  <c r="AQ65" i="29"/>
  <c r="AQ68" i="29" s="1"/>
  <c r="AN68" i="29"/>
  <c r="AN12" i="29"/>
  <c r="T183" i="29"/>
  <c r="M15" i="45" s="1"/>
  <c r="X183" i="29"/>
  <c r="Q15" i="45" s="1"/>
  <c r="AJ183" i="29"/>
  <c r="AC15" i="45" s="1"/>
  <c r="AR13" i="29"/>
  <c r="AB14" i="29"/>
  <c r="AM187" i="29"/>
  <c r="S193" i="29"/>
  <c r="AL193" i="29"/>
  <c r="V16" i="29"/>
  <c r="AL16" i="29"/>
  <c r="AB20" i="29"/>
  <c r="AB32" i="29"/>
  <c r="AA39" i="29"/>
  <c r="AQ43" i="29"/>
  <c r="AQ46" i="29" s="1"/>
  <c r="AA44" i="29"/>
  <c r="AS44" i="29" s="1"/>
  <c r="AN47" i="29"/>
  <c r="AA49" i="29"/>
  <c r="AS49" i="29" s="1"/>
  <c r="AQ54" i="29"/>
  <c r="AQ57" i="29" s="1"/>
  <c r="AA55" i="29"/>
  <c r="AS55" i="29" s="1"/>
  <c r="AN58" i="29"/>
  <c r="AA60" i="29"/>
  <c r="AS60" i="29" s="1"/>
  <c r="AP67" i="29"/>
  <c r="AL68" i="29"/>
  <c r="AP69" i="29"/>
  <c r="AP71" i="29" s="1"/>
  <c r="AA69" i="29"/>
  <c r="AE71" i="29"/>
  <c r="AU71" i="29"/>
  <c r="V71" i="29"/>
  <c r="AB72" i="29"/>
  <c r="AM76" i="29"/>
  <c r="AX72" i="29"/>
  <c r="AP74" i="29"/>
  <c r="AA74" i="29"/>
  <c r="AS74" i="29" s="1"/>
  <c r="V76" i="29"/>
  <c r="AB77" i="29"/>
  <c r="AM188" i="29"/>
  <c r="AQ194" i="29"/>
  <c r="AE88" i="29"/>
  <c r="AU83" i="29"/>
  <c r="AU88" i="29" s="1"/>
  <c r="AP84" i="29"/>
  <c r="AA84" i="29"/>
  <c r="AS84" i="29" s="1"/>
  <c r="Z84" i="29"/>
  <c r="AN84" i="29"/>
  <c r="AV84" i="29" s="1"/>
  <c r="V94" i="29"/>
  <c r="AP89" i="29"/>
  <c r="AA89" i="29"/>
  <c r="Z89" i="29"/>
  <c r="AP93" i="29"/>
  <c r="AA93" i="29"/>
  <c r="AS93" i="29" s="1"/>
  <c r="Z93" i="29"/>
  <c r="AN93" i="29"/>
  <c r="AV93" i="29" s="1"/>
  <c r="AM94" i="29"/>
  <c r="Y100" i="29"/>
  <c r="AP104" i="29"/>
  <c r="AA104" i="29"/>
  <c r="AS104" i="29" s="1"/>
  <c r="AB104" i="29"/>
  <c r="AT104" i="29" s="1"/>
  <c r="Z104" i="29"/>
  <c r="AF104" i="29" s="1"/>
  <c r="AO104" i="29" s="1"/>
  <c r="AL140" i="29"/>
  <c r="AW133" i="29"/>
  <c r="AN133" i="29"/>
  <c r="S188" i="29"/>
  <c r="AL188" i="29"/>
  <c r="AX77" i="29"/>
  <c r="AM194" i="29"/>
  <c r="AA81" i="29"/>
  <c r="AS81" i="29" s="1"/>
  <c r="AP81" i="29"/>
  <c r="AL82" i="29"/>
  <c r="AW83" i="29"/>
  <c r="AA86" i="29"/>
  <c r="AP86" i="29"/>
  <c r="AN89" i="29"/>
  <c r="AQ90" i="29"/>
  <c r="AQ94" i="29" s="1"/>
  <c r="AA91" i="29"/>
  <c r="AP91" i="29"/>
  <c r="AX91" i="29"/>
  <c r="AX94" i="29" s="1"/>
  <c r="AU95" i="29"/>
  <c r="AU100" i="29" s="1"/>
  <c r="AA96" i="29"/>
  <c r="AS96" i="29" s="1"/>
  <c r="AP96" i="29"/>
  <c r="AX96" i="29"/>
  <c r="AX100" i="29" s="1"/>
  <c r="S106" i="29"/>
  <c r="AB101" i="29"/>
  <c r="AF101" i="29" s="1"/>
  <c r="AN101" i="29"/>
  <c r="AA102" i="29"/>
  <c r="AA106" i="29" s="1"/>
  <c r="AN102" i="29"/>
  <c r="AV102" i="29" s="1"/>
  <c r="AN103" i="29"/>
  <c r="AV103" i="29" s="1"/>
  <c r="AL106" i="29"/>
  <c r="AA107" i="29"/>
  <c r="AP107" i="29"/>
  <c r="AE112" i="29"/>
  <c r="Z115" i="29"/>
  <c r="Z116" i="29"/>
  <c r="AB116" i="29"/>
  <c r="AT116" i="29" s="1"/>
  <c r="AA116" i="29"/>
  <c r="AS116" i="29" s="1"/>
  <c r="Z120" i="29"/>
  <c r="Z121" i="29"/>
  <c r="AB121" i="29"/>
  <c r="AT121" i="29" s="1"/>
  <c r="AA121" i="29"/>
  <c r="AS121" i="29" s="1"/>
  <c r="AU130" i="29"/>
  <c r="S140" i="29"/>
  <c r="V133" i="29"/>
  <c r="AR140" i="29"/>
  <c r="Y194" i="29"/>
  <c r="AE194" i="29"/>
  <c r="AR194" i="29"/>
  <c r="S82" i="29"/>
  <c r="AM82" i="29"/>
  <c r="AQ82" i="29"/>
  <c r="AU82" i="29"/>
  <c r="AP101" i="29"/>
  <c r="AU101" i="29"/>
  <c r="AU106" i="29" s="1"/>
  <c r="AB105" i="29"/>
  <c r="AT105" i="29" s="1"/>
  <c r="Z105" i="29"/>
  <c r="AU112" i="29"/>
  <c r="V109" i="29"/>
  <c r="S112" i="29"/>
  <c r="AW111" i="29"/>
  <c r="AN111" i="29"/>
  <c r="AV111" i="29" s="1"/>
  <c r="AB113" i="29"/>
  <c r="AA113" i="29"/>
  <c r="V118" i="29"/>
  <c r="AP113" i="29"/>
  <c r="Z113" i="29"/>
  <c r="AA117" i="29"/>
  <c r="AS117" i="29" s="1"/>
  <c r="AP117" i="29"/>
  <c r="Z117" i="29"/>
  <c r="AA122" i="29"/>
  <c r="AS122" i="29" s="1"/>
  <c r="AP122" i="29"/>
  <c r="Z122" i="29"/>
  <c r="AF122" i="29" s="1"/>
  <c r="AO122" i="29" s="1"/>
  <c r="AF138" i="29"/>
  <c r="AO138" i="29" s="1"/>
  <c r="Y188" i="29"/>
  <c r="AE188" i="29"/>
  <c r="AN77" i="29"/>
  <c r="AR188" i="29"/>
  <c r="AR82" i="29"/>
  <c r="V83" i="29"/>
  <c r="AW97" i="29"/>
  <c r="Z98" i="29"/>
  <c r="AF98" i="29" s="1"/>
  <c r="AO98" i="29" s="1"/>
  <c r="AP99" i="29"/>
  <c r="AA99" i="29"/>
  <c r="AS99" i="29" s="1"/>
  <c r="AN99" i="29"/>
  <c r="AV99" i="29" s="1"/>
  <c r="Y106" i="29"/>
  <c r="AQ101" i="29"/>
  <c r="AQ106" i="29" s="1"/>
  <c r="Z103" i="29"/>
  <c r="AB103" i="29"/>
  <c r="AT103" i="29" s="1"/>
  <c r="AN104" i="29"/>
  <c r="AV104" i="29" s="1"/>
  <c r="AX104" i="29"/>
  <c r="AX107" i="29"/>
  <c r="AX112" i="29" s="1"/>
  <c r="Z111" i="29"/>
  <c r="AP111" i="29"/>
  <c r="AB111" i="29"/>
  <c r="AT111" i="29" s="1"/>
  <c r="AA111" i="29"/>
  <c r="AS111" i="29" s="1"/>
  <c r="AL112" i="29"/>
  <c r="AU118" i="29"/>
  <c r="Y124" i="29"/>
  <c r="AB195" i="29"/>
  <c r="AT131" i="29"/>
  <c r="AB132" i="29"/>
  <c r="AQ195" i="29"/>
  <c r="AQ132" i="29"/>
  <c r="AU149" i="29"/>
  <c r="AU151" i="29" s="1"/>
  <c r="AE151" i="29"/>
  <c r="Y112" i="29"/>
  <c r="AN107" i="29"/>
  <c r="AA108" i="29"/>
  <c r="AS108" i="29" s="1"/>
  <c r="AN108" i="29"/>
  <c r="AV108" i="29" s="1"/>
  <c r="AE118" i="29"/>
  <c r="S124" i="29"/>
  <c r="V119" i="29"/>
  <c r="AE124" i="29"/>
  <c r="AU119" i="29"/>
  <c r="AU124" i="29" s="1"/>
  <c r="AN119" i="29"/>
  <c r="V130" i="29"/>
  <c r="AP125" i="29"/>
  <c r="AA125" i="29"/>
  <c r="Z125" i="29"/>
  <c r="AL130" i="29"/>
  <c r="AB126" i="29"/>
  <c r="AT126" i="29" s="1"/>
  <c r="AP126" i="29"/>
  <c r="Z127" i="29"/>
  <c r="AF127" i="29" s="1"/>
  <c r="AO127" i="29" s="1"/>
  <c r="AB130" i="29"/>
  <c r="AQ140" i="29"/>
  <c r="AP136" i="29"/>
  <c r="AA136" i="29"/>
  <c r="AS136" i="29" s="1"/>
  <c r="Z136" i="29"/>
  <c r="AF136" i="29" s="1"/>
  <c r="AO136" i="29" s="1"/>
  <c r="AR147" i="29"/>
  <c r="AX145" i="29"/>
  <c r="AN145" i="29"/>
  <c r="AV145" i="29" s="1"/>
  <c r="AW146" i="29"/>
  <c r="AW147" i="29" s="1"/>
  <c r="AN146" i="29"/>
  <c r="AV146" i="29" s="1"/>
  <c r="S147" i="29"/>
  <c r="AL147" i="29"/>
  <c r="AB154" i="29"/>
  <c r="AT154" i="29" s="1"/>
  <c r="AP154" i="29"/>
  <c r="Z154" i="29"/>
  <c r="AA154" i="29"/>
  <c r="AS154" i="29" s="1"/>
  <c r="S159" i="29"/>
  <c r="V157" i="29"/>
  <c r="AP161" i="29"/>
  <c r="AA161" i="29"/>
  <c r="Z161" i="29"/>
  <c r="AB161" i="29"/>
  <c r="AP110" i="29"/>
  <c r="AA110" i="29"/>
  <c r="AS110" i="29" s="1"/>
  <c r="AV113" i="29"/>
  <c r="AX116" i="29"/>
  <c r="AX118" i="29" s="1"/>
  <c r="S118" i="29"/>
  <c r="AQ124" i="29"/>
  <c r="AX121" i="29"/>
  <c r="AX124" i="29" s="1"/>
  <c r="AB123" i="29"/>
  <c r="AT123" i="29" s="1"/>
  <c r="AP123" i="29"/>
  <c r="AA123" i="29"/>
  <c r="AS123" i="29" s="1"/>
  <c r="Y130" i="29"/>
  <c r="AX130" i="29"/>
  <c r="V195" i="29"/>
  <c r="V132" i="29"/>
  <c r="AP131" i="29"/>
  <c r="AA131" i="29"/>
  <c r="Z131" i="29"/>
  <c r="Z137" i="29"/>
  <c r="AF137" i="29" s="1"/>
  <c r="AO137" i="29" s="1"/>
  <c r="AB137" i="29"/>
  <c r="AT137" i="29" s="1"/>
  <c r="AW137" i="29"/>
  <c r="AN137" i="29"/>
  <c r="AV137" i="29" s="1"/>
  <c r="Y140" i="29"/>
  <c r="AT141" i="29"/>
  <c r="AT176" i="29"/>
  <c r="AR118" i="29"/>
  <c r="AW113" i="29"/>
  <c r="Z114" i="29"/>
  <c r="AP115" i="29"/>
  <c r="AA115" i="29"/>
  <c r="AS115" i="29" s="1"/>
  <c r="AN115" i="29"/>
  <c r="AV115" i="29" s="1"/>
  <c r="AN117" i="29"/>
  <c r="AV117" i="29" s="1"/>
  <c r="AL118" i="29"/>
  <c r="AP120" i="29"/>
  <c r="AA120" i="29"/>
  <c r="AS120" i="29" s="1"/>
  <c r="AN120" i="29"/>
  <c r="AV120" i="29" s="1"/>
  <c r="AN122" i="29"/>
  <c r="AV122" i="29" s="1"/>
  <c r="AT130" i="29"/>
  <c r="AN125" i="29"/>
  <c r="AW126" i="29"/>
  <c r="AN126" i="29"/>
  <c r="AV126" i="29" s="1"/>
  <c r="AP129" i="29"/>
  <c r="AA129" i="29"/>
  <c r="AS129" i="29" s="1"/>
  <c r="Z129" i="29"/>
  <c r="S130" i="29"/>
  <c r="AM130" i="29"/>
  <c r="AM195" i="29"/>
  <c r="AX131" i="29"/>
  <c r="AU140" i="29"/>
  <c r="Z142" i="29"/>
  <c r="AF142" i="29" s="1"/>
  <c r="AO142" i="29" s="1"/>
  <c r="V147" i="29"/>
  <c r="AA142" i="29"/>
  <c r="AS142" i="29" s="1"/>
  <c r="AP142" i="29"/>
  <c r="Y156" i="29"/>
  <c r="AQ152" i="29"/>
  <c r="AQ156" i="29" s="1"/>
  <c r="AE159" i="29"/>
  <c r="AU157" i="29"/>
  <c r="AU159" i="29" s="1"/>
  <c r="AP168" i="29"/>
  <c r="Z168" i="29"/>
  <c r="AA168" i="29"/>
  <c r="AS168" i="29" s="1"/>
  <c r="AB168" i="29"/>
  <c r="AT168" i="29" s="1"/>
  <c r="AP171" i="29"/>
  <c r="AA171" i="29"/>
  <c r="AS171" i="29" s="1"/>
  <c r="AB171" i="29"/>
  <c r="AT171" i="29" s="1"/>
  <c r="Z171" i="29"/>
  <c r="AN131" i="29"/>
  <c r="AR132" i="29"/>
  <c r="AM140" i="29"/>
  <c r="AA134" i="29"/>
  <c r="AP134" i="29"/>
  <c r="Z135" i="29"/>
  <c r="AN136" i="29"/>
  <c r="AV136" i="29" s="1"/>
  <c r="AA138" i="29"/>
  <c r="AS138" i="29" s="1"/>
  <c r="AP138" i="29"/>
  <c r="Z139" i="29"/>
  <c r="AX141" i="29"/>
  <c r="AM147" i="29"/>
  <c r="Z143" i="29"/>
  <c r="AN144" i="29"/>
  <c r="AV144" i="29" s="1"/>
  <c r="AA146" i="29"/>
  <c r="AS146" i="29" s="1"/>
  <c r="AB149" i="29"/>
  <c r="AT149" i="29" s="1"/>
  <c r="AA149" i="29"/>
  <c r="AS149" i="29" s="1"/>
  <c r="S151" i="29"/>
  <c r="AB153" i="29"/>
  <c r="AT153" i="29" s="1"/>
  <c r="Z153" i="29"/>
  <c r="AP153" i="29"/>
  <c r="Y190" i="29"/>
  <c r="AQ161" i="29"/>
  <c r="AQ190" i="29" s="1"/>
  <c r="Z162" i="29"/>
  <c r="AF162" i="29" s="1"/>
  <c r="AO162" i="29" s="1"/>
  <c r="AP162" i="29"/>
  <c r="AA163" i="29"/>
  <c r="AS163" i="29" s="1"/>
  <c r="Z163" i="29"/>
  <c r="AW164" i="29"/>
  <c r="AW166" i="29" s="1"/>
  <c r="AN164" i="29"/>
  <c r="AV164" i="29" s="1"/>
  <c r="AP172" i="29"/>
  <c r="AA172" i="29"/>
  <c r="AS172" i="29" s="1"/>
  <c r="Z172" i="29"/>
  <c r="AB172" i="29"/>
  <c r="AT172" i="29" s="1"/>
  <c r="AX172" i="29"/>
  <c r="AX175" i="29" s="1"/>
  <c r="AN172" i="29"/>
  <c r="AV172" i="29" s="1"/>
  <c r="AW131" i="29"/>
  <c r="Y132" i="29"/>
  <c r="AE140" i="29"/>
  <c r="AA135" i="29"/>
  <c r="AS135" i="29" s="1"/>
  <c r="AP135" i="29"/>
  <c r="AA139" i="29"/>
  <c r="AS139" i="29" s="1"/>
  <c r="AP139" i="29"/>
  <c r="AP141" i="29"/>
  <c r="AA141" i="29"/>
  <c r="AV141" i="29"/>
  <c r="AU141" i="29"/>
  <c r="AU147" i="29" s="1"/>
  <c r="AA143" i="29"/>
  <c r="AS143" i="29" s="1"/>
  <c r="AN143" i="29"/>
  <c r="AV143" i="29" s="1"/>
  <c r="AB144" i="29"/>
  <c r="AT144" i="29" s="1"/>
  <c r="AA144" i="29"/>
  <c r="AS144" i="29" s="1"/>
  <c r="AP145" i="29"/>
  <c r="AA145" i="29"/>
  <c r="AS145" i="29" s="1"/>
  <c r="AX151" i="29"/>
  <c r="AT148" i="29"/>
  <c r="AM151" i="29"/>
  <c r="AU154" i="29"/>
  <c r="AU194" i="29" s="1"/>
  <c r="AE156" i="29"/>
  <c r="AX165" i="29"/>
  <c r="AN165" i="29"/>
  <c r="AV165" i="29" s="1"/>
  <c r="AL132" i="29"/>
  <c r="Y147" i="29"/>
  <c r="AQ141" i="29"/>
  <c r="AQ147" i="29" s="1"/>
  <c r="Z146" i="29"/>
  <c r="AF146" i="29" s="1"/>
  <c r="AO146" i="29" s="1"/>
  <c r="AP146" i="29"/>
  <c r="S156" i="29"/>
  <c r="V152" i="29"/>
  <c r="AL156" i="29"/>
  <c r="AW152" i="29"/>
  <c r="AN152" i="29"/>
  <c r="AV157" i="29"/>
  <c r="AQ160" i="29"/>
  <c r="AQ166" i="29" s="1"/>
  <c r="Y166" i="29"/>
  <c r="Z160" i="29"/>
  <c r="Z164" i="29"/>
  <c r="AN169" i="29"/>
  <c r="AV167" i="29"/>
  <c r="AV169" i="29" s="1"/>
  <c r="Z179" i="29"/>
  <c r="AF179" i="29" s="1"/>
  <c r="AO179" i="29" s="1"/>
  <c r="AB179" i="29"/>
  <c r="AT179" i="29" s="1"/>
  <c r="AP179" i="29"/>
  <c r="AA179" i="29"/>
  <c r="AS179" i="29" s="1"/>
  <c r="V151" i="29"/>
  <c r="AA148" i="29"/>
  <c r="AP150" i="29"/>
  <c r="AP151" i="29" s="1"/>
  <c r="AA150" i="29"/>
  <c r="AS150" i="29" s="1"/>
  <c r="AB150" i="29"/>
  <c r="AT150" i="29" s="1"/>
  <c r="AN153" i="29"/>
  <c r="AV153" i="29" s="1"/>
  <c r="AW153" i="29"/>
  <c r="AX155" i="29"/>
  <c r="AX156" i="29" s="1"/>
  <c r="AN155" i="29"/>
  <c r="AV155" i="29" s="1"/>
  <c r="AA158" i="29"/>
  <c r="AS158" i="29" s="1"/>
  <c r="AN158" i="29"/>
  <c r="AV158" i="29" s="1"/>
  <c r="AL166" i="29"/>
  <c r="AN160" i="29"/>
  <c r="AR166" i="29"/>
  <c r="AM190" i="29"/>
  <c r="AX161" i="29"/>
  <c r="AX190" i="29" s="1"/>
  <c r="AM166" i="29"/>
  <c r="S169" i="29"/>
  <c r="AL169" i="29"/>
  <c r="S175" i="29"/>
  <c r="V170" i="29"/>
  <c r="AE175" i="29"/>
  <c r="AU170" i="29"/>
  <c r="AU175" i="29" s="1"/>
  <c r="AB174" i="29"/>
  <c r="AT174" i="29" s="1"/>
  <c r="Z174" i="29"/>
  <c r="AP174" i="29"/>
  <c r="S190" i="29"/>
  <c r="AE190" i="29"/>
  <c r="AN161" i="29"/>
  <c r="AU161" i="29"/>
  <c r="AN163" i="29"/>
  <c r="AV163" i="29" s="1"/>
  <c r="AB164" i="29"/>
  <c r="AT164" i="29" s="1"/>
  <c r="AA164" i="29"/>
  <c r="AS164" i="29" s="1"/>
  <c r="AP165" i="29"/>
  <c r="AA165" i="29"/>
  <c r="AS165" i="29" s="1"/>
  <c r="V167" i="29"/>
  <c r="Z173" i="29"/>
  <c r="AF173" i="29" s="1"/>
  <c r="AO173" i="29" s="1"/>
  <c r="AP173" i="29"/>
  <c r="AB173" i="29"/>
  <c r="AT173" i="29" s="1"/>
  <c r="AW173" i="29"/>
  <c r="AN173" i="29"/>
  <c r="AV173" i="29" s="1"/>
  <c r="AN177" i="29"/>
  <c r="AV177" i="29" s="1"/>
  <c r="I186" i="29"/>
  <c r="M186" i="29"/>
  <c r="Q186" i="29"/>
  <c r="AG186" i="29"/>
  <c r="AL151" i="29"/>
  <c r="AN148" i="29"/>
  <c r="AP155" i="29"/>
  <c r="AA155" i="29"/>
  <c r="AS155" i="29" s="1"/>
  <c r="V166" i="29"/>
  <c r="AB160" i="29"/>
  <c r="AQ175" i="29"/>
  <c r="Y182" i="29"/>
  <c r="AQ176" i="29"/>
  <c r="AQ182" i="29" s="1"/>
  <c r="AW179" i="29"/>
  <c r="AW182" i="29" s="1"/>
  <c r="AN179" i="29"/>
  <c r="AV179" i="29" s="1"/>
  <c r="AK186" i="29"/>
  <c r="K186" i="29"/>
  <c r="AL190" i="29"/>
  <c r="S182" i="29"/>
  <c r="AM182" i="29"/>
  <c r="AX176" i="29"/>
  <c r="AX182" i="29" s="1"/>
  <c r="AB180" i="29"/>
  <c r="AT180" i="29" s="1"/>
  <c r="AP180" i="29"/>
  <c r="AA180" i="29"/>
  <c r="AS180" i="29" s="1"/>
  <c r="V182" i="29"/>
  <c r="AP176" i="29"/>
  <c r="AA176" i="29"/>
  <c r="AE182" i="29"/>
  <c r="AU176" i="29"/>
  <c r="AU182" i="29" s="1"/>
  <c r="AP177" i="29"/>
  <c r="AA177" i="29"/>
  <c r="AS177" i="29" s="1"/>
  <c r="Z177" i="29"/>
  <c r="AP178" i="29"/>
  <c r="AA178" i="29"/>
  <c r="AS178" i="29" s="1"/>
  <c r="Z178" i="29"/>
  <c r="U186" i="29"/>
  <c r="AC186" i="29"/>
  <c r="AN178" i="29"/>
  <c r="AV178" i="29" s="1"/>
  <c r="Z181" i="29"/>
  <c r="AA181" i="29"/>
  <c r="AS181" i="29" s="1"/>
  <c r="AP181" i="29"/>
  <c r="AM302" i="32" l="1"/>
  <c r="Y185" i="29"/>
  <c r="AW290" i="32"/>
  <c r="AF92" i="32"/>
  <c r="AO92" i="32" s="1"/>
  <c r="AF200" i="32"/>
  <c r="AO200" i="32" s="1"/>
  <c r="AW313" i="32"/>
  <c r="AW63" i="32"/>
  <c r="AX232" i="32"/>
  <c r="AW269" i="32"/>
  <c r="AW219" i="32"/>
  <c r="AF266" i="32"/>
  <c r="AO266" i="32" s="1"/>
  <c r="AW312" i="32"/>
  <c r="AP83" i="32"/>
  <c r="AP260" i="32"/>
  <c r="AF141" i="32"/>
  <c r="AO141" i="32" s="1"/>
  <c r="AF131" i="32"/>
  <c r="AO131" i="32" s="1"/>
  <c r="AF36" i="32"/>
  <c r="AO36" i="32" s="1"/>
  <c r="AF296" i="32"/>
  <c r="AO296" i="32" s="1"/>
  <c r="AF279" i="32"/>
  <c r="AO279" i="32" s="1"/>
  <c r="AF271" i="32"/>
  <c r="AO271" i="32" s="1"/>
  <c r="AF164" i="32"/>
  <c r="AO164" i="32" s="1"/>
  <c r="AF58" i="32"/>
  <c r="AO58" i="32" s="1"/>
  <c r="AB298" i="32"/>
  <c r="Z298" i="32"/>
  <c r="Z299" i="32" s="1"/>
  <c r="AA298" i="32"/>
  <c r="AF295" i="32"/>
  <c r="AO295" i="32" s="1"/>
  <c r="AP186" i="32"/>
  <c r="AF278" i="32"/>
  <c r="AO278" i="32" s="1"/>
  <c r="AF268" i="32"/>
  <c r="AO268" i="32" s="1"/>
  <c r="AF179" i="32"/>
  <c r="AO179" i="32" s="1"/>
  <c r="AF236" i="32"/>
  <c r="AO236" i="32" s="1"/>
  <c r="AF190" i="32"/>
  <c r="AO190" i="32" s="1"/>
  <c r="AW107" i="32"/>
  <c r="AW182" i="32"/>
  <c r="AF210" i="32"/>
  <c r="AO210" i="32" s="1"/>
  <c r="AX142" i="32"/>
  <c r="AB77" i="32"/>
  <c r="AF121" i="32"/>
  <c r="AO121" i="32" s="1"/>
  <c r="AF101" i="32"/>
  <c r="AO101" i="32" s="1"/>
  <c r="AF237" i="32"/>
  <c r="AO237" i="32" s="1"/>
  <c r="Z77" i="32"/>
  <c r="AF154" i="32"/>
  <c r="AO154" i="32" s="1"/>
  <c r="AF133" i="32"/>
  <c r="AO133" i="32" s="1"/>
  <c r="AF82" i="32"/>
  <c r="AO82" i="32" s="1"/>
  <c r="AF74" i="32"/>
  <c r="AO74" i="32" s="1"/>
  <c r="AP59" i="32"/>
  <c r="AP63" i="32" s="1"/>
  <c r="AF30" i="32"/>
  <c r="AO30" i="32" s="1"/>
  <c r="AF127" i="32"/>
  <c r="AO127" i="32" s="1"/>
  <c r="AF229" i="32"/>
  <c r="AO229" i="32" s="1"/>
  <c r="AN260" i="32"/>
  <c r="AF280" i="32"/>
  <c r="AO280" i="32" s="1"/>
  <c r="AF275" i="32"/>
  <c r="AO275" i="32" s="1"/>
  <c r="AP298" i="32"/>
  <c r="AP299" i="32" s="1"/>
  <c r="AF282" i="32"/>
  <c r="AO282" i="32" s="1"/>
  <c r="AP243" i="32"/>
  <c r="AF230" i="32"/>
  <c r="AO230" i="32" s="1"/>
  <c r="AF184" i="32"/>
  <c r="AO184" i="32" s="1"/>
  <c r="AW239" i="32"/>
  <c r="AP263" i="32"/>
  <c r="AW193" i="32"/>
  <c r="AX239" i="32"/>
  <c r="AF241" i="32"/>
  <c r="AO241" i="32" s="1"/>
  <c r="AN225" i="32"/>
  <c r="AF231" i="32"/>
  <c r="AO231" i="32" s="1"/>
  <c r="AF159" i="32"/>
  <c r="AO159" i="32" s="1"/>
  <c r="AW105" i="32"/>
  <c r="AF160" i="32"/>
  <c r="AO160" i="32" s="1"/>
  <c r="AW83" i="32"/>
  <c r="AW162" i="32"/>
  <c r="AF161" i="32"/>
  <c r="AO161" i="32" s="1"/>
  <c r="AX105" i="32"/>
  <c r="AF87" i="32"/>
  <c r="AO87" i="32" s="1"/>
  <c r="AF21" i="32"/>
  <c r="AO21" i="32" s="1"/>
  <c r="AN135" i="32"/>
  <c r="AF140" i="32"/>
  <c r="AO140" i="32" s="1"/>
  <c r="AF134" i="32"/>
  <c r="AO134" i="32" s="1"/>
  <c r="Z59" i="32"/>
  <c r="AW41" i="32"/>
  <c r="AF132" i="32"/>
  <c r="AO132" i="32" s="1"/>
  <c r="AM301" i="32"/>
  <c r="AA18" i="45"/>
  <c r="AL302" i="32"/>
  <c r="AA252" i="32"/>
  <c r="AS252" i="32" s="1"/>
  <c r="Z252" i="32"/>
  <c r="AB252" i="32"/>
  <c r="AT252" i="32" s="1"/>
  <c r="AF168" i="32"/>
  <c r="AO168" i="32" s="1"/>
  <c r="AW88" i="29"/>
  <c r="AV88" i="29"/>
  <c r="AP46" i="29"/>
  <c r="Z39" i="29"/>
  <c r="Z42" i="29" s="1"/>
  <c r="AW130" i="29"/>
  <c r="AF114" i="29"/>
  <c r="AO114" i="29" s="1"/>
  <c r="AB147" i="29"/>
  <c r="AF126" i="29"/>
  <c r="AO126" i="29" s="1"/>
  <c r="P185" i="29"/>
  <c r="Y183" i="29"/>
  <c r="R15" i="45" s="1"/>
  <c r="AW175" i="29"/>
  <c r="AF150" i="29"/>
  <c r="AO150" i="29" s="1"/>
  <c r="AV175" i="29"/>
  <c r="AP57" i="29"/>
  <c r="AF90" i="29"/>
  <c r="AO90" i="29" s="1"/>
  <c r="AF85" i="29"/>
  <c r="AO85" i="29" s="1"/>
  <c r="AF70" i="29"/>
  <c r="AO70" i="29" s="1"/>
  <c r="AW187" i="29"/>
  <c r="AA52" i="29"/>
  <c r="AS52" i="29" s="1"/>
  <c r="AB46" i="29"/>
  <c r="AW31" i="29"/>
  <c r="AF66" i="29"/>
  <c r="AO66" i="29" s="1"/>
  <c r="AF18" i="29"/>
  <c r="AO18" i="29" s="1"/>
  <c r="AB47" i="29"/>
  <c r="AB50" i="29" s="1"/>
  <c r="AF154" i="29"/>
  <c r="AO154" i="29" s="1"/>
  <c r="AF121" i="29"/>
  <c r="AO121" i="29" s="1"/>
  <c r="AF116" i="29"/>
  <c r="AO116" i="29" s="1"/>
  <c r="AF181" i="29"/>
  <c r="AO181" i="29" s="1"/>
  <c r="AF178" i="29"/>
  <c r="AO178" i="29" s="1"/>
  <c r="AP166" i="29"/>
  <c r="AF139" i="29"/>
  <c r="AO139" i="29" s="1"/>
  <c r="AW118" i="29"/>
  <c r="Z106" i="29"/>
  <c r="AF103" i="29"/>
  <c r="AO103" i="29" s="1"/>
  <c r="AW112" i="29"/>
  <c r="AF105" i="29"/>
  <c r="AO105" i="29" s="1"/>
  <c r="AU188" i="29"/>
  <c r="AF93" i="29"/>
  <c r="AO93" i="29" s="1"/>
  <c r="AV68" i="29"/>
  <c r="AW94" i="29"/>
  <c r="AF75" i="29"/>
  <c r="AO75" i="29" s="1"/>
  <c r="AF99" i="29"/>
  <c r="AO99" i="29" s="1"/>
  <c r="AU195" i="29"/>
  <c r="AU132" i="29"/>
  <c r="AE100" i="30"/>
  <c r="V74" i="31"/>
  <c r="L17" i="45"/>
  <c r="AQ85" i="31"/>
  <c r="AQ39" i="31"/>
  <c r="AE302" i="32"/>
  <c r="AW250" i="32"/>
  <c r="AL301" i="32"/>
  <c r="AB18" i="45"/>
  <c r="AF39" i="32"/>
  <c r="AO39" i="32" s="1"/>
  <c r="AE301" i="32"/>
  <c r="AW118" i="32"/>
  <c r="AQ283" i="32"/>
  <c r="AT186" i="32"/>
  <c r="AX212" i="32"/>
  <c r="AW176" i="32"/>
  <c r="AX118" i="32"/>
  <c r="AP306" i="32"/>
  <c r="AV95" i="32"/>
  <c r="AW56" i="32"/>
  <c r="AW22" i="32"/>
  <c r="AP232" i="32"/>
  <c r="AQ276" i="32"/>
  <c r="AP225" i="32"/>
  <c r="AW212" i="32"/>
  <c r="AT225" i="32"/>
  <c r="AP212" i="32"/>
  <c r="AV182" i="32"/>
  <c r="AV225" i="32"/>
  <c r="AV148" i="32"/>
  <c r="AV83" i="32"/>
  <c r="AP41" i="32"/>
  <c r="AE74" i="31"/>
  <c r="V17" i="45"/>
  <c r="AV63" i="31"/>
  <c r="AU78" i="31"/>
  <c r="AQ78" i="31"/>
  <c r="AW84" i="31"/>
  <c r="AP22" i="31"/>
  <c r="AX72" i="31"/>
  <c r="AP51" i="31"/>
  <c r="AW63" i="31"/>
  <c r="AM185" i="29"/>
  <c r="AE98" i="30"/>
  <c r="X16" i="45" s="1"/>
  <c r="AE185" i="29"/>
  <c r="P100" i="30"/>
  <c r="AW60" i="30"/>
  <c r="AW53" i="30"/>
  <c r="AQ103" i="30"/>
  <c r="AP79" i="30"/>
  <c r="AV43" i="30"/>
  <c r="AP109" i="30"/>
  <c r="AP97" i="30"/>
  <c r="AT79" i="30"/>
  <c r="AR98" i="30"/>
  <c r="AK16" i="45" s="1"/>
  <c r="AX102" i="30"/>
  <c r="AX108" i="30"/>
  <c r="AV109" i="30"/>
  <c r="AW47" i="30"/>
  <c r="AN88" i="29"/>
  <c r="AF84" i="29"/>
  <c r="AO84" i="29" s="1"/>
  <c r="Y186" i="29"/>
  <c r="AP76" i="29"/>
  <c r="AP28" i="29"/>
  <c r="AX166" i="29"/>
  <c r="AX194" i="29"/>
  <c r="AV182" i="29"/>
  <c r="AP106" i="29"/>
  <c r="AX76" i="29"/>
  <c r="AP68" i="29"/>
  <c r="AW193" i="29"/>
  <c r="AV57" i="29"/>
  <c r="AV46" i="29"/>
  <c r="AR186" i="29"/>
  <c r="P302" i="32"/>
  <c r="Y302" i="32"/>
  <c r="I75" i="31"/>
  <c r="I100" i="30"/>
  <c r="Y75" i="31"/>
  <c r="AO244" i="32"/>
  <c r="AB291" i="32"/>
  <c r="AA291" i="32"/>
  <c r="AP291" i="32"/>
  <c r="AP297" i="32" s="1"/>
  <c r="Z291" i="32"/>
  <c r="V297" i="32"/>
  <c r="AF277" i="32"/>
  <c r="AS264" i="32"/>
  <c r="Z284" i="32"/>
  <c r="AA284" i="32"/>
  <c r="AP284" i="32"/>
  <c r="AP290" i="32" s="1"/>
  <c r="AB284" i="32"/>
  <c r="V290" i="32"/>
  <c r="AN290" i="32"/>
  <c r="AV278" i="32"/>
  <c r="AV283" i="32" s="1"/>
  <c r="AN283" i="32"/>
  <c r="AB260" i="32"/>
  <c r="AT254" i="32"/>
  <c r="AT260" i="32" s="1"/>
  <c r="AP250" i="32"/>
  <c r="AU221" i="32"/>
  <c r="AU312" i="32"/>
  <c r="AA243" i="32"/>
  <c r="AS240" i="32"/>
  <c r="AS243" i="32" s="1"/>
  <c r="AV233" i="32"/>
  <c r="AV239" i="32" s="1"/>
  <c r="AN239" i="32"/>
  <c r="AP276" i="32"/>
  <c r="AF255" i="32"/>
  <c r="AO255" i="32" s="1"/>
  <c r="AN253" i="32"/>
  <c r="AV251" i="32"/>
  <c r="AV253" i="32" s="1"/>
  <c r="AA197" i="32"/>
  <c r="AS194" i="32"/>
  <c r="AS197" i="32" s="1"/>
  <c r="AS188" i="32"/>
  <c r="AF188" i="32"/>
  <c r="AO188" i="32" s="1"/>
  <c r="V169" i="32"/>
  <c r="AB163" i="32"/>
  <c r="AP163" i="32"/>
  <c r="AP169" i="32" s="1"/>
  <c r="AA163" i="32"/>
  <c r="Z163" i="32"/>
  <c r="AT195" i="32"/>
  <c r="AT197" i="32" s="1"/>
  <c r="AB197" i="32"/>
  <c r="AF178" i="32"/>
  <c r="AO178" i="32" s="1"/>
  <c r="Z214" i="32"/>
  <c r="V219" i="32"/>
  <c r="AA214" i="32"/>
  <c r="AS214" i="32" s="1"/>
  <c r="AP214" i="32"/>
  <c r="AP219" i="32" s="1"/>
  <c r="AB214" i="32"/>
  <c r="AF156" i="32"/>
  <c r="Z137" i="32"/>
  <c r="AB137" i="32"/>
  <c r="AP137" i="32"/>
  <c r="AA137" i="32"/>
  <c r="AS137" i="32" s="1"/>
  <c r="V142" i="32"/>
  <c r="AX311" i="32"/>
  <c r="AE303" i="32"/>
  <c r="AW297" i="32"/>
  <c r="AV291" i="32"/>
  <c r="AV297" i="32" s="1"/>
  <c r="AN297" i="32"/>
  <c r="AF294" i="32"/>
  <c r="AO294" i="32" s="1"/>
  <c r="AS278" i="32"/>
  <c r="AF292" i="32"/>
  <c r="AO292" i="32" s="1"/>
  <c r="AF286" i="32"/>
  <c r="AO286" i="32" s="1"/>
  <c r="AF274" i="32"/>
  <c r="AO274" i="32" s="1"/>
  <c r="AF264" i="32"/>
  <c r="AF287" i="32"/>
  <c r="AO287" i="32" s="1"/>
  <c r="Z243" i="32"/>
  <c r="AF240" i="32"/>
  <c r="Z212" i="32"/>
  <c r="AF204" i="32"/>
  <c r="AN182" i="32"/>
  <c r="AB281" i="32"/>
  <c r="AT281" i="32" s="1"/>
  <c r="AA281" i="32"/>
  <c r="AS281" i="32" s="1"/>
  <c r="AP281" i="32"/>
  <c r="AP283" i="32" s="1"/>
  <c r="Z281" i="32"/>
  <c r="Z283" i="32" s="1"/>
  <c r="AX269" i="32"/>
  <c r="AX307" i="32"/>
  <c r="AB253" i="32"/>
  <c r="AT251" i="32"/>
  <c r="AT253" i="32" s="1"/>
  <c r="AV246" i="32"/>
  <c r="AN250" i="32"/>
  <c r="AS245" i="32"/>
  <c r="AA250" i="32"/>
  <c r="Z232" i="32"/>
  <c r="AF273" i="32"/>
  <c r="AO273" i="32" s="1"/>
  <c r="AS270" i="32"/>
  <c r="AS276" i="32" s="1"/>
  <c r="AA276" i="32"/>
  <c r="AF261" i="32"/>
  <c r="Z263" i="32"/>
  <c r="AW276" i="32"/>
  <c r="AF211" i="32"/>
  <c r="AO211" i="32" s="1"/>
  <c r="AQ212" i="32"/>
  <c r="AF189" i="32"/>
  <c r="AO189" i="32" s="1"/>
  <c r="AS175" i="32"/>
  <c r="AF175" i="32"/>
  <c r="AO175" i="32" s="1"/>
  <c r="AF172" i="32"/>
  <c r="AO172" i="32" s="1"/>
  <c r="AB267" i="32"/>
  <c r="AA267" i="32"/>
  <c r="AS267" i="32" s="1"/>
  <c r="Z267" i="32"/>
  <c r="Z269" i="32" s="1"/>
  <c r="AP267" i="32"/>
  <c r="AP311" i="32" s="1"/>
  <c r="V311" i="32"/>
  <c r="AS114" i="32"/>
  <c r="AF114" i="32"/>
  <c r="AO114" i="32" s="1"/>
  <c r="AQ310" i="32"/>
  <c r="Y303" i="32"/>
  <c r="AA299" i="32"/>
  <c r="AS298" i="32"/>
  <c r="AS299" i="32" s="1"/>
  <c r="I302" i="32"/>
  <c r="AF298" i="32"/>
  <c r="AT277" i="32"/>
  <c r="AF288" i="32"/>
  <c r="AO288" i="32" s="1"/>
  <c r="AF254" i="32"/>
  <c r="Z260" i="32"/>
  <c r="AV226" i="32"/>
  <c r="AV232" i="32" s="1"/>
  <c r="AN232" i="32"/>
  <c r="AB198" i="32"/>
  <c r="V203" i="32"/>
  <c r="AP198" i="32"/>
  <c r="AP203" i="32" s="1"/>
  <c r="AA198" i="32"/>
  <c r="Z198" i="32"/>
  <c r="AA225" i="32"/>
  <c r="AS222" i="32"/>
  <c r="AS225" i="32" s="1"/>
  <c r="AS216" i="32"/>
  <c r="AF216" i="32"/>
  <c r="AO216" i="32" s="1"/>
  <c r="AF249" i="32"/>
  <c r="AO249" i="32" s="1"/>
  <c r="AF234" i="32"/>
  <c r="AO234" i="32" s="1"/>
  <c r="AF213" i="32"/>
  <c r="Z219" i="32"/>
  <c r="AV195" i="32"/>
  <c r="AN197" i="32"/>
  <c r="V193" i="32"/>
  <c r="AB187" i="32"/>
  <c r="Z187" i="32"/>
  <c r="AP187" i="32"/>
  <c r="AP193" i="32" s="1"/>
  <c r="AA187" i="32"/>
  <c r="AU283" i="32"/>
  <c r="AF265" i="32"/>
  <c r="AO265" i="32" s="1"/>
  <c r="AA260" i="32"/>
  <c r="AT238" i="32"/>
  <c r="AT239" i="32" s="1"/>
  <c r="AB239" i="32"/>
  <c r="AT218" i="32"/>
  <c r="AF218" i="32"/>
  <c r="AO218" i="32" s="1"/>
  <c r="AB177" i="32"/>
  <c r="Z177" i="32"/>
  <c r="V182" i="32"/>
  <c r="AP177" i="32"/>
  <c r="AP182" i="32" s="1"/>
  <c r="AA177" i="32"/>
  <c r="AW263" i="32"/>
  <c r="AS215" i="32"/>
  <c r="AF215" i="32"/>
  <c r="AO215" i="32" s="1"/>
  <c r="AF173" i="32"/>
  <c r="AO173" i="32" s="1"/>
  <c r="AV119" i="32"/>
  <c r="AV122" i="32" s="1"/>
  <c r="AN122" i="32"/>
  <c r="AT212" i="32"/>
  <c r="AS192" i="32"/>
  <c r="AF192" i="32"/>
  <c r="AO192" i="32" s="1"/>
  <c r="V155" i="32"/>
  <c r="AB149" i="32"/>
  <c r="AP149" i="32"/>
  <c r="AP155" i="32" s="1"/>
  <c r="AA149" i="32"/>
  <c r="Z149" i="32"/>
  <c r="V135" i="32"/>
  <c r="AB129" i="32"/>
  <c r="AP129" i="32"/>
  <c r="AP135" i="32" s="1"/>
  <c r="AA129" i="32"/>
  <c r="Z129" i="32"/>
  <c r="V304" i="32"/>
  <c r="AN221" i="32"/>
  <c r="AV220" i="32"/>
  <c r="AV221" i="32" s="1"/>
  <c r="AF195" i="32"/>
  <c r="AO195" i="32" s="1"/>
  <c r="AF185" i="32"/>
  <c r="AO185" i="32" s="1"/>
  <c r="AS170" i="32"/>
  <c r="AS176" i="32" s="1"/>
  <c r="AA176" i="32"/>
  <c r="AN142" i="32"/>
  <c r="AV136" i="32"/>
  <c r="AV142" i="32" s="1"/>
  <c r="AX310" i="32"/>
  <c r="AX122" i="32"/>
  <c r="AO96" i="32"/>
  <c r="AR303" i="32"/>
  <c r="Y300" i="32"/>
  <c r="R18" i="45" s="1"/>
  <c r="AV203" i="32"/>
  <c r="AN299" i="32"/>
  <c r="AV298" i="32"/>
  <c r="AV299" i="32" s="1"/>
  <c r="AF293" i="32"/>
  <c r="AO293" i="32" s="1"/>
  <c r="AV290" i="32"/>
  <c r="AA232" i="32"/>
  <c r="AS226" i="32"/>
  <c r="AS232" i="32" s="1"/>
  <c r="AF226" i="32"/>
  <c r="AT244" i="32"/>
  <c r="AT250" i="32" s="1"/>
  <c r="AB250" i="32"/>
  <c r="AA186" i="32"/>
  <c r="AS183" i="32"/>
  <c r="AS186" i="32" s="1"/>
  <c r="AF258" i="32"/>
  <c r="AO258" i="32" s="1"/>
  <c r="AS260" i="32"/>
  <c r="Z250" i="32"/>
  <c r="AB243" i="32"/>
  <c r="AT240" i="32"/>
  <c r="AT243" i="32" s="1"/>
  <c r="AN269" i="32"/>
  <c r="AV264" i="32"/>
  <c r="AV269" i="32" s="1"/>
  <c r="AS251" i="32"/>
  <c r="AS253" i="32" s="1"/>
  <c r="AA253" i="32"/>
  <c r="AF245" i="32"/>
  <c r="AO245" i="32" s="1"/>
  <c r="AP239" i="32"/>
  <c r="AF227" i="32"/>
  <c r="AO227" i="32" s="1"/>
  <c r="AB220" i="32"/>
  <c r="V221" i="32"/>
  <c r="AP220" i="32"/>
  <c r="AP221" i="32" s="1"/>
  <c r="AA220" i="32"/>
  <c r="Z220" i="32"/>
  <c r="AF285" i="32"/>
  <c r="AO285" i="32" s="1"/>
  <c r="AB276" i="32"/>
  <c r="AT270" i="32"/>
  <c r="AT276" i="32" s="1"/>
  <c r="AF270" i="32"/>
  <c r="Z276" i="32"/>
  <c r="AB263" i="32"/>
  <c r="AT261" i="32"/>
  <c r="AT263" i="32" s="1"/>
  <c r="AF256" i="32"/>
  <c r="AO256" i="32" s="1"/>
  <c r="AV260" i="32"/>
  <c r="AF238" i="32"/>
  <c r="AO238" i="32" s="1"/>
  <c r="AN276" i="32"/>
  <c r="AV270" i="32"/>
  <c r="AV276" i="32" s="1"/>
  <c r="AF257" i="32"/>
  <c r="AO257" i="32" s="1"/>
  <c r="AF242" i="32"/>
  <c r="AO242" i="32" s="1"/>
  <c r="AF207" i="32"/>
  <c r="AO207" i="32" s="1"/>
  <c r="AN176" i="32"/>
  <c r="AV170" i="32"/>
  <c r="AV176" i="32" s="1"/>
  <c r="AN169" i="32"/>
  <c r="AV163" i="32"/>
  <c r="AV169" i="32" s="1"/>
  <c r="AV204" i="32"/>
  <c r="AV212" i="32" s="1"/>
  <c r="AN212" i="32"/>
  <c r="AQ307" i="32"/>
  <c r="AA239" i="32"/>
  <c r="AW142" i="32"/>
  <c r="V307" i="32"/>
  <c r="Z113" i="32"/>
  <c r="AB113" i="32"/>
  <c r="AP113" i="32"/>
  <c r="AA113" i="32"/>
  <c r="V118" i="32"/>
  <c r="AF235" i="32"/>
  <c r="AO235" i="32" s="1"/>
  <c r="AS213" i="32"/>
  <c r="AA219" i="32"/>
  <c r="AA212" i="32"/>
  <c r="AS204" i="32"/>
  <c r="AS212" i="32" s="1"/>
  <c r="AF251" i="32"/>
  <c r="Z253" i="32"/>
  <c r="Z239" i="32"/>
  <c r="AF233" i="32"/>
  <c r="AA263" i="32"/>
  <c r="AS261" i="32"/>
  <c r="AS263" i="32" s="1"/>
  <c r="AF259" i="32"/>
  <c r="AO259" i="32" s="1"/>
  <c r="AV243" i="32"/>
  <c r="AF199" i="32"/>
  <c r="AO199" i="32" s="1"/>
  <c r="AV187" i="32"/>
  <c r="AV193" i="32" s="1"/>
  <c r="AN193" i="32"/>
  <c r="AF174" i="32"/>
  <c r="AO174" i="32" s="1"/>
  <c r="AV261" i="32"/>
  <c r="AV263" i="32" s="1"/>
  <c r="AN263" i="32"/>
  <c r="AF217" i="32"/>
  <c r="AO217" i="32" s="1"/>
  <c r="AF206" i="32"/>
  <c r="AO206" i="32" s="1"/>
  <c r="AF181" i="32"/>
  <c r="AO181" i="32" s="1"/>
  <c r="AT170" i="32"/>
  <c r="AT176" i="32" s="1"/>
  <c r="AB176" i="32"/>
  <c r="AF205" i="32"/>
  <c r="AO205" i="32" s="1"/>
  <c r="AB212" i="32"/>
  <c r="AP197" i="32"/>
  <c r="AF246" i="32"/>
  <c r="AO246" i="32" s="1"/>
  <c r="Z225" i="32"/>
  <c r="AF222" i="32"/>
  <c r="AF170" i="32"/>
  <c r="Z176" i="32"/>
  <c r="AF139" i="32"/>
  <c r="AO139" i="32" s="1"/>
  <c r="AF126" i="32"/>
  <c r="AO126" i="32" s="1"/>
  <c r="AF117" i="32"/>
  <c r="AO117" i="32" s="1"/>
  <c r="AT106" i="32"/>
  <c r="AB107" i="32"/>
  <c r="AQ105" i="32"/>
  <c r="AV76" i="32"/>
  <c r="AF167" i="32"/>
  <c r="AO167" i="32" s="1"/>
  <c r="AF125" i="32"/>
  <c r="AO125" i="32" s="1"/>
  <c r="AX312" i="32"/>
  <c r="AX107" i="32"/>
  <c r="AS103" i="32"/>
  <c r="AF103" i="32"/>
  <c r="AO103" i="32" s="1"/>
  <c r="AF100" i="32"/>
  <c r="AO100" i="32" s="1"/>
  <c r="Z306" i="32"/>
  <c r="AF97" i="32"/>
  <c r="AB90" i="32"/>
  <c r="AP90" i="32"/>
  <c r="AP95" i="32" s="1"/>
  <c r="AA90" i="32"/>
  <c r="V95" i="32"/>
  <c r="Z90" i="32"/>
  <c r="AS77" i="32"/>
  <c r="AS83" i="32" s="1"/>
  <c r="AA83" i="32"/>
  <c r="AB71" i="32"/>
  <c r="V76" i="32"/>
  <c r="AP71" i="32"/>
  <c r="AP76" i="32" s="1"/>
  <c r="AA71" i="32"/>
  <c r="Z71" i="32"/>
  <c r="AP50" i="32"/>
  <c r="AV186" i="32"/>
  <c r="AF166" i="32"/>
  <c r="AO166" i="32" s="1"/>
  <c r="Z157" i="32"/>
  <c r="AF157" i="32" s="1"/>
  <c r="AO157" i="32" s="1"/>
  <c r="AB157" i="32"/>
  <c r="AT157" i="32" s="1"/>
  <c r="AP157" i="32"/>
  <c r="AP162" i="32" s="1"/>
  <c r="AA157" i="32"/>
  <c r="AS157" i="32" s="1"/>
  <c r="AF130" i="32"/>
  <c r="AO130" i="32" s="1"/>
  <c r="AF115" i="32"/>
  <c r="AO115" i="32" s="1"/>
  <c r="AP118" i="32"/>
  <c r="AP107" i="32"/>
  <c r="AF81" i="32"/>
  <c r="AO81" i="32" s="1"/>
  <c r="AF72" i="32"/>
  <c r="AO72" i="32" s="1"/>
  <c r="AV59" i="32"/>
  <c r="AV63" i="32" s="1"/>
  <c r="AN63" i="32"/>
  <c r="Z311" i="32"/>
  <c r="AF48" i="32"/>
  <c r="AN305" i="32"/>
  <c r="AV45" i="32"/>
  <c r="AF120" i="32"/>
  <c r="AO120" i="32" s="1"/>
  <c r="AV108" i="32"/>
  <c r="AV111" i="32" s="1"/>
  <c r="AN111" i="32"/>
  <c r="AF68" i="32"/>
  <c r="AO68" i="32" s="1"/>
  <c r="AF60" i="32"/>
  <c r="AO60" i="32" s="1"/>
  <c r="Z51" i="32"/>
  <c r="AB51" i="32"/>
  <c r="V56" i="32"/>
  <c r="AP51" i="32"/>
  <c r="AP56" i="32" s="1"/>
  <c r="AA51" i="32"/>
  <c r="AW311" i="32"/>
  <c r="AS45" i="32"/>
  <c r="AF32" i="32"/>
  <c r="Z34" i="32"/>
  <c r="AT14" i="32"/>
  <c r="AF69" i="32"/>
  <c r="AO69" i="32" s="1"/>
  <c r="AA41" i="32"/>
  <c r="AS38" i="32"/>
  <c r="AS41" i="32" s="1"/>
  <c r="AF201" i="32"/>
  <c r="AO201" i="32" s="1"/>
  <c r="Z122" i="32"/>
  <c r="AF119" i="32"/>
  <c r="AF59" i="32"/>
  <c r="AO59" i="32" s="1"/>
  <c r="Z63" i="32"/>
  <c r="AF57" i="32"/>
  <c r="AS24" i="32"/>
  <c r="AF24" i="32"/>
  <c r="AO24" i="32" s="1"/>
  <c r="V22" i="32"/>
  <c r="Z18" i="32"/>
  <c r="AA18" i="32"/>
  <c r="AP18" i="32"/>
  <c r="AB18" i="32"/>
  <c r="AS14" i="32"/>
  <c r="AE300" i="32"/>
  <c r="X18" i="45" s="1"/>
  <c r="AQ313" i="32"/>
  <c r="AQ13" i="32"/>
  <c r="Z108" i="32"/>
  <c r="V111" i="32"/>
  <c r="AB108" i="32"/>
  <c r="AP108" i="32"/>
  <c r="AP111" i="32" s="1"/>
  <c r="AA108" i="32"/>
  <c r="AF102" i="32"/>
  <c r="AO102" i="32" s="1"/>
  <c r="AN162" i="32"/>
  <c r="AV156" i="32"/>
  <c r="AV162" i="32" s="1"/>
  <c r="AF138" i="32"/>
  <c r="AO138" i="32" s="1"/>
  <c r="AB306" i="32"/>
  <c r="AN95" i="32"/>
  <c r="AF88" i="32"/>
  <c r="AO88" i="32" s="1"/>
  <c r="AF73" i="32"/>
  <c r="AO73" i="32" s="1"/>
  <c r="AT34" i="32"/>
  <c r="AF14" i="32"/>
  <c r="AT232" i="32"/>
  <c r="Z123" i="32"/>
  <c r="AB123" i="32"/>
  <c r="V128" i="32"/>
  <c r="AP123" i="32"/>
  <c r="AP128" i="32" s="1"/>
  <c r="AA123" i="32"/>
  <c r="AF64" i="32"/>
  <c r="Z70" i="32"/>
  <c r="AX305" i="32"/>
  <c r="AF33" i="32"/>
  <c r="AO33" i="32" s="1"/>
  <c r="AF66" i="32"/>
  <c r="AO66" i="32" s="1"/>
  <c r="AF19" i="32"/>
  <c r="AO19" i="32" s="1"/>
  <c r="AT41" i="32"/>
  <c r="AV250" i="32"/>
  <c r="Z147" i="32"/>
  <c r="AB147" i="32"/>
  <c r="AT147" i="32" s="1"/>
  <c r="AP147" i="32"/>
  <c r="AP148" i="32" s="1"/>
  <c r="AA147" i="32"/>
  <c r="AS147" i="32" s="1"/>
  <c r="V148" i="32"/>
  <c r="AF136" i="32"/>
  <c r="Z142" i="32"/>
  <c r="AN309" i="32"/>
  <c r="AV99" i="32"/>
  <c r="AV309" i="32" s="1"/>
  <c r="AS44" i="32"/>
  <c r="AA50" i="32"/>
  <c r="AN219" i="32"/>
  <c r="AV213" i="32"/>
  <c r="AV219" i="32" s="1"/>
  <c r="AN186" i="32"/>
  <c r="AT145" i="32"/>
  <c r="AF62" i="32"/>
  <c r="AO62" i="32" s="1"/>
  <c r="AU305" i="32"/>
  <c r="AS32" i="32"/>
  <c r="AS34" i="32" s="1"/>
  <c r="AA34" i="32"/>
  <c r="AV23" i="32"/>
  <c r="AV27" i="32" s="1"/>
  <c r="AN27" i="32"/>
  <c r="AU304" i="32"/>
  <c r="AU17" i="32"/>
  <c r="Z84" i="32"/>
  <c r="AB84" i="32"/>
  <c r="V89" i="32"/>
  <c r="AP84" i="32"/>
  <c r="AP89" i="32" s="1"/>
  <c r="AA84" i="32"/>
  <c r="AS119" i="32"/>
  <c r="AS122" i="32" s="1"/>
  <c r="AA122" i="32"/>
  <c r="AF15" i="32"/>
  <c r="AO15" i="32" s="1"/>
  <c r="S303" i="32"/>
  <c r="V302" i="32" s="1"/>
  <c r="S301" i="32"/>
  <c r="Y301" i="32"/>
  <c r="V313" i="32"/>
  <c r="AB12" i="32"/>
  <c r="Z12" i="32"/>
  <c r="V13" i="32"/>
  <c r="AP12" i="32"/>
  <c r="AA12" i="32"/>
  <c r="AF171" i="32"/>
  <c r="AO171" i="32" s="1"/>
  <c r="AV135" i="32"/>
  <c r="AF124" i="32"/>
  <c r="AO124" i="32" s="1"/>
  <c r="AF109" i="32"/>
  <c r="AO109" i="32" s="1"/>
  <c r="V309" i="32"/>
  <c r="AB99" i="32"/>
  <c r="AA99" i="32"/>
  <c r="Z99" i="32"/>
  <c r="AP99" i="32"/>
  <c r="AP309" i="32" s="1"/>
  <c r="AB105" i="32"/>
  <c r="AF78" i="32"/>
  <c r="AO78" i="32" s="1"/>
  <c r="AQ305" i="32"/>
  <c r="V310" i="32"/>
  <c r="Z16" i="32"/>
  <c r="Z17" i="32" s="1"/>
  <c r="AP16" i="32"/>
  <c r="AA16" i="32"/>
  <c r="AA17" i="32" s="1"/>
  <c r="AB16" i="32"/>
  <c r="AF153" i="32"/>
  <c r="AO153" i="32" s="1"/>
  <c r="AS64" i="32"/>
  <c r="AS70" i="32" s="1"/>
  <c r="AA70" i="32"/>
  <c r="AT57" i="32"/>
  <c r="AT63" i="32" s="1"/>
  <c r="AB63" i="32"/>
  <c r="AF61" i="32"/>
  <c r="AO61" i="32" s="1"/>
  <c r="AF80" i="32"/>
  <c r="AO80" i="32" s="1"/>
  <c r="AN17" i="32"/>
  <c r="AB41" i="32"/>
  <c r="AX304" i="32"/>
  <c r="AF209" i="32"/>
  <c r="AO209" i="32" s="1"/>
  <c r="AF194" i="32"/>
  <c r="Z197" i="32"/>
  <c r="AF180" i="32"/>
  <c r="AO180" i="32" s="1"/>
  <c r="AQ176" i="32"/>
  <c r="AB143" i="32"/>
  <c r="AB312" i="32" s="1"/>
  <c r="V144" i="32"/>
  <c r="AP143" i="32"/>
  <c r="AP144" i="32" s="1"/>
  <c r="AA143" i="32"/>
  <c r="AA312" i="32" s="1"/>
  <c r="Z143" i="32"/>
  <c r="AF224" i="32"/>
  <c r="AO224" i="32" s="1"/>
  <c r="AF202" i="32"/>
  <c r="AO202" i="32" s="1"/>
  <c r="AP176" i="32"/>
  <c r="AS239" i="32"/>
  <c r="AS156" i="32"/>
  <c r="AS162" i="32" s="1"/>
  <c r="AA162" i="32"/>
  <c r="AN307" i="32"/>
  <c r="AV113" i="32"/>
  <c r="AN203" i="32"/>
  <c r="AF152" i="32"/>
  <c r="AO152" i="32" s="1"/>
  <c r="AS136" i="32"/>
  <c r="AA142" i="32"/>
  <c r="AF116" i="32"/>
  <c r="AO116" i="32" s="1"/>
  <c r="AF110" i="32"/>
  <c r="AO110" i="32" s="1"/>
  <c r="AA311" i="32"/>
  <c r="AS48" i="32"/>
  <c r="AF183" i="32"/>
  <c r="Z186" i="32"/>
  <c r="AF150" i="32"/>
  <c r="AO150" i="32" s="1"/>
  <c r="AF145" i="32"/>
  <c r="Z148" i="32"/>
  <c r="AF112" i="32"/>
  <c r="Z118" i="32"/>
  <c r="Z312" i="32"/>
  <c r="Z107" i="32"/>
  <c r="AF106" i="32"/>
  <c r="V312" i="32"/>
  <c r="AF86" i="32"/>
  <c r="AO86" i="32" s="1"/>
  <c r="Z83" i="32"/>
  <c r="AF77" i="32"/>
  <c r="AF67" i="32"/>
  <c r="AO67" i="32" s="1"/>
  <c r="AN128" i="32"/>
  <c r="AV123" i="32"/>
  <c r="AV128" i="32" s="1"/>
  <c r="AN56" i="32"/>
  <c r="AV51" i="32"/>
  <c r="AV56" i="32" s="1"/>
  <c r="AW305" i="32"/>
  <c r="V305" i="32"/>
  <c r="AP34" i="32"/>
  <c r="AF26" i="32"/>
  <c r="AO26" i="32" s="1"/>
  <c r="AW27" i="32"/>
  <c r="AQ304" i="32"/>
  <c r="AQ17" i="32"/>
  <c r="AR300" i="32"/>
  <c r="AK18" i="45" s="1"/>
  <c r="AN313" i="32"/>
  <c r="AN13" i="32"/>
  <c r="AV12" i="32"/>
  <c r="AN76" i="32"/>
  <c r="AF54" i="32"/>
  <c r="AO54" i="32" s="1"/>
  <c r="V37" i="32"/>
  <c r="AB35" i="32"/>
  <c r="AA35" i="32"/>
  <c r="Z35" i="32"/>
  <c r="AP35" i="32"/>
  <c r="AP37" i="32" s="1"/>
  <c r="AV197" i="32"/>
  <c r="AF151" i="32"/>
  <c r="AO151" i="32" s="1"/>
  <c r="AP122" i="32"/>
  <c r="AF91" i="32"/>
  <c r="AO91" i="32" s="1"/>
  <c r="AF79" i="32"/>
  <c r="AO79" i="32" s="1"/>
  <c r="AQ70" i="32"/>
  <c r="AU311" i="32"/>
  <c r="AN50" i="32"/>
  <c r="AV35" i="32"/>
  <c r="AV37" i="32" s="1"/>
  <c r="AN37" i="32"/>
  <c r="AS29" i="32"/>
  <c r="AF29" i="32"/>
  <c r="AO29" i="32" s="1"/>
  <c r="Z28" i="32"/>
  <c r="V31" i="32"/>
  <c r="AA28" i="32"/>
  <c r="AP28" i="32"/>
  <c r="AP31" i="32" s="1"/>
  <c r="AB28" i="32"/>
  <c r="V27" i="32"/>
  <c r="Z23" i="32"/>
  <c r="AA23" i="32"/>
  <c r="AP23" i="32"/>
  <c r="AP27" i="32" s="1"/>
  <c r="AB23" i="32"/>
  <c r="AF20" i="32"/>
  <c r="AO20" i="32" s="1"/>
  <c r="AN310" i="32"/>
  <c r="AV16" i="32"/>
  <c r="AV310" i="32" s="1"/>
  <c r="AM300" i="32"/>
  <c r="AF18" i="45" s="1"/>
  <c r="S300" i="32"/>
  <c r="AN155" i="32"/>
  <c r="AF158" i="32"/>
  <c r="AO158" i="32" s="1"/>
  <c r="AX162" i="32"/>
  <c r="AF98" i="32"/>
  <c r="AO98" i="32" s="1"/>
  <c r="AF55" i="32"/>
  <c r="AO55" i="32" s="1"/>
  <c r="AN311" i="32"/>
  <c r="AN34" i="32"/>
  <c r="AV32" i="32"/>
  <c r="AV34" i="32" s="1"/>
  <c r="AU310" i="32"/>
  <c r="AL300" i="32"/>
  <c r="AP70" i="32"/>
  <c r="AF25" i="32"/>
  <c r="AO25" i="32" s="1"/>
  <c r="AW307" i="32"/>
  <c r="AQ312" i="32"/>
  <c r="AQ107" i="32"/>
  <c r="AT77" i="32"/>
  <c r="AT83" i="32" s="1"/>
  <c r="AB83" i="32"/>
  <c r="AB311" i="32"/>
  <c r="AT48" i="32"/>
  <c r="AT44" i="32"/>
  <c r="AB50" i="32"/>
  <c r="AS250" i="32"/>
  <c r="AF165" i="32"/>
  <c r="AO165" i="32" s="1"/>
  <c r="AN148" i="32"/>
  <c r="AP142" i="32"/>
  <c r="AN118" i="32"/>
  <c r="AV112" i="32"/>
  <c r="AN312" i="32"/>
  <c r="AN107" i="32"/>
  <c r="AV106" i="32"/>
  <c r="AB42" i="32"/>
  <c r="V43" i="32"/>
  <c r="AP42" i="32"/>
  <c r="AP43" i="32" s="1"/>
  <c r="AA42" i="32"/>
  <c r="Z42" i="32"/>
  <c r="AT156" i="32"/>
  <c r="AB162" i="32"/>
  <c r="AS145" i="32"/>
  <c r="AS112" i="32"/>
  <c r="AA118" i="32"/>
  <c r="AS106" i="32"/>
  <c r="AA107" i="32"/>
  <c r="AA105" i="32"/>
  <c r="AS96" i="32"/>
  <c r="AF93" i="32"/>
  <c r="AO93" i="32" s="1"/>
  <c r="AN70" i="32"/>
  <c r="AV64" i="32"/>
  <c r="AV70" i="32" s="1"/>
  <c r="AF53" i="32"/>
  <c r="AO53" i="32" s="1"/>
  <c r="Z50" i="32"/>
  <c r="AF44" i="32"/>
  <c r="AF104" i="32"/>
  <c r="AO104" i="32" s="1"/>
  <c r="AV311" i="32"/>
  <c r="Z305" i="32"/>
  <c r="AF45" i="32"/>
  <c r="AV28" i="32"/>
  <c r="AV31" i="32" s="1"/>
  <c r="AN31" i="32"/>
  <c r="AW310" i="32"/>
  <c r="AM303" i="32"/>
  <c r="AV96" i="32"/>
  <c r="AN105" i="32"/>
  <c r="AN89" i="32"/>
  <c r="AV84" i="32"/>
  <c r="AV89" i="32" s="1"/>
  <c r="AN83" i="32"/>
  <c r="AF38" i="32"/>
  <c r="Z41" i="32"/>
  <c r="AB122" i="32"/>
  <c r="AT119" i="32"/>
  <c r="AT122" i="32" s="1"/>
  <c r="AN306" i="32"/>
  <c r="AV97" i="32"/>
  <c r="AV306" i="32" s="1"/>
  <c r="AT64" i="32"/>
  <c r="AT70" i="32" s="1"/>
  <c r="AB70" i="32"/>
  <c r="AN41" i="32"/>
  <c r="AV38" i="32"/>
  <c r="AV41" i="32" s="1"/>
  <c r="AL303" i="32"/>
  <c r="AU313" i="32"/>
  <c r="AU13" i="32"/>
  <c r="AV155" i="32"/>
  <c r="AN304" i="32"/>
  <c r="V162" i="32"/>
  <c r="AT306" i="32"/>
  <c r="AF65" i="32"/>
  <c r="AO65" i="32" s="1"/>
  <c r="AF49" i="32"/>
  <c r="AO49" i="32" s="1"/>
  <c r="AQ311" i="32"/>
  <c r="AB34" i="32"/>
  <c r="AV18" i="32"/>
  <c r="AV22" i="32" s="1"/>
  <c r="AN22" i="32"/>
  <c r="AW304" i="32"/>
  <c r="AB232" i="32"/>
  <c r="AA63" i="32"/>
  <c r="AS57" i="32"/>
  <c r="AS63" i="32" s="1"/>
  <c r="AF46" i="32"/>
  <c r="AO46" i="32" s="1"/>
  <c r="AF75" i="32"/>
  <c r="AO75" i="32" s="1"/>
  <c r="AF85" i="32"/>
  <c r="AO85" i="32" s="1"/>
  <c r="AF52" i="32"/>
  <c r="AO52" i="32" s="1"/>
  <c r="AF47" i="32"/>
  <c r="AO47" i="32" s="1"/>
  <c r="AW17" i="32"/>
  <c r="AS61" i="31"/>
  <c r="AF61" i="31"/>
  <c r="AO61" i="31" s="1"/>
  <c r="AB51" i="31"/>
  <c r="AT48" i="31"/>
  <c r="AT51" i="31" s="1"/>
  <c r="AV16" i="31"/>
  <c r="AV18" i="31" s="1"/>
  <c r="AN18" i="31"/>
  <c r="AT85" i="31"/>
  <c r="AT39" i="31"/>
  <c r="AT64" i="31"/>
  <c r="AT66" i="31" s="1"/>
  <c r="AB66" i="31"/>
  <c r="AB86" i="31"/>
  <c r="AT23" i="31"/>
  <c r="AB24" i="31"/>
  <c r="AA72" i="31"/>
  <c r="AS67" i="31"/>
  <c r="AS72" i="31" s="1"/>
  <c r="AP86" i="31"/>
  <c r="AP24" i="31"/>
  <c r="AF62" i="31"/>
  <c r="AO62" i="31" s="1"/>
  <c r="AF50" i="31"/>
  <c r="AO50" i="31" s="1"/>
  <c r="AU80" i="31"/>
  <c r="AU47" i="31"/>
  <c r="AS40" i="31"/>
  <c r="AS42" i="31" s="1"/>
  <c r="AA42" i="31"/>
  <c r="AF25" i="31"/>
  <c r="Z31" i="31"/>
  <c r="AR76" i="31"/>
  <c r="Z63" i="31"/>
  <c r="AF57" i="31"/>
  <c r="AP85" i="31"/>
  <c r="AP39" i="31"/>
  <c r="AX78" i="31"/>
  <c r="AX31" i="31"/>
  <c r="AU77" i="31"/>
  <c r="AU15" i="31"/>
  <c r="AA84" i="31"/>
  <c r="AS29" i="31"/>
  <c r="S76" i="31"/>
  <c r="V75" i="31" s="1"/>
  <c r="AV22" i="31"/>
  <c r="AX77" i="31"/>
  <c r="I185" i="29"/>
  <c r="AL100" i="30"/>
  <c r="AF69" i="31"/>
  <c r="AO69" i="31" s="1"/>
  <c r="AF71" i="31"/>
  <c r="AO71" i="31" s="1"/>
  <c r="Z51" i="31"/>
  <c r="AF48" i="31"/>
  <c r="AM76" i="31"/>
  <c r="AN75" i="31" s="1"/>
  <c r="AF54" i="31"/>
  <c r="AO54" i="31" s="1"/>
  <c r="AA24" i="31"/>
  <c r="AS23" i="31"/>
  <c r="AA86" i="31"/>
  <c r="AF49" i="31"/>
  <c r="AO49" i="31" s="1"/>
  <c r="AB42" i="31"/>
  <c r="AT40" i="31"/>
  <c r="AT42" i="31" s="1"/>
  <c r="AU85" i="31"/>
  <c r="AU39" i="31"/>
  <c r="AS25" i="31"/>
  <c r="AU86" i="31"/>
  <c r="AU24" i="31"/>
  <c r="AB83" i="31"/>
  <c r="AT14" i="31"/>
  <c r="AT83" i="31" s="1"/>
  <c r="V77" i="31"/>
  <c r="AB12" i="31"/>
  <c r="V15" i="31"/>
  <c r="AP12" i="31"/>
  <c r="AA12" i="31"/>
  <c r="Z12" i="31"/>
  <c r="AP63" i="31"/>
  <c r="AN84" i="31"/>
  <c r="AE76" i="31"/>
  <c r="AB72" i="31"/>
  <c r="AP84" i="31"/>
  <c r="AF19" i="31"/>
  <c r="Z22" i="31"/>
  <c r="AT84" i="31"/>
  <c r="AN22" i="31"/>
  <c r="Z83" i="31"/>
  <c r="AF14" i="31"/>
  <c r="AF58" i="31"/>
  <c r="AO58" i="31" s="1"/>
  <c r="AS51" i="31"/>
  <c r="AF45" i="31"/>
  <c r="AO45" i="31" s="1"/>
  <c r="AQ86" i="31"/>
  <c r="AQ24" i="31"/>
  <c r="AL73" i="31"/>
  <c r="AE17" i="45" s="1"/>
  <c r="AN83" i="31"/>
  <c r="AV14" i="31"/>
  <c r="AV83" i="31" s="1"/>
  <c r="AV15" i="31"/>
  <c r="AF20" i="31"/>
  <c r="AO20" i="31" s="1"/>
  <c r="Z66" i="31"/>
  <c r="AF64" i="31"/>
  <c r="AV80" i="31"/>
  <c r="AV47" i="31"/>
  <c r="AN42" i="31"/>
  <c r="AV40" i="31"/>
  <c r="AV42" i="31" s="1"/>
  <c r="AP72" i="31"/>
  <c r="AT52" i="31"/>
  <c r="AQ80" i="31"/>
  <c r="AQ47" i="31"/>
  <c r="AX86" i="31"/>
  <c r="AX24" i="31"/>
  <c r="AX73" i="31" s="1"/>
  <c r="AQ17" i="45" s="1"/>
  <c r="AF33" i="31"/>
  <c r="AO33" i="31" s="1"/>
  <c r="AW78" i="31"/>
  <c r="AR73" i="31"/>
  <c r="AK17" i="45" s="1"/>
  <c r="AT57" i="31"/>
  <c r="AT63" i="31" s="1"/>
  <c r="AB63" i="31"/>
  <c r="AA85" i="31"/>
  <c r="AA39" i="31"/>
  <c r="AS38" i="31"/>
  <c r="AN77" i="31"/>
  <c r="AB32" i="31"/>
  <c r="AP32" i="31"/>
  <c r="AP37" i="31" s="1"/>
  <c r="Z32" i="31"/>
  <c r="V37" i="31"/>
  <c r="AA32" i="31"/>
  <c r="Z84" i="31"/>
  <c r="AF29" i="31"/>
  <c r="AN37" i="31"/>
  <c r="AV32" i="31"/>
  <c r="AV37" i="31" s="1"/>
  <c r="S74" i="31"/>
  <c r="Y74" i="31"/>
  <c r="AM100" i="30"/>
  <c r="AF68" i="31"/>
  <c r="AO68" i="31" s="1"/>
  <c r="Y76" i="31"/>
  <c r="AB53" i="31"/>
  <c r="AT53" i="31" s="1"/>
  <c r="AA53" i="31"/>
  <c r="Z53" i="31"/>
  <c r="AP53" i="31"/>
  <c r="AP56" i="31" s="1"/>
  <c r="Z26" i="31"/>
  <c r="AF26" i="31" s="1"/>
  <c r="AO26" i="31" s="1"/>
  <c r="AP26" i="31"/>
  <c r="AB26" i="31"/>
  <c r="AA26" i="31"/>
  <c r="AS26" i="31" s="1"/>
  <c r="AV86" i="31"/>
  <c r="AV24" i="31"/>
  <c r="AP83" i="31"/>
  <c r="AV84" i="31"/>
  <c r="V18" i="31"/>
  <c r="AB16" i="31"/>
  <c r="AA16" i="31"/>
  <c r="Z16" i="31"/>
  <c r="AP16" i="31"/>
  <c r="AP18" i="31" s="1"/>
  <c r="AF27" i="31"/>
  <c r="AO27" i="31" s="1"/>
  <c r="Z86" i="31"/>
  <c r="Z24" i="31"/>
  <c r="AF23" i="31"/>
  <c r="AF17" i="31"/>
  <c r="AO17" i="31" s="1"/>
  <c r="AM73" i="31"/>
  <c r="AA83" i="31"/>
  <c r="AS14" i="31"/>
  <c r="AS83" i="31" s="1"/>
  <c r="AX85" i="31"/>
  <c r="AX39" i="31"/>
  <c r="AN78" i="31"/>
  <c r="AN31" i="31"/>
  <c r="AV25" i="31"/>
  <c r="AL185" i="29"/>
  <c r="AV67" i="31"/>
  <c r="AV72" i="31" s="1"/>
  <c r="AN72" i="31"/>
  <c r="AS64" i="31"/>
  <c r="AS66" i="31" s="1"/>
  <c r="AA66" i="31"/>
  <c r="P75" i="31"/>
  <c r="AF52" i="31"/>
  <c r="Z56" i="31"/>
  <c r="AL74" i="31"/>
  <c r="Z72" i="31"/>
  <c r="AF67" i="31"/>
  <c r="AS35" i="31"/>
  <c r="AF35" i="31"/>
  <c r="AO35" i="31" s="1"/>
  <c r="AF59" i="31"/>
  <c r="AO59" i="31" s="1"/>
  <c r="AN63" i="31"/>
  <c r="AN47" i="31"/>
  <c r="V80" i="31"/>
  <c r="AB43" i="31"/>
  <c r="AP43" i="31"/>
  <c r="Z43" i="31"/>
  <c r="V47" i="31"/>
  <c r="AA43" i="31"/>
  <c r="AF40" i="31"/>
  <c r="Z42" i="31"/>
  <c r="AE73" i="31"/>
  <c r="X17" i="45" s="1"/>
  <c r="AW77" i="31"/>
  <c r="AW15" i="31"/>
  <c r="AW73" i="31" s="1"/>
  <c r="AP17" i="45" s="1"/>
  <c r="AA63" i="31"/>
  <c r="AS57" i="31"/>
  <c r="AS63" i="31" s="1"/>
  <c r="Z85" i="31"/>
  <c r="Z39" i="31"/>
  <c r="AF38" i="31"/>
  <c r="AN15" i="31"/>
  <c r="AQ77" i="31"/>
  <c r="AQ76" i="31" s="1"/>
  <c r="AQ15" i="31"/>
  <c r="AT72" i="31"/>
  <c r="AV52" i="31"/>
  <c r="AV56" i="31" s="1"/>
  <c r="AN56" i="31"/>
  <c r="AF46" i="31"/>
  <c r="AO46" i="31" s="1"/>
  <c r="AA22" i="31"/>
  <c r="AS19" i="31"/>
  <c r="AS22" i="31" s="1"/>
  <c r="AB84" i="31"/>
  <c r="AT22" i="31"/>
  <c r="AA51" i="31"/>
  <c r="AF44" i="31"/>
  <c r="AO44" i="31" s="1"/>
  <c r="AN85" i="31"/>
  <c r="AN39" i="31"/>
  <c r="AV38" i="31"/>
  <c r="AF36" i="31"/>
  <c r="AO36" i="31" s="1"/>
  <c r="AM74" i="31"/>
  <c r="AW83" i="31"/>
  <c r="AF30" i="31"/>
  <c r="AO30" i="31" s="1"/>
  <c r="AN90" i="30"/>
  <c r="AV84" i="30"/>
  <c r="AV90" i="30" s="1"/>
  <c r="Z55" i="30"/>
  <c r="AP55" i="30"/>
  <c r="AP60" i="30" s="1"/>
  <c r="AA55" i="30"/>
  <c r="AS55" i="30" s="1"/>
  <c r="AB55" i="30"/>
  <c r="AB48" i="30"/>
  <c r="AP48" i="30"/>
  <c r="AP53" i="30" s="1"/>
  <c r="Z48" i="30"/>
  <c r="V53" i="30"/>
  <c r="AA48" i="30"/>
  <c r="AS32" i="30"/>
  <c r="AA60" i="30"/>
  <c r="AS54" i="30"/>
  <c r="AT32" i="30"/>
  <c r="Z97" i="30"/>
  <c r="AF91" i="30"/>
  <c r="AA47" i="30"/>
  <c r="AS44" i="30"/>
  <c r="AS47" i="30" s="1"/>
  <c r="AN97" i="30"/>
  <c r="Z84" i="30"/>
  <c r="AP84" i="30"/>
  <c r="AP90" i="30" s="1"/>
  <c r="AB84" i="30"/>
  <c r="V90" i="30"/>
  <c r="AA84" i="30"/>
  <c r="AB80" i="30"/>
  <c r="AP80" i="30"/>
  <c r="AP83" i="30" s="1"/>
  <c r="Z80" i="30"/>
  <c r="V83" i="30"/>
  <c r="AA80" i="30"/>
  <c r="AF86" i="30"/>
  <c r="AO86" i="30" s="1"/>
  <c r="AW90" i="30"/>
  <c r="AV71" i="30"/>
  <c r="AV73" i="30" s="1"/>
  <c r="AN73" i="30"/>
  <c r="AV61" i="30"/>
  <c r="AV64" i="30" s="1"/>
  <c r="AN64" i="30"/>
  <c r="AF85" i="30"/>
  <c r="AO85" i="30" s="1"/>
  <c r="AX79" i="30"/>
  <c r="V60" i="30"/>
  <c r="AN53" i="30"/>
  <c r="AV48" i="30"/>
  <c r="AV53" i="30" s="1"/>
  <c r="AX105" i="30"/>
  <c r="AB109" i="30"/>
  <c r="AT20" i="30"/>
  <c r="AT109" i="30" s="1"/>
  <c r="AQ15" i="30"/>
  <c r="AN105" i="30"/>
  <c r="AV32" i="30"/>
  <c r="AU103" i="30"/>
  <c r="AF72" i="30"/>
  <c r="AO72" i="30" s="1"/>
  <c r="AF57" i="30"/>
  <c r="AO57" i="30" s="1"/>
  <c r="V105" i="30"/>
  <c r="AF76" i="30"/>
  <c r="AO76" i="30" s="1"/>
  <c r="AS66" i="30"/>
  <c r="AF66" i="30"/>
  <c r="AO66" i="30" s="1"/>
  <c r="AV54" i="30"/>
  <c r="AV60" i="30" s="1"/>
  <c r="AN60" i="30"/>
  <c r="AF38" i="30"/>
  <c r="AO38" i="30" s="1"/>
  <c r="AW111" i="30"/>
  <c r="AW17" i="30"/>
  <c r="AS14" i="30"/>
  <c r="AE101" i="30"/>
  <c r="AF68" i="30"/>
  <c r="AO68" i="30" s="1"/>
  <c r="AF52" i="30"/>
  <c r="AO52" i="30" s="1"/>
  <c r="AP47" i="30"/>
  <c r="AQ23" i="30"/>
  <c r="AL99" i="30"/>
  <c r="AF45" i="30"/>
  <c r="AO45" i="30" s="1"/>
  <c r="Z28" i="30"/>
  <c r="AF24" i="30"/>
  <c r="AX111" i="30"/>
  <c r="AX17" i="30"/>
  <c r="AL98" i="30"/>
  <c r="AE16" i="45" s="1"/>
  <c r="S98" i="30"/>
  <c r="V99" i="30" s="1"/>
  <c r="AF41" i="30"/>
  <c r="AO41" i="30" s="1"/>
  <c r="Z109" i="30"/>
  <c r="AF20" i="30"/>
  <c r="Z111" i="30"/>
  <c r="Z17" i="30"/>
  <c r="AF16" i="30"/>
  <c r="AT37" i="30"/>
  <c r="AT43" i="30" s="1"/>
  <c r="AB43" i="30"/>
  <c r="AA43" i="30"/>
  <c r="AS37" i="30"/>
  <c r="AS43" i="30" s="1"/>
  <c r="AF34" i="30"/>
  <c r="AO34" i="30" s="1"/>
  <c r="AA28" i="30"/>
  <c r="AS24" i="30"/>
  <c r="AS28" i="30" s="1"/>
  <c r="Y98" i="30"/>
  <c r="AO61" i="30"/>
  <c r="AM101" i="30"/>
  <c r="V30" i="30"/>
  <c r="AA29" i="30"/>
  <c r="V110" i="30"/>
  <c r="Z29" i="30"/>
  <c r="AB29" i="30"/>
  <c r="AP29" i="30"/>
  <c r="AN111" i="30"/>
  <c r="AN17" i="30"/>
  <c r="AV16" i="30"/>
  <c r="AV12" i="30"/>
  <c r="AN102" i="30"/>
  <c r="AN15" i="30"/>
  <c r="AF32" i="30"/>
  <c r="AW103" i="30"/>
  <c r="AW23" i="30"/>
  <c r="AN109" i="30"/>
  <c r="AN108" i="30"/>
  <c r="AA97" i="30"/>
  <c r="AS91" i="30"/>
  <c r="AS97" i="30" s="1"/>
  <c r="AV97" i="30"/>
  <c r="AS71" i="30"/>
  <c r="AS73" i="30" s="1"/>
  <c r="AA73" i="30"/>
  <c r="AF71" i="30"/>
  <c r="AB62" i="30"/>
  <c r="AT62" i="30" s="1"/>
  <c r="AP62" i="30"/>
  <c r="AP64" i="30" s="1"/>
  <c r="Z62" i="30"/>
  <c r="AA62" i="30"/>
  <c r="AM98" i="30"/>
  <c r="AT14" i="30"/>
  <c r="AF94" i="30"/>
  <c r="AO94" i="30" s="1"/>
  <c r="AF81" i="30"/>
  <c r="AO81" i="30" s="1"/>
  <c r="AX70" i="30"/>
  <c r="AS31" i="30"/>
  <c r="AA36" i="30"/>
  <c r="AU110" i="30"/>
  <c r="AU30" i="30"/>
  <c r="AA109" i="30"/>
  <c r="AS20" i="30"/>
  <c r="AM99" i="30"/>
  <c r="AF67" i="30"/>
  <c r="AO67" i="30" s="1"/>
  <c r="AN36" i="30"/>
  <c r="AE99" i="30"/>
  <c r="AX47" i="30"/>
  <c r="AF25" i="30"/>
  <c r="AO25" i="30" s="1"/>
  <c r="AW102" i="30"/>
  <c r="AW15" i="30"/>
  <c r="S101" i="30"/>
  <c r="V100" i="30" s="1"/>
  <c r="AT111" i="30"/>
  <c r="AT17" i="30"/>
  <c r="AF39" i="30"/>
  <c r="AO39" i="30" s="1"/>
  <c r="AA111" i="30"/>
  <c r="AS16" i="30"/>
  <c r="AA17" i="30"/>
  <c r="AF46" i="30"/>
  <c r="AO46" i="30" s="1"/>
  <c r="Z43" i="30"/>
  <c r="AF37" i="30"/>
  <c r="AF27" i="30"/>
  <c r="AO27" i="30" s="1"/>
  <c r="AX109" i="30"/>
  <c r="AF19" i="30"/>
  <c r="AO19" i="30" s="1"/>
  <c r="AU98" i="30"/>
  <c r="AN16" i="45" s="1"/>
  <c r="Y99" i="30"/>
  <c r="S99" i="30"/>
  <c r="Z79" i="30"/>
  <c r="Z33" i="30"/>
  <c r="AB33" i="30"/>
  <c r="AT33" i="30" s="1"/>
  <c r="AT36" i="30" s="1"/>
  <c r="AP33" i="30"/>
  <c r="AP108" i="30" s="1"/>
  <c r="AA33" i="30"/>
  <c r="AS33" i="30" s="1"/>
  <c r="AN79" i="30"/>
  <c r="AV74" i="30"/>
  <c r="AV79" i="30" s="1"/>
  <c r="AV108" i="30"/>
  <c r="V102" i="30"/>
  <c r="Z12" i="30"/>
  <c r="V15" i="30"/>
  <c r="AB12" i="30"/>
  <c r="AP12" i="30"/>
  <c r="AA12" i="30"/>
  <c r="AB28" i="30"/>
  <c r="AT24" i="30"/>
  <c r="AT28" i="30" s="1"/>
  <c r="AB97" i="30"/>
  <c r="AT91" i="30"/>
  <c r="AT97" i="30" s="1"/>
  <c r="AF87" i="30"/>
  <c r="AO87" i="30" s="1"/>
  <c r="AT61" i="30"/>
  <c r="AV83" i="30"/>
  <c r="AA79" i="30"/>
  <c r="AS74" i="30"/>
  <c r="AS79" i="30" s="1"/>
  <c r="AS51" i="30"/>
  <c r="AF51" i="30"/>
  <c r="AO51" i="30" s="1"/>
  <c r="AF82" i="30"/>
  <c r="AO82" i="30" s="1"/>
  <c r="AF74" i="30"/>
  <c r="Z47" i="30"/>
  <c r="AF44" i="30"/>
  <c r="AN110" i="30"/>
  <c r="AN30" i="30"/>
  <c r="AV29" i="30"/>
  <c r="V108" i="30"/>
  <c r="Z36" i="30"/>
  <c r="AF31" i="30"/>
  <c r="AU102" i="30"/>
  <c r="Z65" i="30"/>
  <c r="AP65" i="30"/>
  <c r="AP70" i="30" s="1"/>
  <c r="AB65" i="30"/>
  <c r="V70" i="30"/>
  <c r="AA65" i="30"/>
  <c r="AF54" i="30"/>
  <c r="AQ105" i="30"/>
  <c r="AQ110" i="30"/>
  <c r="AQ30" i="30"/>
  <c r="AF63" i="30"/>
  <c r="AO63" i="30" s="1"/>
  <c r="AN47" i="30"/>
  <c r="AV44" i="30"/>
  <c r="AV47" i="30" s="1"/>
  <c r="AL101" i="30"/>
  <c r="AF35" i="30"/>
  <c r="AO35" i="30" s="1"/>
  <c r="AF26" i="30"/>
  <c r="AO26" i="30" s="1"/>
  <c r="AN103" i="30"/>
  <c r="AN23" i="30"/>
  <c r="AV18" i="30"/>
  <c r="V103" i="30"/>
  <c r="Z18" i="30"/>
  <c r="AB18" i="30"/>
  <c r="V23" i="30"/>
  <c r="AP18" i="30"/>
  <c r="AA18" i="30"/>
  <c r="AP111" i="30"/>
  <c r="AP17" i="30"/>
  <c r="AP43" i="30"/>
  <c r="AP28" i="30"/>
  <c r="Z108" i="30"/>
  <c r="AF14" i="30"/>
  <c r="AF13" i="30"/>
  <c r="AO13" i="30" s="1"/>
  <c r="AF180" i="29"/>
  <c r="AO180" i="29" s="1"/>
  <c r="AN190" i="29"/>
  <c r="AV161" i="29"/>
  <c r="AV190" i="29" s="1"/>
  <c r="AW156" i="29"/>
  <c r="AP147" i="29"/>
  <c r="AF135" i="29"/>
  <c r="AO135" i="29" s="1"/>
  <c r="AA195" i="29"/>
  <c r="AS131" i="29"/>
  <c r="AA132" i="29"/>
  <c r="AS161" i="29"/>
  <c r="AA166" i="29"/>
  <c r="Z157" i="29"/>
  <c r="V159" i="29"/>
  <c r="AA157" i="29"/>
  <c r="AB157" i="29"/>
  <c r="AP157" i="29"/>
  <c r="AP159" i="29" s="1"/>
  <c r="AS125" i="29"/>
  <c r="AS130" i="29" s="1"/>
  <c r="AA130" i="29"/>
  <c r="AV119" i="29"/>
  <c r="AV124" i="29" s="1"/>
  <c r="AN124" i="29"/>
  <c r="AV107" i="29"/>
  <c r="AV112" i="29" s="1"/>
  <c r="AN112" i="29"/>
  <c r="AF144" i="29"/>
  <c r="AO144" i="29" s="1"/>
  <c r="AT195" i="29"/>
  <c r="AT132" i="29"/>
  <c r="AN188" i="29"/>
  <c r="AN82" i="29"/>
  <c r="AV77" i="29"/>
  <c r="AA118" i="29"/>
  <c r="AS113" i="29"/>
  <c r="AS118" i="29" s="1"/>
  <c r="AF110" i="29"/>
  <c r="AO110" i="29" s="1"/>
  <c r="AO101" i="29"/>
  <c r="AV133" i="29"/>
  <c r="AV140" i="29" s="1"/>
  <c r="AN140" i="29"/>
  <c r="AS89" i="29"/>
  <c r="AA94" i="29"/>
  <c r="AT77" i="29"/>
  <c r="AT20" i="29"/>
  <c r="AT22" i="29" s="1"/>
  <c r="AB22" i="29"/>
  <c r="AR183" i="29"/>
  <c r="AK15" i="45" s="1"/>
  <c r="AN196" i="29"/>
  <c r="AN13" i="29"/>
  <c r="AV12" i="29"/>
  <c r="AW100" i="29"/>
  <c r="AW194" i="29"/>
  <c r="AW82" i="29"/>
  <c r="AV69" i="29"/>
  <c r="AV71" i="29" s="1"/>
  <c r="AN71" i="29"/>
  <c r="AN64" i="29"/>
  <c r="AV62" i="29"/>
  <c r="AV64" i="29" s="1"/>
  <c r="AS14" i="29"/>
  <c r="AA16" i="29"/>
  <c r="AE183" i="29"/>
  <c r="X15" i="45" s="1"/>
  <c r="AQ196" i="29"/>
  <c r="AQ13" i="29"/>
  <c r="AF79" i="29"/>
  <c r="AO79" i="29" s="1"/>
  <c r="AB42" i="29"/>
  <c r="AT39" i="29"/>
  <c r="AT42" i="29" s="1"/>
  <c r="AW188" i="29"/>
  <c r="AS15" i="29"/>
  <c r="AA50" i="29"/>
  <c r="AS47" i="29"/>
  <c r="AS50" i="29" s="1"/>
  <c r="Z61" i="29"/>
  <c r="AF58" i="29"/>
  <c r="Z22" i="29"/>
  <c r="AF20" i="29"/>
  <c r="AN187" i="29"/>
  <c r="AF177" i="29"/>
  <c r="AO177" i="29" s="1"/>
  <c r="Z167" i="29"/>
  <c r="AA167" i="29"/>
  <c r="AP167" i="29"/>
  <c r="AP169" i="29" s="1"/>
  <c r="AB167" i="29"/>
  <c r="V169" i="29"/>
  <c r="AF174" i="29"/>
  <c r="AO174" i="29" s="1"/>
  <c r="AS148" i="29"/>
  <c r="AS151" i="29" s="1"/>
  <c r="AA151" i="29"/>
  <c r="AF148" i="29"/>
  <c r="AF164" i="29"/>
  <c r="AO164" i="29" s="1"/>
  <c r="AV159" i="29"/>
  <c r="AF149" i="29"/>
  <c r="AO149" i="29" s="1"/>
  <c r="AF165" i="29"/>
  <c r="AO165" i="29" s="1"/>
  <c r="AU156" i="29"/>
  <c r="AB151" i="29"/>
  <c r="AV147" i="29"/>
  <c r="AF163" i="29"/>
  <c r="AO163" i="29" s="1"/>
  <c r="AF153" i="29"/>
  <c r="AO153" i="29" s="1"/>
  <c r="AF143" i="29"/>
  <c r="AO143" i="29" s="1"/>
  <c r="AN195" i="29"/>
  <c r="AN132" i="29"/>
  <c r="AV131" i="29"/>
  <c r="AF168" i="29"/>
  <c r="AO168" i="29" s="1"/>
  <c r="AX195" i="29"/>
  <c r="AX132" i="29"/>
  <c r="AF129" i="29"/>
  <c r="AO129" i="29" s="1"/>
  <c r="AB182" i="29"/>
  <c r="AT147" i="29"/>
  <c r="AP195" i="29"/>
  <c r="AP132" i="29"/>
  <c r="AP130" i="29"/>
  <c r="AF111" i="29"/>
  <c r="AO111" i="29" s="1"/>
  <c r="AB83" i="29"/>
  <c r="V88" i="29"/>
  <c r="AP83" i="29"/>
  <c r="AP88" i="29" s="1"/>
  <c r="AA83" i="29"/>
  <c r="Z83" i="29"/>
  <c r="Z118" i="29"/>
  <c r="AF113" i="29"/>
  <c r="AB118" i="29"/>
  <c r="AT113" i="29"/>
  <c r="AT118" i="29" s="1"/>
  <c r="AQ188" i="29"/>
  <c r="AF120" i="29"/>
  <c r="AO120" i="29" s="1"/>
  <c r="AF115" i="29"/>
  <c r="AO115" i="29" s="1"/>
  <c r="AS107" i="29"/>
  <c r="AS102" i="29"/>
  <c r="AF102" i="29"/>
  <c r="AO102" i="29" s="1"/>
  <c r="AN94" i="29"/>
  <c r="AV89" i="29"/>
  <c r="AV94" i="29" s="1"/>
  <c r="AX188" i="29"/>
  <c r="AX82" i="29"/>
  <c r="AW140" i="29"/>
  <c r="AP94" i="29"/>
  <c r="AM186" i="29"/>
  <c r="AF78" i="29"/>
  <c r="AO78" i="29" s="1"/>
  <c r="AF77" i="29"/>
  <c r="AF60" i="29"/>
  <c r="AO60" i="29" s="1"/>
  <c r="AN57" i="29"/>
  <c r="AA57" i="29"/>
  <c r="AS54" i="29"/>
  <c r="AS57" i="29" s="1"/>
  <c r="AF44" i="29"/>
  <c r="AO44" i="29" s="1"/>
  <c r="AS20" i="29"/>
  <c r="AS22" i="29" s="1"/>
  <c r="AA22" i="29"/>
  <c r="S186" i="29"/>
  <c r="V185" i="29" s="1"/>
  <c r="S184" i="29"/>
  <c r="Y184" i="29"/>
  <c r="V196" i="29"/>
  <c r="AB12" i="29"/>
  <c r="V13" i="29"/>
  <c r="AP12" i="29"/>
  <c r="AA12" i="29"/>
  <c r="Z12" i="29"/>
  <c r="AF67" i="29"/>
  <c r="AO67" i="29" s="1"/>
  <c r="AF69" i="29"/>
  <c r="Z71" i="29"/>
  <c r="Z62" i="29"/>
  <c r="AP62" i="29"/>
  <c r="AP64" i="29" s="1"/>
  <c r="AA62" i="29"/>
  <c r="V64" i="29"/>
  <c r="AB62" i="29"/>
  <c r="Z51" i="29"/>
  <c r="AP51" i="29"/>
  <c r="AP53" i="29" s="1"/>
  <c r="AA51" i="29"/>
  <c r="V53" i="29"/>
  <c r="AB51" i="29"/>
  <c r="Z34" i="29"/>
  <c r="AF32" i="29"/>
  <c r="AT46" i="29"/>
  <c r="AN31" i="29"/>
  <c r="AV29" i="29"/>
  <c r="AV31" i="29" s="1"/>
  <c r="AN193" i="29"/>
  <c r="AV15" i="29"/>
  <c r="AT57" i="29"/>
  <c r="AN34" i="29"/>
  <c r="AT26" i="29"/>
  <c r="AT28" i="29" s="1"/>
  <c r="AB28" i="29"/>
  <c r="AF96" i="29"/>
  <c r="AO96" i="29" s="1"/>
  <c r="AT68" i="29"/>
  <c r="AF36" i="29"/>
  <c r="AO36" i="29" s="1"/>
  <c r="AP193" i="29"/>
  <c r="AU187" i="29"/>
  <c r="AU16" i="29"/>
  <c r="AP50" i="29"/>
  <c r="AN25" i="29"/>
  <c r="AV23" i="29"/>
  <c r="AV25" i="29" s="1"/>
  <c r="AF81" i="29"/>
  <c r="AO81" i="29" s="1"/>
  <c r="AB61" i="29"/>
  <c r="AT58" i="29"/>
  <c r="AT61" i="29" s="1"/>
  <c r="AN28" i="29"/>
  <c r="Z16" i="29"/>
  <c r="AF14" i="29"/>
  <c r="AE184" i="29"/>
  <c r="AX187" i="29"/>
  <c r="AF30" i="29"/>
  <c r="AO30" i="29" s="1"/>
  <c r="AA182" i="29"/>
  <c r="AS176" i="29"/>
  <c r="AS182" i="29" s="1"/>
  <c r="AF176" i="29"/>
  <c r="AT160" i="29"/>
  <c r="AB166" i="29"/>
  <c r="AV148" i="29"/>
  <c r="AV151" i="29" s="1"/>
  <c r="AN151" i="29"/>
  <c r="AB170" i="29"/>
  <c r="V175" i="29"/>
  <c r="AP170" i="29"/>
  <c r="AP175" i="29" s="1"/>
  <c r="AA170" i="29"/>
  <c r="AA190" i="29" s="1"/>
  <c r="Z170" i="29"/>
  <c r="AN166" i="29"/>
  <c r="AV160" i="29"/>
  <c r="AV166" i="29" s="1"/>
  <c r="Z166" i="29"/>
  <c r="AF160" i="29"/>
  <c r="AN159" i="29"/>
  <c r="V156" i="29"/>
  <c r="Z152" i="29"/>
  <c r="AP152" i="29"/>
  <c r="AP156" i="29" s="1"/>
  <c r="AB152" i="29"/>
  <c r="AA152" i="29"/>
  <c r="AN147" i="29"/>
  <c r="AN175" i="29"/>
  <c r="AF134" i="29"/>
  <c r="AO134" i="29" s="1"/>
  <c r="AS134" i="29"/>
  <c r="AF171" i="29"/>
  <c r="AO171" i="29" s="1"/>
  <c r="AV125" i="29"/>
  <c r="AV130" i="29" s="1"/>
  <c r="AN130" i="29"/>
  <c r="AT182" i="29"/>
  <c r="AV118" i="29"/>
  <c r="AB190" i="29"/>
  <c r="AT161" i="29"/>
  <c r="V190" i="29"/>
  <c r="AF155" i="29"/>
  <c r="AO155" i="29" s="1"/>
  <c r="AF123" i="29"/>
  <c r="AO123" i="29" s="1"/>
  <c r="AF117" i="29"/>
  <c r="AO117" i="29" s="1"/>
  <c r="AP118" i="29"/>
  <c r="AB109" i="29"/>
  <c r="AB193" i="29" s="1"/>
  <c r="AA109" i="29"/>
  <c r="AS109" i="29" s="1"/>
  <c r="AP109" i="29"/>
  <c r="AP112" i="29" s="1"/>
  <c r="Z109" i="29"/>
  <c r="AV101" i="29"/>
  <c r="AV106" i="29" s="1"/>
  <c r="AN106" i="29"/>
  <c r="AT72" i="29"/>
  <c r="AT76" i="29" s="1"/>
  <c r="AB76" i="29"/>
  <c r="AA71" i="29"/>
  <c r="AS69" i="29"/>
  <c r="AS71" i="29" s="1"/>
  <c r="AA42" i="29"/>
  <c r="AS39" i="29"/>
  <c r="AS42" i="29" s="1"/>
  <c r="AT14" i="29"/>
  <c r="AB16" i="29"/>
  <c r="Z147" i="29"/>
  <c r="AX106" i="29"/>
  <c r="V100" i="29"/>
  <c r="Z95" i="29"/>
  <c r="AB95" i="29"/>
  <c r="AP95" i="29"/>
  <c r="AP100" i="29" s="1"/>
  <c r="AA95" i="29"/>
  <c r="V194" i="29"/>
  <c r="Z80" i="29"/>
  <c r="AB80" i="29"/>
  <c r="AP80" i="29"/>
  <c r="AP194" i="29" s="1"/>
  <c r="AA80" i="29"/>
  <c r="AV72" i="29"/>
  <c r="AV76" i="29" s="1"/>
  <c r="AN76" i="29"/>
  <c r="AA68" i="29"/>
  <c r="AS65" i="29"/>
  <c r="AS68" i="29" s="1"/>
  <c r="AN53" i="29"/>
  <c r="AV51" i="29"/>
  <c r="AV53" i="29" s="1"/>
  <c r="AF39" i="29"/>
  <c r="AP34" i="29"/>
  <c r="AM183" i="29"/>
  <c r="AF15" i="45" s="1"/>
  <c r="S183" i="29"/>
  <c r="V188" i="29"/>
  <c r="AN42" i="29"/>
  <c r="AV39" i="29"/>
  <c r="AV42" i="29" s="1"/>
  <c r="AL183" i="29"/>
  <c r="AE15" i="45" s="1"/>
  <c r="Z35" i="29"/>
  <c r="V38" i="29"/>
  <c r="AB35" i="29"/>
  <c r="AP35" i="29"/>
  <c r="AP38" i="29" s="1"/>
  <c r="AA35" i="29"/>
  <c r="AX193" i="29"/>
  <c r="AB57" i="29"/>
  <c r="AF45" i="29"/>
  <c r="AO45" i="29" s="1"/>
  <c r="Z28" i="29"/>
  <c r="AF26" i="29"/>
  <c r="AN19" i="29"/>
  <c r="AV17" i="29"/>
  <c r="AB71" i="29"/>
  <c r="AB68" i="29"/>
  <c r="V193" i="29"/>
  <c r="AE186" i="29"/>
  <c r="AF63" i="29"/>
  <c r="AO63" i="29" s="1"/>
  <c r="Z50" i="29"/>
  <c r="AF47" i="29"/>
  <c r="Z17" i="29"/>
  <c r="V19" i="29"/>
  <c r="AB17" i="29"/>
  <c r="AP17" i="29"/>
  <c r="AA17" i="29"/>
  <c r="AB94" i="29"/>
  <c r="AS58" i="29"/>
  <c r="AS61" i="29" s="1"/>
  <c r="AA61" i="29"/>
  <c r="AF56" i="29"/>
  <c r="AO56" i="29" s="1"/>
  <c r="AF40" i="29"/>
  <c r="AO40" i="29" s="1"/>
  <c r="AP16" i="29"/>
  <c r="AP182" i="29"/>
  <c r="AN182" i="29"/>
  <c r="AU190" i="29"/>
  <c r="AU166" i="29"/>
  <c r="Z182" i="29"/>
  <c r="AN156" i="29"/>
  <c r="AV152" i="29"/>
  <c r="AV156" i="29" s="1"/>
  <c r="AT151" i="29"/>
  <c r="AA147" i="29"/>
  <c r="AS141" i="29"/>
  <c r="AS147" i="29" s="1"/>
  <c r="AW195" i="29"/>
  <c r="AW132" i="29"/>
  <c r="AF172" i="29"/>
  <c r="AO172" i="29" s="1"/>
  <c r="AX147" i="29"/>
  <c r="AF145" i="29"/>
  <c r="AO145" i="29" s="1"/>
  <c r="Z195" i="29"/>
  <c r="Z132" i="29"/>
  <c r="AF131" i="29"/>
  <c r="AN118" i="29"/>
  <c r="Z190" i="29"/>
  <c r="AF161" i="29"/>
  <c r="AF158" i="29"/>
  <c r="AO158" i="29" s="1"/>
  <c r="Z130" i="29"/>
  <c r="AF125" i="29"/>
  <c r="AB119" i="29"/>
  <c r="V124" i="29"/>
  <c r="AP119" i="29"/>
  <c r="AP124" i="29" s="1"/>
  <c r="Z119" i="29"/>
  <c r="AA119" i="29"/>
  <c r="AO107" i="29"/>
  <c r="Z133" i="29"/>
  <c r="V140" i="29"/>
  <c r="AB133" i="29"/>
  <c r="AP133" i="29"/>
  <c r="AP140" i="29" s="1"/>
  <c r="AA133" i="29"/>
  <c r="V112" i="29"/>
  <c r="AT101" i="29"/>
  <c r="AT106" i="29" s="1"/>
  <c r="AB106" i="29"/>
  <c r="AF91" i="29"/>
  <c r="AO91" i="29" s="1"/>
  <c r="AS91" i="29"/>
  <c r="AS86" i="29"/>
  <c r="AF86" i="29"/>
  <c r="AO86" i="29" s="1"/>
  <c r="AF108" i="29"/>
  <c r="AO108" i="29" s="1"/>
  <c r="Z94" i="29"/>
  <c r="AF89" i="29"/>
  <c r="AV58" i="29"/>
  <c r="AV61" i="29" s="1"/>
  <c r="AN61" i="29"/>
  <c r="AV47" i="29"/>
  <c r="AV50" i="29" s="1"/>
  <c r="AN50" i="29"/>
  <c r="AT32" i="29"/>
  <c r="AT34" i="29" s="1"/>
  <c r="AB34" i="29"/>
  <c r="V187" i="29"/>
  <c r="AF141" i="29"/>
  <c r="AF97" i="29"/>
  <c r="AO97" i="29" s="1"/>
  <c r="AV95" i="29"/>
  <c r="AV100" i="29" s="1"/>
  <c r="AN100" i="29"/>
  <c r="AN194" i="29"/>
  <c r="AV80" i="29"/>
  <c r="AV194" i="29" s="1"/>
  <c r="Z76" i="29"/>
  <c r="AF72" i="29"/>
  <c r="AF55" i="29"/>
  <c r="AO55" i="29" s="1"/>
  <c r="AF49" i="29"/>
  <c r="AO49" i="29" s="1"/>
  <c r="AN46" i="29"/>
  <c r="AA46" i="29"/>
  <c r="AS43" i="29"/>
  <c r="AS46" i="29" s="1"/>
  <c r="AS32" i="29"/>
  <c r="AS34" i="29" s="1"/>
  <c r="AA34" i="29"/>
  <c r="AL186" i="29"/>
  <c r="AU196" i="29"/>
  <c r="AU13" i="29"/>
  <c r="AA82" i="29"/>
  <c r="AS77" i="29"/>
  <c r="AA76" i="29"/>
  <c r="AS72" i="29"/>
  <c r="AS76" i="29" s="1"/>
  <c r="AS106" i="29"/>
  <c r="AF92" i="29"/>
  <c r="AO92" i="29" s="1"/>
  <c r="AF87" i="29"/>
  <c r="AO87" i="29" s="1"/>
  <c r="AF74" i="29"/>
  <c r="AO74" i="29" s="1"/>
  <c r="AF65" i="29"/>
  <c r="Z68" i="29"/>
  <c r="AF59" i="29"/>
  <c r="AO59" i="29" s="1"/>
  <c r="Z57" i="29"/>
  <c r="AF54" i="29"/>
  <c r="AF48" i="29"/>
  <c r="AO48" i="29" s="1"/>
  <c r="Z46" i="29"/>
  <c r="AF43" i="29"/>
  <c r="AF37" i="29"/>
  <c r="AO37" i="29" s="1"/>
  <c r="AM184" i="29"/>
  <c r="AV35" i="29"/>
  <c r="AV38" i="29" s="1"/>
  <c r="AN38" i="29"/>
  <c r="Z29" i="29"/>
  <c r="V31" i="29"/>
  <c r="AB29" i="29"/>
  <c r="AP29" i="29"/>
  <c r="AP31" i="29" s="1"/>
  <c r="AA29" i="29"/>
  <c r="AL184" i="29"/>
  <c r="AS26" i="29"/>
  <c r="AS28" i="29" s="1"/>
  <c r="AA28" i="29"/>
  <c r="Z23" i="29"/>
  <c r="V25" i="29"/>
  <c r="AB23" i="29"/>
  <c r="AP23" i="29"/>
  <c r="AP25" i="29" s="1"/>
  <c r="AA23" i="29"/>
  <c r="AT71" i="29"/>
  <c r="Z193" i="29"/>
  <c r="AF15" i="29"/>
  <c r="AT94" i="29"/>
  <c r="AP61" i="29"/>
  <c r="AF41" i="29"/>
  <c r="AO41" i="29" s="1"/>
  <c r="AN22" i="29"/>
  <c r="AN16" i="29"/>
  <c r="AQ187" i="29"/>
  <c r="AQ186" i="29" s="1"/>
  <c r="AQ16" i="29"/>
  <c r="AF24" i="29"/>
  <c r="AO24" i="29" s="1"/>
  <c r="AN302" i="32" l="1"/>
  <c r="AA148" i="32"/>
  <c r="AS311" i="32"/>
  <c r="AB304" i="32"/>
  <c r="AA305" i="32"/>
  <c r="AA283" i="32"/>
  <c r="AF137" i="32"/>
  <c r="AO137" i="32" s="1"/>
  <c r="AF252" i="32"/>
  <c r="AO252" i="32" s="1"/>
  <c r="AB148" i="32"/>
  <c r="AT298" i="32"/>
  <c r="AT299" i="32" s="1"/>
  <c r="AB299" i="32"/>
  <c r="AW183" i="29"/>
  <c r="AP15" i="45" s="1"/>
  <c r="AT47" i="29"/>
  <c r="AT50" i="29" s="1"/>
  <c r="AA187" i="29"/>
  <c r="AF52" i="29"/>
  <c r="AO52" i="29" s="1"/>
  <c r="AP305" i="32"/>
  <c r="AN301" i="32"/>
  <c r="AE18" i="45"/>
  <c r="V301" i="32"/>
  <c r="L18" i="45"/>
  <c r="AW300" i="32"/>
  <c r="AT162" i="32"/>
  <c r="AV307" i="32"/>
  <c r="AV17" i="32"/>
  <c r="AS148" i="32"/>
  <c r="AV118" i="32"/>
  <c r="AX300" i="32"/>
  <c r="AQ18" i="45" s="1"/>
  <c r="AS142" i="32"/>
  <c r="AV304" i="32"/>
  <c r="AU300" i="32"/>
  <c r="AN18" i="45" s="1"/>
  <c r="AX303" i="32"/>
  <c r="AS219" i="32"/>
  <c r="AW76" i="31"/>
  <c r="AP78" i="31"/>
  <c r="AU76" i="31"/>
  <c r="AU101" i="30"/>
  <c r="V98" i="30"/>
  <c r="AS109" i="30"/>
  <c r="AW101" i="30"/>
  <c r="AX101" i="30"/>
  <c r="AS60" i="30"/>
  <c r="AQ101" i="30"/>
  <c r="AX98" i="30"/>
  <c r="AQ16" i="45" s="1"/>
  <c r="AW186" i="29"/>
  <c r="AT166" i="29"/>
  <c r="V184" i="29"/>
  <c r="L15" i="45"/>
  <c r="Z187" i="29"/>
  <c r="V186" i="29"/>
  <c r="Z185" i="29" s="1"/>
  <c r="AX186" i="29"/>
  <c r="AX183" i="29"/>
  <c r="AQ15" i="45" s="1"/>
  <c r="AU183" i="29"/>
  <c r="AN15" i="45" s="1"/>
  <c r="AP82" i="29"/>
  <c r="AN100" i="30"/>
  <c r="AS107" i="32"/>
  <c r="Z43" i="32"/>
  <c r="AF42" i="32"/>
  <c r="AB43" i="32"/>
  <c r="AT42" i="32"/>
  <c r="AT43" i="32" s="1"/>
  <c r="AS23" i="32"/>
  <c r="AS27" i="32" s="1"/>
  <c r="AA27" i="32"/>
  <c r="AN300" i="32"/>
  <c r="AG18" i="45" s="1"/>
  <c r="AQ303" i="32"/>
  <c r="AF186" i="32"/>
  <c r="AO183" i="32"/>
  <c r="AO186" i="32" s="1"/>
  <c r="AB310" i="32"/>
  <c r="AT16" i="32"/>
  <c r="AT310" i="32" s="1"/>
  <c r="V300" i="32"/>
  <c r="AU303" i="32"/>
  <c r="AT148" i="32"/>
  <c r="AF70" i="32"/>
  <c r="AO64" i="32"/>
  <c r="AO70" i="32" s="1"/>
  <c r="AB128" i="32"/>
  <c r="AT123" i="32"/>
  <c r="AT128" i="32" s="1"/>
  <c r="AQ300" i="32"/>
  <c r="AJ18" i="45" s="1"/>
  <c r="AS18" i="32"/>
  <c r="AS22" i="32" s="1"/>
  <c r="AA22" i="32"/>
  <c r="AF122" i="32"/>
  <c r="AO119" i="32"/>
  <c r="AO122" i="32" s="1"/>
  <c r="AB17" i="32"/>
  <c r="Z76" i="32"/>
  <c r="AF71" i="32"/>
  <c r="AB76" i="32"/>
  <c r="AT71" i="32"/>
  <c r="AT76" i="32" s="1"/>
  <c r="AF306" i="32"/>
  <c r="AO97" i="32"/>
  <c r="AO306" i="32" s="1"/>
  <c r="AT107" i="32"/>
  <c r="AF239" i="32"/>
  <c r="AO233" i="32"/>
  <c r="AO239" i="32" s="1"/>
  <c r="AB307" i="32"/>
  <c r="AT113" i="32"/>
  <c r="AB118" i="32"/>
  <c r="AA221" i="32"/>
  <c r="AS220" i="32"/>
  <c r="AS221" i="32" s="1"/>
  <c r="AF232" i="32"/>
  <c r="AO226" i="32"/>
  <c r="AO232" i="32" s="1"/>
  <c r="Z135" i="32"/>
  <c r="AF129" i="32"/>
  <c r="AT149" i="32"/>
  <c r="AT155" i="32" s="1"/>
  <c r="AB155" i="32"/>
  <c r="AA203" i="32"/>
  <c r="AS198" i="32"/>
  <c r="AS203" i="32" s="1"/>
  <c r="AO261" i="32"/>
  <c r="AO263" i="32" s="1"/>
  <c r="AF263" i="32"/>
  <c r="AF243" i="32"/>
  <c r="AO240" i="32"/>
  <c r="AO243" i="32" s="1"/>
  <c r="AP269" i="32"/>
  <c r="AF162" i="32"/>
  <c r="AO156" i="32"/>
  <c r="AO162" i="32" s="1"/>
  <c r="AB169" i="32"/>
  <c r="AT163" i="32"/>
  <c r="AT169" i="32" s="1"/>
  <c r="AF284" i="32"/>
  <c r="Z290" i="32"/>
  <c r="AA297" i="32"/>
  <c r="AS291" i="32"/>
  <c r="AS297" i="32" s="1"/>
  <c r="AF41" i="32"/>
  <c r="AO38" i="32"/>
  <c r="AO41" i="32" s="1"/>
  <c r="AA43" i="32"/>
  <c r="AS42" i="32"/>
  <c r="AS43" i="32" s="1"/>
  <c r="AV312" i="32"/>
  <c r="AV107" i="32"/>
  <c r="Z27" i="32"/>
  <c r="AF23" i="32"/>
  <c r="AA31" i="32"/>
  <c r="AS28" i="32"/>
  <c r="AS31" i="32" s="1"/>
  <c r="Z37" i="32"/>
  <c r="AF35" i="32"/>
  <c r="AO145" i="32"/>
  <c r="AA310" i="32"/>
  <c r="AS16" i="32"/>
  <c r="Z309" i="32"/>
  <c r="AF99" i="32"/>
  <c r="AF105" i="32" s="1"/>
  <c r="Z105" i="32"/>
  <c r="Z313" i="32"/>
  <c r="AF12" i="32"/>
  <c r="Z13" i="32"/>
  <c r="AB89" i="32"/>
  <c r="AT84" i="32"/>
  <c r="AT89" i="32" s="1"/>
  <c r="AS123" i="32"/>
  <c r="AS128" i="32" s="1"/>
  <c r="AA128" i="32"/>
  <c r="AF123" i="32"/>
  <c r="Z128" i="32"/>
  <c r="Z304" i="32"/>
  <c r="AT108" i="32"/>
  <c r="AT111" i="32" s="1"/>
  <c r="AB111" i="32"/>
  <c r="AA304" i="32"/>
  <c r="Z22" i="32"/>
  <c r="AF18" i="32"/>
  <c r="AF63" i="32"/>
  <c r="AO57" i="32"/>
  <c r="AO63" i="32" s="1"/>
  <c r="AV305" i="32"/>
  <c r="AV50" i="32"/>
  <c r="AP105" i="32"/>
  <c r="AA76" i="32"/>
  <c r="AS71" i="32"/>
  <c r="AS76" i="32" s="1"/>
  <c r="AA95" i="32"/>
  <c r="AS90" i="32"/>
  <c r="AS95" i="32" s="1"/>
  <c r="Z307" i="32"/>
  <c r="AF113" i="32"/>
  <c r="AF118" i="32" s="1"/>
  <c r="AA135" i="32"/>
  <c r="AS129" i="32"/>
  <c r="AS135" i="32" s="1"/>
  <c r="Z155" i="32"/>
  <c r="AF149" i="32"/>
  <c r="Z193" i="32"/>
  <c r="AF187" i="32"/>
  <c r="AT283" i="32"/>
  <c r="AF267" i="32"/>
  <c r="AO267" i="32" s="1"/>
  <c r="AF281" i="32"/>
  <c r="AO281" i="32" s="1"/>
  <c r="AT137" i="32"/>
  <c r="AT142" i="32" s="1"/>
  <c r="AB142" i="32"/>
  <c r="AT214" i="32"/>
  <c r="AT219" i="32" s="1"/>
  <c r="AB219" i="32"/>
  <c r="AF214" i="32"/>
  <c r="AO214" i="32" s="1"/>
  <c r="Z169" i="32"/>
  <c r="AF163" i="32"/>
  <c r="AB290" i="32"/>
  <c r="AT284" i="32"/>
  <c r="AT290" i="32" s="1"/>
  <c r="AA269" i="32"/>
  <c r="AB297" i="32"/>
  <c r="AT291" i="32"/>
  <c r="AT297" i="32" s="1"/>
  <c r="AW303" i="32"/>
  <c r="AV105" i="32"/>
  <c r="AT23" i="32"/>
  <c r="AT27" i="32" s="1"/>
  <c r="AB27" i="32"/>
  <c r="AA37" i="32"/>
  <c r="AS35" i="32"/>
  <c r="AS37" i="32" s="1"/>
  <c r="Z144" i="32"/>
  <c r="AF143" i="32"/>
  <c r="AB144" i="32"/>
  <c r="AT143" i="32"/>
  <c r="AT144" i="32" s="1"/>
  <c r="AF197" i="32"/>
  <c r="AO194" i="32"/>
  <c r="AO197" i="32" s="1"/>
  <c r="AP310" i="32"/>
  <c r="AP17" i="32"/>
  <c r="AA309" i="32"/>
  <c r="AS99" i="32"/>
  <c r="AS309" i="32" s="1"/>
  <c r="AA313" i="32"/>
  <c r="AA13" i="32"/>
  <c r="AS12" i="32"/>
  <c r="AB313" i="32"/>
  <c r="AB13" i="32"/>
  <c r="AT12" i="32"/>
  <c r="AS84" i="32"/>
  <c r="AS89" i="32" s="1"/>
  <c r="AA89" i="32"/>
  <c r="AF84" i="32"/>
  <c r="Z89" i="32"/>
  <c r="AS50" i="32"/>
  <c r="AO136" i="32"/>
  <c r="AB22" i="32"/>
  <c r="AT18" i="32"/>
  <c r="AT22" i="32" s="1"/>
  <c r="AB56" i="32"/>
  <c r="AT51" i="32"/>
  <c r="AB305" i="32"/>
  <c r="AF176" i="32"/>
  <c r="AO170" i="32"/>
  <c r="AO176" i="32" s="1"/>
  <c r="AA307" i="32"/>
  <c r="AS113" i="32"/>
  <c r="AS307" i="32" s="1"/>
  <c r="AA155" i="32"/>
  <c r="AS149" i="32"/>
  <c r="AS155" i="32" s="1"/>
  <c r="Z182" i="32"/>
  <c r="AF177" i="32"/>
  <c r="AT187" i="32"/>
  <c r="AT193" i="32" s="1"/>
  <c r="AB193" i="32"/>
  <c r="AB283" i="32"/>
  <c r="AO204" i="32"/>
  <c r="AO212" i="32" s="1"/>
  <c r="AF212" i="32"/>
  <c r="AS283" i="32"/>
  <c r="AA169" i="32"/>
  <c r="AS163" i="32"/>
  <c r="AS169" i="32" s="1"/>
  <c r="AS269" i="32"/>
  <c r="AF291" i="32"/>
  <c r="Z297" i="32"/>
  <c r="AF250" i="32"/>
  <c r="AN303" i="32"/>
  <c r="AO45" i="32"/>
  <c r="AF50" i="32"/>
  <c r="AO44" i="32"/>
  <c r="AT50" i="32"/>
  <c r="AB31" i="32"/>
  <c r="AT28" i="32"/>
  <c r="AT31" i="32" s="1"/>
  <c r="AF28" i="32"/>
  <c r="Z31" i="32"/>
  <c r="AB37" i="32"/>
  <c r="AT35" i="32"/>
  <c r="AT37" i="32" s="1"/>
  <c r="AV313" i="32"/>
  <c r="AV13" i="32"/>
  <c r="AF83" i="32"/>
  <c r="AO77" i="32"/>
  <c r="AO83" i="32" s="1"/>
  <c r="AO106" i="32"/>
  <c r="AF107" i="32"/>
  <c r="AO112" i="32"/>
  <c r="AA144" i="32"/>
  <c r="AS143" i="32"/>
  <c r="AS144" i="32" s="1"/>
  <c r="Z310" i="32"/>
  <c r="AF16" i="32"/>
  <c r="AB309" i="32"/>
  <c r="AT99" i="32"/>
  <c r="AP313" i="32"/>
  <c r="AP13" i="32"/>
  <c r="AF147" i="32"/>
  <c r="AO147" i="32" s="1"/>
  <c r="AO14" i="32"/>
  <c r="AA111" i="32"/>
  <c r="AS108" i="32"/>
  <c r="AS111" i="32" s="1"/>
  <c r="AF108" i="32"/>
  <c r="Z111" i="32"/>
  <c r="AS17" i="32"/>
  <c r="AP22" i="32"/>
  <c r="AP304" i="32"/>
  <c r="AF34" i="32"/>
  <c r="AO32" i="32"/>
  <c r="AO34" i="32" s="1"/>
  <c r="AS51" i="32"/>
  <c r="AS56" i="32" s="1"/>
  <c r="AA56" i="32"/>
  <c r="AF51" i="32"/>
  <c r="Z56" i="32"/>
  <c r="AO48" i="32"/>
  <c r="AP312" i="32"/>
  <c r="Z95" i="32"/>
  <c r="AF90" i="32"/>
  <c r="AB95" i="32"/>
  <c r="AT90" i="32"/>
  <c r="AT95" i="32" s="1"/>
  <c r="AF225" i="32"/>
  <c r="AO222" i="32"/>
  <c r="AO225" i="32" s="1"/>
  <c r="AF253" i="32"/>
  <c r="AO251" i="32"/>
  <c r="AO253" i="32" s="1"/>
  <c r="AP307" i="32"/>
  <c r="AF276" i="32"/>
  <c r="AO270" i="32"/>
  <c r="AO276" i="32" s="1"/>
  <c r="Z221" i="32"/>
  <c r="AF220" i="32"/>
  <c r="AB221" i="32"/>
  <c r="AT220" i="32"/>
  <c r="AT221" i="32" s="1"/>
  <c r="V303" i="32"/>
  <c r="Z302" i="32" s="1"/>
  <c r="AT129" i="32"/>
  <c r="AT135" i="32" s="1"/>
  <c r="AB135" i="32"/>
  <c r="AA182" i="32"/>
  <c r="AS177" i="32"/>
  <c r="AS182" i="32" s="1"/>
  <c r="AB182" i="32"/>
  <c r="AT177" i="32"/>
  <c r="AT182" i="32" s="1"/>
  <c r="AA193" i="32"/>
  <c r="AS187" i="32"/>
  <c r="AS193" i="32" s="1"/>
  <c r="AO213" i="32"/>
  <c r="Z203" i="32"/>
  <c r="AF198" i="32"/>
  <c r="AT198" i="32"/>
  <c r="AT203" i="32" s="1"/>
  <c r="AB203" i="32"/>
  <c r="AO254" i="32"/>
  <c r="AO260" i="32" s="1"/>
  <c r="AF260" i="32"/>
  <c r="AO298" i="32"/>
  <c r="AO299" i="32" s="1"/>
  <c r="AF299" i="32"/>
  <c r="AT267" i="32"/>
  <c r="AT269" i="32" s="1"/>
  <c r="AB269" i="32"/>
  <c r="AO264" i="32"/>
  <c r="Z162" i="32"/>
  <c r="AS284" i="32"/>
  <c r="AS290" i="32" s="1"/>
  <c r="AA290" i="32"/>
  <c r="AO277" i="32"/>
  <c r="AO250" i="32"/>
  <c r="AN73" i="31"/>
  <c r="AG17" i="45" s="1"/>
  <c r="AF42" i="31"/>
  <c r="AO40" i="31"/>
  <c r="AO42" i="31" s="1"/>
  <c r="AP80" i="31"/>
  <c r="AP47" i="31"/>
  <c r="AF72" i="31"/>
  <c r="AO67" i="31"/>
  <c r="AO72" i="31" s="1"/>
  <c r="AO52" i="31"/>
  <c r="AF86" i="31"/>
  <c r="AF24" i="31"/>
  <c r="AO23" i="31"/>
  <c r="AN76" i="31"/>
  <c r="AF66" i="31"/>
  <c r="AO64" i="31"/>
  <c r="AO66" i="31" s="1"/>
  <c r="AF83" i="31"/>
  <c r="AO14" i="31"/>
  <c r="AO83" i="31" s="1"/>
  <c r="AA77" i="31"/>
  <c r="AA15" i="31"/>
  <c r="AS12" i="31"/>
  <c r="V76" i="31"/>
  <c r="Z75" i="31" s="1"/>
  <c r="AA78" i="31"/>
  <c r="AS84" i="31"/>
  <c r="AF63" i="31"/>
  <c r="AO57" i="31"/>
  <c r="AO63" i="31" s="1"/>
  <c r="AF31" i="31"/>
  <c r="AO25" i="31"/>
  <c r="Z77" i="31"/>
  <c r="Z15" i="31"/>
  <c r="AF12" i="31"/>
  <c r="AB77" i="31"/>
  <c r="AB15" i="31"/>
  <c r="AT12" i="31"/>
  <c r="AS31" i="31"/>
  <c r="AS86" i="31"/>
  <c r="AS24" i="31"/>
  <c r="AF51" i="31"/>
  <c r="AO48" i="31"/>
  <c r="AO51" i="31" s="1"/>
  <c r="AV85" i="31"/>
  <c r="AV39" i="31"/>
  <c r="AF85" i="31"/>
  <c r="AO38" i="31"/>
  <c r="AF39" i="31"/>
  <c r="AP31" i="31"/>
  <c r="AA80" i="31"/>
  <c r="AA47" i="31"/>
  <c r="AS43" i="31"/>
  <c r="AB80" i="31"/>
  <c r="AB47" i="31"/>
  <c r="AT43" i="31"/>
  <c r="Z18" i="31"/>
  <c r="AF16" i="31"/>
  <c r="AF84" i="31"/>
  <c r="AO29" i="31"/>
  <c r="AO84" i="31" s="1"/>
  <c r="AF32" i="31"/>
  <c r="AF78" i="31" s="1"/>
  <c r="Z37" i="31"/>
  <c r="AS85" i="31"/>
  <c r="AS39" i="31"/>
  <c r="AT56" i="31"/>
  <c r="AF22" i="31"/>
  <c r="AO19" i="31"/>
  <c r="AO22" i="31" s="1"/>
  <c r="AP77" i="31"/>
  <c r="AP15" i="31"/>
  <c r="AX76" i="31"/>
  <c r="Z78" i="31"/>
  <c r="Z80" i="31"/>
  <c r="AF43" i="31"/>
  <c r="Z47" i="31"/>
  <c r="AV78" i="31"/>
  <c r="AV31" i="31"/>
  <c r="AV73" i="31" s="1"/>
  <c r="AO17" i="45" s="1"/>
  <c r="AT16" i="31"/>
  <c r="AT18" i="31" s="1"/>
  <c r="AB18" i="31"/>
  <c r="AS53" i="31"/>
  <c r="AS56" i="31" s="1"/>
  <c r="AA56" i="31"/>
  <c r="AA37" i="31"/>
  <c r="AS32" i="31"/>
  <c r="AS37" i="31" s="1"/>
  <c r="AB37" i="31"/>
  <c r="AT32" i="31"/>
  <c r="AT37" i="31" s="1"/>
  <c r="AQ73" i="31"/>
  <c r="AJ17" i="45" s="1"/>
  <c r="AV74" i="31"/>
  <c r="AA18" i="31"/>
  <c r="AS16" i="31"/>
  <c r="AS18" i="31" s="1"/>
  <c r="AT26" i="31"/>
  <c r="AB78" i="31"/>
  <c r="AB31" i="31"/>
  <c r="AF53" i="31"/>
  <c r="AO53" i="31" s="1"/>
  <c r="AB56" i="31"/>
  <c r="AN74" i="31"/>
  <c r="V73" i="31"/>
  <c r="AA31" i="31"/>
  <c r="AU73" i="31"/>
  <c r="AN17" i="45" s="1"/>
  <c r="AT86" i="31"/>
  <c r="AT24" i="31"/>
  <c r="AV77" i="31"/>
  <c r="AB103" i="30"/>
  <c r="AB23" i="30"/>
  <c r="AT18" i="30"/>
  <c r="AO54" i="30"/>
  <c r="AP105" i="30"/>
  <c r="AN98" i="30"/>
  <c r="AG16" i="45" s="1"/>
  <c r="AB110" i="30"/>
  <c r="AB30" i="30"/>
  <c r="AT29" i="30"/>
  <c r="AF28" i="30"/>
  <c r="AO24" i="30"/>
  <c r="AO28" i="30" s="1"/>
  <c r="AQ98" i="30"/>
  <c r="AJ16" i="45" s="1"/>
  <c r="AS84" i="30"/>
  <c r="AS90" i="30" s="1"/>
  <c r="AA90" i="30"/>
  <c r="AF84" i="30"/>
  <c r="Z90" i="30"/>
  <c r="AF97" i="30"/>
  <c r="AO91" i="30"/>
  <c r="AO97" i="30" s="1"/>
  <c r="AA53" i="30"/>
  <c r="AS48" i="30"/>
  <c r="AS53" i="30" s="1"/>
  <c r="AT48" i="30"/>
  <c r="AT53" i="30" s="1"/>
  <c r="AB53" i="30"/>
  <c r="AF55" i="30"/>
  <c r="AO55" i="30" s="1"/>
  <c r="Z105" i="30"/>
  <c r="AA103" i="30"/>
  <c r="AS18" i="30"/>
  <c r="AA23" i="30"/>
  <c r="Z103" i="30"/>
  <c r="AF18" i="30"/>
  <c r="Z23" i="30"/>
  <c r="AS65" i="30"/>
  <c r="AS70" i="30" s="1"/>
  <c r="AA70" i="30"/>
  <c r="AF65" i="30"/>
  <c r="Z70" i="30"/>
  <c r="AF47" i="30"/>
  <c r="AO44" i="30"/>
  <c r="AO47" i="30" s="1"/>
  <c r="AA102" i="30"/>
  <c r="AA15" i="30"/>
  <c r="AS12" i="30"/>
  <c r="Z102" i="30"/>
  <c r="AF12" i="30"/>
  <c r="Z15" i="30"/>
  <c r="AF33" i="30"/>
  <c r="AO33" i="30" s="1"/>
  <c r="AO37" i="30"/>
  <c r="AO43" i="30" s="1"/>
  <c r="AF43" i="30"/>
  <c r="AS111" i="30"/>
  <c r="AS17" i="30"/>
  <c r="AS36" i="30"/>
  <c r="AT108" i="30"/>
  <c r="AS62" i="30"/>
  <c r="AS64" i="30" s="1"/>
  <c r="AA64" i="30"/>
  <c r="AO71" i="30"/>
  <c r="AO73" i="30" s="1"/>
  <c r="AF73" i="30"/>
  <c r="AN101" i="30"/>
  <c r="Z110" i="30"/>
  <c r="Z30" i="30"/>
  <c r="AF29" i="30"/>
  <c r="AF109" i="30"/>
  <c r="AO20" i="30"/>
  <c r="AO109" i="30" s="1"/>
  <c r="AN99" i="30"/>
  <c r="AF80" i="30"/>
  <c r="Z83" i="30"/>
  <c r="AT55" i="30"/>
  <c r="AT60" i="30" s="1"/>
  <c r="AB60" i="30"/>
  <c r="AF108" i="30"/>
  <c r="AO14" i="30"/>
  <c r="AP103" i="30"/>
  <c r="AP23" i="30"/>
  <c r="AV110" i="30"/>
  <c r="AV30" i="30"/>
  <c r="AT64" i="30"/>
  <c r="AP102" i="30"/>
  <c r="AP15" i="30"/>
  <c r="V101" i="30"/>
  <c r="Z100" i="30" s="1"/>
  <c r="AB36" i="30"/>
  <c r="AB108" i="30"/>
  <c r="AF62" i="30"/>
  <c r="Z64" i="30"/>
  <c r="AV102" i="30"/>
  <c r="AV15" i="30"/>
  <c r="AF111" i="30"/>
  <c r="AF17" i="30"/>
  <c r="AO16" i="30"/>
  <c r="AS108" i="30"/>
  <c r="AP36" i="30"/>
  <c r="AV105" i="30"/>
  <c r="AV36" i="30"/>
  <c r="AB90" i="30"/>
  <c r="AT84" i="30"/>
  <c r="AT90" i="30" s="1"/>
  <c r="AF48" i="30"/>
  <c r="Z53" i="30"/>
  <c r="AV103" i="30"/>
  <c r="AV23" i="30"/>
  <c r="Z60" i="30"/>
  <c r="AB70" i="30"/>
  <c r="AT65" i="30"/>
  <c r="AT70" i="30" s="1"/>
  <c r="AO31" i="30"/>
  <c r="AF36" i="30"/>
  <c r="AF79" i="30"/>
  <c r="AO74" i="30"/>
  <c r="AO79" i="30" s="1"/>
  <c r="AB64" i="30"/>
  <c r="AB102" i="30"/>
  <c r="AB15" i="30"/>
  <c r="AT12" i="30"/>
  <c r="AW98" i="30"/>
  <c r="AF105" i="30"/>
  <c r="AO32" i="30"/>
  <c r="AV111" i="30"/>
  <c r="AV17" i="30"/>
  <c r="AP110" i="30"/>
  <c r="AP30" i="30"/>
  <c r="AA110" i="30"/>
  <c r="AS29" i="30"/>
  <c r="AA30" i="30"/>
  <c r="AA108" i="30"/>
  <c r="AA83" i="30"/>
  <c r="AS80" i="30"/>
  <c r="AS83" i="30" s="1"/>
  <c r="AB83" i="30"/>
  <c r="AT80" i="30"/>
  <c r="AT83" i="30" s="1"/>
  <c r="AB105" i="30"/>
  <c r="AA105" i="30"/>
  <c r="AN185" i="29"/>
  <c r="AV184" i="29"/>
  <c r="AS29" i="29"/>
  <c r="AS31" i="29" s="1"/>
  <c r="AA31" i="29"/>
  <c r="AF57" i="29"/>
  <c r="AO54" i="29"/>
  <c r="AO57" i="29" s="1"/>
  <c r="AF76" i="29"/>
  <c r="AO72" i="29"/>
  <c r="AO76" i="29" s="1"/>
  <c r="AB38" i="29"/>
  <c r="AT35" i="29"/>
  <c r="AT38" i="29" s="1"/>
  <c r="AB194" i="29"/>
  <c r="AT80" i="29"/>
  <c r="AT194" i="29" s="1"/>
  <c r="AB64" i="29"/>
  <c r="AT62" i="29"/>
  <c r="AT64" i="29" s="1"/>
  <c r="AF62" i="29"/>
  <c r="Z64" i="29"/>
  <c r="V183" i="29"/>
  <c r="AA88" i="29"/>
  <c r="AS83" i="29"/>
  <c r="AS88" i="29" s="1"/>
  <c r="AV196" i="29"/>
  <c r="AV13" i="29"/>
  <c r="AO15" i="29"/>
  <c r="AF46" i="29"/>
  <c r="AO43" i="29"/>
  <c r="AO46" i="29" s="1"/>
  <c r="AA188" i="29"/>
  <c r="AA140" i="29"/>
  <c r="AS133" i="29"/>
  <c r="AS140" i="29" s="1"/>
  <c r="AF133" i="29"/>
  <c r="Z140" i="29"/>
  <c r="Z124" i="29"/>
  <c r="AF119" i="29"/>
  <c r="AO125" i="29"/>
  <c r="AO130" i="29" s="1"/>
  <c r="AF130" i="29"/>
  <c r="AB19" i="29"/>
  <c r="AT17" i="29"/>
  <c r="AT19" i="29" s="1"/>
  <c r="AF28" i="29"/>
  <c r="AO26" i="29"/>
  <c r="AO28" i="29" s="1"/>
  <c r="Z194" i="29"/>
  <c r="AF80" i="29"/>
  <c r="AB100" i="29"/>
  <c r="AT95" i="29"/>
  <c r="AT100" i="29" s="1"/>
  <c r="AF109" i="29"/>
  <c r="AO109" i="29" s="1"/>
  <c r="AO112" i="29" s="1"/>
  <c r="Z112" i="29"/>
  <c r="AS152" i="29"/>
  <c r="AS156" i="29" s="1"/>
  <c r="AA156" i="29"/>
  <c r="AF34" i="29"/>
  <c r="AO32" i="29"/>
  <c r="AO34" i="29" s="1"/>
  <c r="AS51" i="29"/>
  <c r="AS53" i="29" s="1"/>
  <c r="AA53" i="29"/>
  <c r="Z196" i="29"/>
  <c r="Z13" i="29"/>
  <c r="AF12" i="29"/>
  <c r="AB196" i="29"/>
  <c r="AB13" i="29"/>
  <c r="AT12" i="29"/>
  <c r="AF82" i="29"/>
  <c r="AO77" i="29"/>
  <c r="AF118" i="29"/>
  <c r="AO113" i="29"/>
  <c r="AO118" i="29" s="1"/>
  <c r="AB169" i="29"/>
  <c r="AT167" i="29"/>
  <c r="AT169" i="29" s="1"/>
  <c r="AO58" i="29"/>
  <c r="AO61" i="29" s="1"/>
  <c r="AF61" i="29"/>
  <c r="AP188" i="29"/>
  <c r="AN183" i="29"/>
  <c r="AG15" i="45" s="1"/>
  <c r="AS157" i="29"/>
  <c r="AS159" i="29" s="1"/>
  <c r="AA159" i="29"/>
  <c r="AA124" i="29"/>
  <c r="AS119" i="29"/>
  <c r="AS124" i="29" s="1"/>
  <c r="AT119" i="29"/>
  <c r="AT124" i="29" s="1"/>
  <c r="AB124" i="29"/>
  <c r="AO161" i="29"/>
  <c r="AP19" i="29"/>
  <c r="AP187" i="29"/>
  <c r="AO47" i="29"/>
  <c r="AO50" i="29" s="1"/>
  <c r="AF50" i="29"/>
  <c r="AB187" i="29"/>
  <c r="AT109" i="29"/>
  <c r="AB112" i="29"/>
  <c r="Z156" i="29"/>
  <c r="AF152" i="29"/>
  <c r="AA175" i="29"/>
  <c r="AS170" i="29"/>
  <c r="AS175" i="29" s="1"/>
  <c r="AF182" i="29"/>
  <c r="AO176" i="29"/>
  <c r="AO182" i="29" s="1"/>
  <c r="AF151" i="29"/>
  <c r="AO148" i="29"/>
  <c r="AO151" i="29" s="1"/>
  <c r="AF167" i="29"/>
  <c r="Z169" i="29"/>
  <c r="AB188" i="29"/>
  <c r="AB159" i="29"/>
  <c r="AT157" i="29"/>
  <c r="AT159" i="29" s="1"/>
  <c r="AS195" i="29"/>
  <c r="AS132" i="29"/>
  <c r="AB25" i="29"/>
  <c r="AT23" i="29"/>
  <c r="AT25" i="29" s="1"/>
  <c r="AB31" i="29"/>
  <c r="AT29" i="29"/>
  <c r="AT31" i="29" s="1"/>
  <c r="AA38" i="29"/>
  <c r="AS35" i="29"/>
  <c r="AS38" i="29" s="1"/>
  <c r="AF35" i="29"/>
  <c r="Z38" i="29"/>
  <c r="AA194" i="29"/>
  <c r="AS80" i="29"/>
  <c r="AS194" i="29" s="1"/>
  <c r="Z100" i="29"/>
  <c r="AF95" i="29"/>
  <c r="AT152" i="29"/>
  <c r="AT156" i="29" s="1"/>
  <c r="AB156" i="29"/>
  <c r="AF16" i="29"/>
  <c r="AO14" i="29"/>
  <c r="AU186" i="29"/>
  <c r="AS62" i="29"/>
  <c r="AS64" i="29" s="1"/>
  <c r="AA64" i="29"/>
  <c r="AO69" i="29"/>
  <c r="AO71" i="29" s="1"/>
  <c r="AF71" i="29"/>
  <c r="AA196" i="29"/>
  <c r="AA13" i="29"/>
  <c r="AS12" i="29"/>
  <c r="Z82" i="29"/>
  <c r="AA112" i="29"/>
  <c r="AP190" i="29"/>
  <c r="AN186" i="29"/>
  <c r="AS193" i="29"/>
  <c r="AT82" i="29"/>
  <c r="AS94" i="29"/>
  <c r="AF106" i="29"/>
  <c r="AS166" i="29"/>
  <c r="AS23" i="29"/>
  <c r="AS25" i="29" s="1"/>
  <c r="AA25" i="29"/>
  <c r="AF23" i="29"/>
  <c r="Z25" i="29"/>
  <c r="AF29" i="29"/>
  <c r="Z31" i="29"/>
  <c r="AO65" i="29"/>
  <c r="AO68" i="29" s="1"/>
  <c r="AF68" i="29"/>
  <c r="AF147" i="29"/>
  <c r="AO141" i="29"/>
  <c r="AO147" i="29" s="1"/>
  <c r="AO89" i="29"/>
  <c r="AO94" i="29" s="1"/>
  <c r="AF94" i="29"/>
  <c r="AB140" i="29"/>
  <c r="AT133" i="29"/>
  <c r="AT140" i="29" s="1"/>
  <c r="AF195" i="29"/>
  <c r="AO131" i="29"/>
  <c r="AF132" i="29"/>
  <c r="AS17" i="29"/>
  <c r="AS19" i="29" s="1"/>
  <c r="AA19" i="29"/>
  <c r="AF17" i="29"/>
  <c r="Z19" i="29"/>
  <c r="AV19" i="29"/>
  <c r="AV187" i="29"/>
  <c r="AN184" i="29"/>
  <c r="AF42" i="29"/>
  <c r="AO39" i="29"/>
  <c r="AO42" i="29" s="1"/>
  <c r="AS95" i="29"/>
  <c r="AS100" i="29" s="1"/>
  <c r="AA100" i="29"/>
  <c r="AT16" i="29"/>
  <c r="AF166" i="29"/>
  <c r="AO160" i="29"/>
  <c r="AO166" i="29" s="1"/>
  <c r="AF170" i="29"/>
  <c r="AF190" i="29" s="1"/>
  <c r="Z175" i="29"/>
  <c r="AB175" i="29"/>
  <c r="AT170" i="29"/>
  <c r="AT175" i="29" s="1"/>
  <c r="AV193" i="29"/>
  <c r="AV16" i="29"/>
  <c r="AB53" i="29"/>
  <c r="AT51" i="29"/>
  <c r="AT53" i="29" s="1"/>
  <c r="AF51" i="29"/>
  <c r="Z53" i="29"/>
  <c r="AP196" i="29"/>
  <c r="AP13" i="29"/>
  <c r="AP183" i="29" s="1"/>
  <c r="AI15" i="45" s="1"/>
  <c r="Z188" i="29"/>
  <c r="AS112" i="29"/>
  <c r="Z88" i="29"/>
  <c r="AF83" i="29"/>
  <c r="AT83" i="29"/>
  <c r="AT88" i="29" s="1"/>
  <c r="AB88" i="29"/>
  <c r="AV195" i="29"/>
  <c r="AV132" i="29"/>
  <c r="AS167" i="29"/>
  <c r="AS169" i="29" s="1"/>
  <c r="AA169" i="29"/>
  <c r="AF22" i="29"/>
  <c r="AO20" i="29"/>
  <c r="AO22" i="29" s="1"/>
  <c r="AA193" i="29"/>
  <c r="AQ183" i="29"/>
  <c r="AJ15" i="45" s="1"/>
  <c r="AS16" i="29"/>
  <c r="AB82" i="29"/>
  <c r="AO106" i="29"/>
  <c r="AV188" i="29"/>
  <c r="AV82" i="29"/>
  <c r="AF157" i="29"/>
  <c r="Z159" i="29"/>
  <c r="AO219" i="32" l="1"/>
  <c r="AF283" i="32"/>
  <c r="AF219" i="32"/>
  <c r="AO269" i="32"/>
  <c r="AF311" i="32"/>
  <c r="AO142" i="32"/>
  <c r="AF269" i="32"/>
  <c r="AV300" i="32"/>
  <c r="AO18" i="45" s="1"/>
  <c r="AF142" i="32"/>
  <c r="AT188" i="29"/>
  <c r="AF112" i="29"/>
  <c r="AP73" i="31"/>
  <c r="AI17" i="45" s="1"/>
  <c r="AA73" i="31"/>
  <c r="T17" i="45" s="1"/>
  <c r="AP76" i="31"/>
  <c r="Z74" i="31"/>
  <c r="O17" i="45"/>
  <c r="AV75" i="31"/>
  <c r="AF304" i="32"/>
  <c r="Z301" i="32"/>
  <c r="O18" i="45"/>
  <c r="AB303" i="32"/>
  <c r="AS310" i="32"/>
  <c r="AV303" i="32"/>
  <c r="AO283" i="32"/>
  <c r="AO311" i="32"/>
  <c r="AT17" i="32"/>
  <c r="AS304" i="32"/>
  <c r="AP300" i="32"/>
  <c r="AI18" i="45" s="1"/>
  <c r="AV302" i="32"/>
  <c r="AV301" i="32"/>
  <c r="AP18" i="45"/>
  <c r="AV76" i="31"/>
  <c r="AV100" i="30"/>
  <c r="AV185" i="29"/>
  <c r="Z186" i="29"/>
  <c r="Z99" i="30"/>
  <c r="O16" i="45"/>
  <c r="AV99" i="30"/>
  <c r="AP16" i="45"/>
  <c r="AS105" i="30"/>
  <c r="AO108" i="30"/>
  <c r="AA186" i="29"/>
  <c r="Z184" i="29"/>
  <c r="O15" i="45"/>
  <c r="AS190" i="29"/>
  <c r="AS82" i="29"/>
  <c r="AO90" i="32"/>
  <c r="AO95" i="32" s="1"/>
  <c r="AF95" i="32"/>
  <c r="AT304" i="32"/>
  <c r="AO107" i="32"/>
  <c r="AT313" i="32"/>
  <c r="AT13" i="32"/>
  <c r="AA300" i="32"/>
  <c r="T18" i="45" s="1"/>
  <c r="AA303" i="32"/>
  <c r="AF37" i="32"/>
  <c r="AO35" i="32"/>
  <c r="AO37" i="32" s="1"/>
  <c r="AO23" i="32"/>
  <c r="AO27" i="32" s="1"/>
  <c r="AF27" i="32"/>
  <c r="AF76" i="32"/>
  <c r="AO71" i="32"/>
  <c r="AO76" i="32" s="1"/>
  <c r="AT311" i="32"/>
  <c r="AO198" i="32"/>
  <c r="AO203" i="32" s="1"/>
  <c r="AF203" i="32"/>
  <c r="AF221" i="32"/>
  <c r="AO220" i="32"/>
  <c r="AO221" i="32" s="1"/>
  <c r="AP303" i="32"/>
  <c r="AF310" i="32"/>
  <c r="AO16" i="32"/>
  <c r="AF312" i="32"/>
  <c r="AO28" i="32"/>
  <c r="AO31" i="32" s="1"/>
  <c r="AF31" i="32"/>
  <c r="AS118" i="32"/>
  <c r="AF305" i="32"/>
  <c r="AO291" i="32"/>
  <c r="AO297" i="32" s="1"/>
  <c r="AF297" i="32"/>
  <c r="AT56" i="32"/>
  <c r="AT305" i="32"/>
  <c r="AO84" i="32"/>
  <c r="AO89" i="32" s="1"/>
  <c r="AF89" i="32"/>
  <c r="AB300" i="32"/>
  <c r="U18" i="45" s="1"/>
  <c r="AO187" i="32"/>
  <c r="AO193" i="32" s="1"/>
  <c r="AF193" i="32"/>
  <c r="AO123" i="32"/>
  <c r="AO128" i="32" s="1"/>
  <c r="AF128" i="32"/>
  <c r="AO284" i="32"/>
  <c r="AO290" i="32" s="1"/>
  <c r="AF290" i="32"/>
  <c r="AO51" i="32"/>
  <c r="AO56" i="32" s="1"/>
  <c r="AF56" i="32"/>
  <c r="AO108" i="32"/>
  <c r="AO111" i="32" s="1"/>
  <c r="AF111" i="32"/>
  <c r="AF17" i="32"/>
  <c r="AO50" i="32"/>
  <c r="AF144" i="32"/>
  <c r="AO143" i="32"/>
  <c r="AO144" i="32" s="1"/>
  <c r="AO18" i="32"/>
  <c r="AO22" i="32" s="1"/>
  <c r="AF22" i="32"/>
  <c r="Z300" i="32"/>
  <c r="AF309" i="32"/>
  <c r="AO99" i="32"/>
  <c r="AO148" i="32"/>
  <c r="AS105" i="32"/>
  <c r="AT307" i="32"/>
  <c r="AT118" i="32"/>
  <c r="AS305" i="32"/>
  <c r="AS312" i="32"/>
  <c r="AT309" i="32"/>
  <c r="AT105" i="32"/>
  <c r="AF182" i="32"/>
  <c r="AO177" i="32"/>
  <c r="AO182" i="32" s="1"/>
  <c r="AS313" i="32"/>
  <c r="AS13" i="32"/>
  <c r="AF169" i="32"/>
  <c r="AO163" i="32"/>
  <c r="AO169" i="32" s="1"/>
  <c r="AO149" i="32"/>
  <c r="AO155" i="32" s="1"/>
  <c r="AF155" i="32"/>
  <c r="AF307" i="32"/>
  <c r="AO113" i="32"/>
  <c r="AO307" i="32" s="1"/>
  <c r="Z303" i="32"/>
  <c r="AF313" i="32"/>
  <c r="AF13" i="32"/>
  <c r="AO12" i="32"/>
  <c r="AF148" i="32"/>
  <c r="AO129" i="32"/>
  <c r="AO135" i="32" s="1"/>
  <c r="AF135" i="32"/>
  <c r="AT312" i="32"/>
  <c r="AF43" i="32"/>
  <c r="AO42" i="32"/>
  <c r="AO43" i="32" s="1"/>
  <c r="AS78" i="31"/>
  <c r="AF77" i="31"/>
  <c r="AF15" i="31"/>
  <c r="AO12" i="31"/>
  <c r="AT31" i="31"/>
  <c r="AT78" i="31"/>
  <c r="AF80" i="31"/>
  <c r="AF47" i="31"/>
  <c r="AO43" i="31"/>
  <c r="AO16" i="31"/>
  <c r="AO18" i="31" s="1"/>
  <c r="AF18" i="31"/>
  <c r="AT77" i="31"/>
  <c r="AT15" i="31"/>
  <c r="Z73" i="31"/>
  <c r="AA76" i="31"/>
  <c r="AO32" i="31"/>
  <c r="AO37" i="31" s="1"/>
  <c r="AF37" i="31"/>
  <c r="AS80" i="31"/>
  <c r="AS47" i="31"/>
  <c r="AB73" i="31"/>
  <c r="U17" i="45" s="1"/>
  <c r="Z76" i="31"/>
  <c r="AF56" i="31"/>
  <c r="AT80" i="31"/>
  <c r="AT47" i="31"/>
  <c r="AO85" i="31"/>
  <c r="AO39" i="31"/>
  <c r="AB76" i="31"/>
  <c r="AO78" i="31"/>
  <c r="AO31" i="31"/>
  <c r="AS77" i="31"/>
  <c r="AS15" i="31"/>
  <c r="AO86" i="31"/>
  <c r="AO24" i="31"/>
  <c r="AO56" i="31"/>
  <c r="AT102" i="30"/>
  <c r="AT15" i="30"/>
  <c r="AT105" i="30"/>
  <c r="Z98" i="30"/>
  <c r="S16" i="45" s="1"/>
  <c r="AA98" i="30"/>
  <c r="T16" i="45" s="1"/>
  <c r="AS103" i="30"/>
  <c r="AS23" i="30"/>
  <c r="AF60" i="30"/>
  <c r="AB98" i="30"/>
  <c r="U16" i="45" s="1"/>
  <c r="AO62" i="30"/>
  <c r="AO64" i="30" s="1"/>
  <c r="AF64" i="30"/>
  <c r="AP98" i="30"/>
  <c r="AI16" i="45" s="1"/>
  <c r="AF83" i="30"/>
  <c r="AO80" i="30"/>
  <c r="AO83" i="30" s="1"/>
  <c r="AF110" i="30"/>
  <c r="AF30" i="30"/>
  <c r="AO29" i="30"/>
  <c r="AF102" i="30"/>
  <c r="AO12" i="30"/>
  <c r="AF15" i="30"/>
  <c r="AA101" i="30"/>
  <c r="AO65" i="30"/>
  <c r="AO70" i="30" s="1"/>
  <c r="AF70" i="30"/>
  <c r="AF103" i="30"/>
  <c r="AO18" i="30"/>
  <c r="AF23" i="30"/>
  <c r="AT110" i="30"/>
  <c r="AT30" i="30"/>
  <c r="AT103" i="30"/>
  <c r="AT23" i="30"/>
  <c r="AB101" i="30"/>
  <c r="AF53" i="30"/>
  <c r="AO48" i="30"/>
  <c r="AO53" i="30" s="1"/>
  <c r="AV98" i="30"/>
  <c r="AO16" i="45" s="1"/>
  <c r="AP101" i="30"/>
  <c r="Z101" i="30"/>
  <c r="AS30" i="30"/>
  <c r="AS110" i="30"/>
  <c r="AO36" i="30"/>
  <c r="AO111" i="30"/>
  <c r="AO17" i="30"/>
  <c r="AV101" i="30"/>
  <c r="AS102" i="30"/>
  <c r="AS15" i="30"/>
  <c r="AS98" i="30" s="1"/>
  <c r="AL16" i="45" s="1"/>
  <c r="AF90" i="30"/>
  <c r="AO84" i="30"/>
  <c r="AO90" i="30" s="1"/>
  <c r="AO60" i="30"/>
  <c r="AO83" i="29"/>
  <c r="AO88" i="29" s="1"/>
  <c r="AF88" i="29"/>
  <c r="AF19" i="29"/>
  <c r="AO17" i="29"/>
  <c r="AO19" i="29" s="1"/>
  <c r="AO195" i="29"/>
  <c r="AO132" i="29"/>
  <c r="AF25" i="29"/>
  <c r="AO23" i="29"/>
  <c r="AO25" i="29" s="1"/>
  <c r="AF187" i="29"/>
  <c r="AO95" i="29"/>
  <c r="AO100" i="29" s="1"/>
  <c r="AF100" i="29"/>
  <c r="AF169" i="29"/>
  <c r="AO167" i="29"/>
  <c r="AO169" i="29" s="1"/>
  <c r="AB183" i="29"/>
  <c r="U15" i="45" s="1"/>
  <c r="AS187" i="29"/>
  <c r="AV186" i="29"/>
  <c r="AO35" i="29"/>
  <c r="AO38" i="29" s="1"/>
  <c r="AF38" i="29"/>
  <c r="AF193" i="29"/>
  <c r="AS188" i="29"/>
  <c r="AF31" i="29"/>
  <c r="AO29" i="29"/>
  <c r="AO31" i="29" s="1"/>
  <c r="AS196" i="29"/>
  <c r="AS13" i="29"/>
  <c r="AO16" i="29"/>
  <c r="AT193" i="29"/>
  <c r="AT112" i="29"/>
  <c r="AP186" i="29"/>
  <c r="AF188" i="29"/>
  <c r="AF196" i="29"/>
  <c r="AF13" i="29"/>
  <c r="AO12" i="29"/>
  <c r="AO133" i="29"/>
  <c r="AO140" i="29" s="1"/>
  <c r="AF140" i="29"/>
  <c r="AV183" i="29"/>
  <c r="AO15" i="45" s="1"/>
  <c r="AO193" i="29"/>
  <c r="AF64" i="29"/>
  <c r="AO62" i="29"/>
  <c r="AO64" i="29" s="1"/>
  <c r="AF159" i="29"/>
  <c r="AO157" i="29"/>
  <c r="AO159" i="29" s="1"/>
  <c r="AF53" i="29"/>
  <c r="AO51" i="29"/>
  <c r="AO53" i="29" s="1"/>
  <c r="AF175" i="29"/>
  <c r="AO170" i="29"/>
  <c r="AO175" i="29" s="1"/>
  <c r="AT187" i="29"/>
  <c r="AA183" i="29"/>
  <c r="T15" i="45" s="1"/>
  <c r="AT190" i="29"/>
  <c r="AO152" i="29"/>
  <c r="AO156" i="29" s="1"/>
  <c r="AF156" i="29"/>
  <c r="AB186" i="29"/>
  <c r="AT196" i="29"/>
  <c r="AT13" i="29"/>
  <c r="Z183" i="29"/>
  <c r="S15" i="45" s="1"/>
  <c r="AF194" i="29"/>
  <c r="AO80" i="29"/>
  <c r="AO194" i="29" s="1"/>
  <c r="AO119" i="29"/>
  <c r="AO124" i="29" s="1"/>
  <c r="AF124" i="29"/>
  <c r="AS76" i="31" l="1"/>
  <c r="AS183" i="29"/>
  <c r="AL15" i="45" s="1"/>
  <c r="AF74" i="31"/>
  <c r="S17" i="45"/>
  <c r="AT76" i="31"/>
  <c r="AF301" i="32"/>
  <c r="S18" i="45"/>
  <c r="AF303" i="32"/>
  <c r="AS303" i="32"/>
  <c r="AF185" i="29"/>
  <c r="AT183" i="29"/>
  <c r="AM15" i="45" s="1"/>
  <c r="AO82" i="29"/>
  <c r="AF302" i="32"/>
  <c r="AF100" i="30"/>
  <c r="AO309" i="32"/>
  <c r="AO105" i="32"/>
  <c r="AO310" i="32"/>
  <c r="AO304" i="32"/>
  <c r="AO313" i="32"/>
  <c r="AO13" i="32"/>
  <c r="AO305" i="32"/>
  <c r="AT303" i="32"/>
  <c r="AF300" i="32"/>
  <c r="Y18" i="45" s="1"/>
  <c r="AS300" i="32"/>
  <c r="AO118" i="32"/>
  <c r="AO17" i="32"/>
  <c r="AT300" i="32"/>
  <c r="AM18" i="45" s="1"/>
  <c r="AO312" i="32"/>
  <c r="AF73" i="31"/>
  <c r="Y17" i="45" s="1"/>
  <c r="AO77" i="31"/>
  <c r="AO15" i="31"/>
  <c r="AF75" i="31"/>
  <c r="AF76" i="31"/>
  <c r="AS73" i="31"/>
  <c r="AT73" i="31"/>
  <c r="AM17" i="45" s="1"/>
  <c r="AO80" i="31"/>
  <c r="AO47" i="31"/>
  <c r="AS101" i="30"/>
  <c r="AO102" i="30"/>
  <c r="AO15" i="30"/>
  <c r="AF99" i="30"/>
  <c r="AF101" i="30"/>
  <c r="AO103" i="30"/>
  <c r="AO23" i="30"/>
  <c r="AO110" i="30"/>
  <c r="AO30" i="30"/>
  <c r="AT98" i="30"/>
  <c r="AF98" i="30"/>
  <c r="Y16" i="45" s="1"/>
  <c r="AO105" i="30"/>
  <c r="AT101" i="30"/>
  <c r="AF184" i="29"/>
  <c r="AT186" i="29"/>
  <c r="AF183" i="29"/>
  <c r="Y15" i="45" s="1"/>
  <c r="AO188" i="29"/>
  <c r="AO196" i="29"/>
  <c r="AO13" i="29"/>
  <c r="AO183" i="29" s="1"/>
  <c r="AH15" i="45" s="1"/>
  <c r="AO187" i="29"/>
  <c r="AS186" i="29"/>
  <c r="AF186" i="29"/>
  <c r="AO190" i="29"/>
  <c r="AO75" i="31" l="1"/>
  <c r="AO302" i="32"/>
  <c r="AO301" i="32"/>
  <c r="AL18" i="45"/>
  <c r="AO74" i="31"/>
  <c r="AL17" i="45"/>
  <c r="AO99" i="30"/>
  <c r="AM16" i="45"/>
  <c r="AO184" i="29"/>
  <c r="AO186" i="29"/>
  <c r="AO303" i="32"/>
  <c r="AO300" i="32"/>
  <c r="AH18" i="45" s="1"/>
  <c r="AO73" i="31"/>
  <c r="AH17" i="45" s="1"/>
  <c r="AO185" i="29"/>
  <c r="AO76" i="31"/>
  <c r="AO100" i="30"/>
  <c r="AO98" i="30"/>
  <c r="AH16" i="45" s="1"/>
  <c r="AO101" i="30"/>
  <c r="AE318" i="43" l="1"/>
  <c r="AM128" i="44"/>
  <c r="AL128" i="44"/>
  <c r="AM127" i="44"/>
  <c r="AL127" i="44"/>
  <c r="AM126" i="44"/>
  <c r="AL126" i="44"/>
  <c r="AM125" i="44"/>
  <c r="AL125" i="44"/>
  <c r="AM124" i="44"/>
  <c r="AL124" i="44"/>
  <c r="AM122" i="44"/>
  <c r="AL122" i="44"/>
  <c r="AM121" i="44"/>
  <c r="AL121" i="44"/>
  <c r="AM120" i="44"/>
  <c r="AL120" i="44"/>
  <c r="AM119" i="44"/>
  <c r="AL119" i="44"/>
  <c r="AM118" i="44"/>
  <c r="AL118" i="44"/>
  <c r="AM117" i="44"/>
  <c r="AL117" i="44"/>
  <c r="AM116" i="44"/>
  <c r="AL116" i="44"/>
  <c r="AM115" i="44"/>
  <c r="AL115" i="44"/>
  <c r="AM113" i="44"/>
  <c r="AL113" i="44"/>
  <c r="AM111" i="44"/>
  <c r="AL111" i="44"/>
  <c r="AM110" i="44"/>
  <c r="AL110" i="44"/>
  <c r="AM109" i="44"/>
  <c r="AL109" i="44"/>
  <c r="AM108" i="44"/>
  <c r="AL108" i="44"/>
  <c r="AM107" i="44"/>
  <c r="AL107" i="44"/>
  <c r="AM105" i="44"/>
  <c r="AL105" i="44"/>
  <c r="AM103" i="44"/>
  <c r="AL103" i="44"/>
  <c r="AM102" i="44"/>
  <c r="AL102" i="44"/>
  <c r="AM101" i="44"/>
  <c r="AL101" i="44"/>
  <c r="AM99" i="44"/>
  <c r="AL99" i="44"/>
  <c r="AM98" i="44"/>
  <c r="AL98" i="44"/>
  <c r="AM97" i="44"/>
  <c r="AL97" i="44"/>
  <c r="AM96" i="44"/>
  <c r="AL96" i="44"/>
  <c r="AM95" i="44"/>
  <c r="AL95" i="44"/>
  <c r="AM93" i="44"/>
  <c r="AL93" i="44"/>
  <c r="AM92" i="44"/>
  <c r="AL92" i="44"/>
  <c r="AM91" i="44"/>
  <c r="AL91" i="44"/>
  <c r="AM89" i="44"/>
  <c r="AL89" i="44"/>
  <c r="AM88" i="44"/>
  <c r="AL88" i="44"/>
  <c r="AM87" i="44"/>
  <c r="AL87" i="44"/>
  <c r="AM86" i="44"/>
  <c r="AL86" i="44"/>
  <c r="AM85" i="44"/>
  <c r="AL85" i="44"/>
  <c r="AM84" i="44"/>
  <c r="AL84" i="44"/>
  <c r="AM82" i="44"/>
  <c r="AL82" i="44"/>
  <c r="AM81" i="44"/>
  <c r="AL81" i="44"/>
  <c r="AM80" i="44"/>
  <c r="AL80" i="44"/>
  <c r="AM79" i="44"/>
  <c r="AL79" i="44"/>
  <c r="AM78" i="44"/>
  <c r="AL78" i="44"/>
  <c r="AM77" i="44"/>
  <c r="AL77" i="44"/>
  <c r="AM75" i="44"/>
  <c r="AL75" i="44"/>
  <c r="AM74" i="44"/>
  <c r="AL74" i="44"/>
  <c r="AM73" i="44"/>
  <c r="AL73" i="44"/>
  <c r="AM72" i="44"/>
  <c r="AL72" i="44"/>
  <c r="AM71" i="44"/>
  <c r="AL71" i="44"/>
  <c r="AM70" i="44"/>
  <c r="AL70" i="44"/>
  <c r="AM68" i="44"/>
  <c r="AL68" i="44"/>
  <c r="AM67" i="44"/>
  <c r="AL67" i="44"/>
  <c r="AM66" i="44"/>
  <c r="AL66" i="44"/>
  <c r="AM65" i="44"/>
  <c r="AL65" i="44"/>
  <c r="AM64" i="44"/>
  <c r="AL64" i="44"/>
  <c r="AM63" i="44"/>
  <c r="AL63" i="44"/>
  <c r="AM61" i="44"/>
  <c r="AL61" i="44"/>
  <c r="AM60" i="44"/>
  <c r="AL60" i="44"/>
  <c r="AM59" i="44"/>
  <c r="AL59" i="44"/>
  <c r="AM58" i="44"/>
  <c r="AL58" i="44"/>
  <c r="AM57" i="44"/>
  <c r="AL57" i="44"/>
  <c r="AM56" i="44"/>
  <c r="AL56" i="44"/>
  <c r="AM54" i="44"/>
  <c r="AL54" i="44"/>
  <c r="AM53" i="44"/>
  <c r="AL53" i="44"/>
  <c r="AM52" i="44"/>
  <c r="AL52" i="44"/>
  <c r="AM51" i="44"/>
  <c r="AL51" i="44"/>
  <c r="AM50" i="44"/>
  <c r="AL50" i="44"/>
  <c r="AM49" i="44"/>
  <c r="AL49" i="44"/>
  <c r="AM47" i="44"/>
  <c r="AL47" i="44"/>
  <c r="AM46" i="44"/>
  <c r="AL46" i="44"/>
  <c r="AM45" i="44"/>
  <c r="AL45" i="44"/>
  <c r="AM44" i="44"/>
  <c r="AL44" i="44"/>
  <c r="AM43" i="44"/>
  <c r="AL43" i="44"/>
  <c r="AM42" i="44"/>
  <c r="AL42" i="44"/>
  <c r="AM40" i="44"/>
  <c r="AL40" i="44"/>
  <c r="AM39" i="44"/>
  <c r="AL39" i="44"/>
  <c r="AM38" i="44"/>
  <c r="AL38" i="44"/>
  <c r="AM37" i="44"/>
  <c r="AL37" i="44"/>
  <c r="AM36" i="44"/>
  <c r="AL36" i="44"/>
  <c r="AM35" i="44"/>
  <c r="AL35" i="44"/>
  <c r="AM33" i="44"/>
  <c r="AL33" i="44"/>
  <c r="AM32" i="44"/>
  <c r="AL32" i="44"/>
  <c r="AM31" i="44"/>
  <c r="AL31" i="44"/>
  <c r="AM30" i="44"/>
  <c r="AL30" i="44"/>
  <c r="AM29" i="44"/>
  <c r="AL29" i="44"/>
  <c r="AM28" i="44"/>
  <c r="AL28" i="44"/>
  <c r="AM26" i="44"/>
  <c r="AL26" i="44"/>
  <c r="AM25" i="44"/>
  <c r="AL25" i="44"/>
  <c r="AM24" i="44"/>
  <c r="AL24" i="44"/>
  <c r="AM23" i="44"/>
  <c r="AL23" i="44"/>
  <c r="AM22" i="44"/>
  <c r="AL22" i="44"/>
  <c r="AM21" i="44"/>
  <c r="AL21" i="44"/>
  <c r="AM20" i="44"/>
  <c r="AL20" i="44"/>
  <c r="AM19" i="44"/>
  <c r="AL19" i="44"/>
  <c r="AM17" i="44"/>
  <c r="AL17" i="44"/>
  <c r="AM16" i="44"/>
  <c r="AL16" i="44"/>
  <c r="AM15" i="44"/>
  <c r="AL15" i="44"/>
  <c r="AM14" i="44"/>
  <c r="AL14" i="44"/>
  <c r="AM12" i="44"/>
  <c r="AL12" i="44"/>
  <c r="AM454" i="43"/>
  <c r="AL454" i="43"/>
  <c r="AM453" i="43"/>
  <c r="AL453" i="43"/>
  <c r="AM451" i="43"/>
  <c r="AL451" i="43"/>
  <c r="AM450" i="43"/>
  <c r="AL450" i="43"/>
  <c r="AM448" i="43"/>
  <c r="AL448" i="43"/>
  <c r="AM447" i="43"/>
  <c r="AL447" i="43"/>
  <c r="AM446" i="43"/>
  <c r="AL446" i="43"/>
  <c r="AM445" i="43"/>
  <c r="AL445" i="43"/>
  <c r="AM444" i="43"/>
  <c r="AL444" i="43"/>
  <c r="AM442" i="43"/>
  <c r="AL442" i="43"/>
  <c r="AM441" i="43"/>
  <c r="AL441" i="43"/>
  <c r="AM440" i="43"/>
  <c r="AL440" i="43"/>
  <c r="AM439" i="43"/>
  <c r="AL439" i="43"/>
  <c r="AM438" i="43"/>
  <c r="AL438" i="43"/>
  <c r="AM437" i="43"/>
  <c r="AL437" i="43"/>
  <c r="AM435" i="43"/>
  <c r="AL435" i="43"/>
  <c r="AM434" i="43"/>
  <c r="AL434" i="43"/>
  <c r="AM433" i="43"/>
  <c r="AL433" i="43"/>
  <c r="AM432" i="43"/>
  <c r="AL432" i="43"/>
  <c r="AM431" i="43"/>
  <c r="AL431" i="43"/>
  <c r="AM430" i="43"/>
  <c r="AL430" i="43"/>
  <c r="AM428" i="43"/>
  <c r="AL428" i="43"/>
  <c r="AM427" i="43"/>
  <c r="AL427" i="43"/>
  <c r="AM426" i="43"/>
  <c r="AL426" i="43"/>
  <c r="AM425" i="43"/>
  <c r="AL425" i="43"/>
  <c r="AM424" i="43"/>
  <c r="AL424" i="43"/>
  <c r="AM423" i="43"/>
  <c r="AL423" i="43"/>
  <c r="AM421" i="43"/>
  <c r="AL421" i="43"/>
  <c r="AM420" i="43"/>
  <c r="AL420" i="43"/>
  <c r="AM419" i="43"/>
  <c r="AL419" i="43"/>
  <c r="AM418" i="43"/>
  <c r="AL418" i="43"/>
  <c r="AM417" i="43"/>
  <c r="AL417" i="43"/>
  <c r="AM416" i="43"/>
  <c r="AL416" i="43"/>
  <c r="AM414" i="43"/>
  <c r="AL414" i="43"/>
  <c r="AM413" i="43"/>
  <c r="AL413" i="43"/>
  <c r="AM412" i="43"/>
  <c r="AL412" i="43"/>
  <c r="AM411" i="43"/>
  <c r="AL411" i="43"/>
  <c r="AM410" i="43"/>
  <c r="AL410" i="43"/>
  <c r="AM409" i="43"/>
  <c r="AL409" i="43"/>
  <c r="AM407" i="43"/>
  <c r="AL407" i="43"/>
  <c r="AM406" i="43"/>
  <c r="AL406" i="43"/>
  <c r="AM405" i="43"/>
  <c r="AL405" i="43"/>
  <c r="AM404" i="43"/>
  <c r="AL404" i="43"/>
  <c r="AM403" i="43"/>
  <c r="AL403" i="43"/>
  <c r="AM401" i="43"/>
  <c r="AL401" i="43"/>
  <c r="AM400" i="43"/>
  <c r="AL400" i="43"/>
  <c r="AM398" i="43"/>
  <c r="AL398" i="43"/>
  <c r="AM397" i="43"/>
  <c r="AL397" i="43"/>
  <c r="AM396" i="43"/>
  <c r="AL396" i="43"/>
  <c r="AM395" i="43"/>
  <c r="AL395" i="43"/>
  <c r="AM394" i="43"/>
  <c r="AL394" i="43"/>
  <c r="AM393" i="43"/>
  <c r="AL393" i="43"/>
  <c r="AM391" i="43"/>
  <c r="AL391" i="43"/>
  <c r="AM390" i="43"/>
  <c r="AL390" i="43"/>
  <c r="AM389" i="43"/>
  <c r="AL389" i="43"/>
  <c r="AM388" i="43"/>
  <c r="AL388" i="43"/>
  <c r="AM387" i="43"/>
  <c r="AL387" i="43"/>
  <c r="AM386" i="43"/>
  <c r="AL386" i="43"/>
  <c r="AM384" i="43"/>
  <c r="AL384" i="43"/>
  <c r="AM383" i="43"/>
  <c r="AL383" i="43"/>
  <c r="AM382" i="43"/>
  <c r="AL382" i="43"/>
  <c r="AM380" i="43"/>
  <c r="AL380" i="43"/>
  <c r="AM379" i="43"/>
  <c r="AL379" i="43"/>
  <c r="AM378" i="43"/>
  <c r="AL378" i="43"/>
  <c r="AM377" i="43"/>
  <c r="AL377" i="43"/>
  <c r="AM376" i="43"/>
  <c r="AL376" i="43"/>
  <c r="AM374" i="43"/>
  <c r="AL374" i="43"/>
  <c r="AM373" i="43"/>
  <c r="AL373" i="43"/>
  <c r="AM372" i="43"/>
  <c r="AL372" i="43"/>
  <c r="AM371" i="43"/>
  <c r="AL371" i="43"/>
  <c r="AM370" i="43"/>
  <c r="AL370" i="43"/>
  <c r="AM369" i="43"/>
  <c r="AL369" i="43"/>
  <c r="AM367" i="43"/>
  <c r="AL367" i="43"/>
  <c r="AM365" i="43"/>
  <c r="AL365" i="43"/>
  <c r="AM364" i="43"/>
  <c r="AL364" i="43"/>
  <c r="AM363" i="43"/>
  <c r="AL363" i="43"/>
  <c r="AM361" i="43"/>
  <c r="AL361" i="43"/>
  <c r="AM360" i="43"/>
  <c r="AL360" i="43"/>
  <c r="AM359" i="43"/>
  <c r="AL359" i="43"/>
  <c r="AM358" i="43"/>
  <c r="AL358" i="43"/>
  <c r="AM357" i="43"/>
  <c r="AL357" i="43"/>
  <c r="AM356" i="43"/>
  <c r="AL356" i="43"/>
  <c r="AM354" i="43"/>
  <c r="AL354" i="43"/>
  <c r="AM353" i="43"/>
  <c r="AL353" i="43"/>
  <c r="AM352" i="43"/>
  <c r="AL352" i="43"/>
  <c r="AM351" i="43"/>
  <c r="AL351" i="43"/>
  <c r="AM349" i="43"/>
  <c r="AL349" i="43"/>
  <c r="AM348" i="43"/>
  <c r="AL348" i="43"/>
  <c r="AM347" i="43"/>
  <c r="AL347" i="43"/>
  <c r="AM346" i="43"/>
  <c r="AL346" i="43"/>
  <c r="AM345" i="43"/>
  <c r="AL345" i="43"/>
  <c r="AM344" i="43"/>
  <c r="AL344" i="43"/>
  <c r="AM342" i="43"/>
  <c r="AL342" i="43"/>
  <c r="AM341" i="43"/>
  <c r="AL341" i="43"/>
  <c r="AM340" i="43"/>
  <c r="AL340" i="43"/>
  <c r="AM339" i="43"/>
  <c r="AL339" i="43"/>
  <c r="AM338" i="43"/>
  <c r="AL338" i="43"/>
  <c r="AM336" i="43"/>
  <c r="AL336" i="43"/>
  <c r="AM335" i="43"/>
  <c r="AL335" i="43"/>
  <c r="AM334" i="43"/>
  <c r="AL334" i="43"/>
  <c r="AM333" i="43"/>
  <c r="AL333" i="43"/>
  <c r="AM332" i="43"/>
  <c r="AL332" i="43"/>
  <c r="AM331" i="43"/>
  <c r="AL331" i="43"/>
  <c r="AM330" i="43"/>
  <c r="AL330" i="43"/>
  <c r="AM328" i="43"/>
  <c r="AL328" i="43"/>
  <c r="AM327" i="43"/>
  <c r="AL327" i="43"/>
  <c r="AM325" i="43"/>
  <c r="AL325" i="43"/>
  <c r="AM324" i="43"/>
  <c r="AL324" i="43"/>
  <c r="AM323" i="43"/>
  <c r="AL323" i="43"/>
  <c r="AM321" i="43"/>
  <c r="AL321" i="43"/>
  <c r="AM320" i="43"/>
  <c r="AL320" i="43"/>
  <c r="AM318" i="43"/>
  <c r="AL318" i="43"/>
  <c r="AM316" i="43"/>
  <c r="AL316" i="43"/>
  <c r="AM315" i="43"/>
  <c r="AL315" i="43"/>
  <c r="AM314" i="43"/>
  <c r="AL314" i="43"/>
  <c r="AM313" i="43"/>
  <c r="AL313" i="43"/>
  <c r="AM312" i="43"/>
  <c r="AL312" i="43"/>
  <c r="AM310" i="43"/>
  <c r="AL310" i="43"/>
  <c r="AM309" i="43"/>
  <c r="AL309" i="43"/>
  <c r="AM308" i="43"/>
  <c r="AL308" i="43"/>
  <c r="AM306" i="43"/>
  <c r="AL306" i="43"/>
  <c r="AM305" i="43"/>
  <c r="AL305" i="43"/>
  <c r="AM304" i="43"/>
  <c r="AL304" i="43"/>
  <c r="AM303" i="43"/>
  <c r="AL303" i="43"/>
  <c r="AM302" i="43"/>
  <c r="AL302" i="43"/>
  <c r="AM301" i="43"/>
  <c r="AL301" i="43"/>
  <c r="AM299" i="43"/>
  <c r="AL299" i="43"/>
  <c r="AM298" i="43"/>
  <c r="AL298" i="43"/>
  <c r="AM297" i="43"/>
  <c r="AL297" i="43"/>
  <c r="AM296" i="43"/>
  <c r="AL296" i="43"/>
  <c r="AM295" i="43"/>
  <c r="AL295" i="43"/>
  <c r="AM294" i="43"/>
  <c r="AL294" i="43"/>
  <c r="AM292" i="43"/>
  <c r="AL292" i="43"/>
  <c r="AM290" i="43"/>
  <c r="AL290" i="43"/>
  <c r="AM289" i="43"/>
  <c r="AL289" i="43"/>
  <c r="AM288" i="43"/>
  <c r="AL288" i="43"/>
  <c r="AM287" i="43"/>
  <c r="AL287" i="43"/>
  <c r="AM286" i="43"/>
  <c r="AL286" i="43"/>
  <c r="AM285" i="43"/>
  <c r="AL285" i="43"/>
  <c r="AM284" i="43"/>
  <c r="AL284" i="43"/>
  <c r="AM282" i="43"/>
  <c r="AL282" i="43"/>
  <c r="AM281" i="43"/>
  <c r="AL281" i="43"/>
  <c r="AM280" i="43"/>
  <c r="AL280" i="43"/>
  <c r="AM279" i="43"/>
  <c r="AL279" i="43"/>
  <c r="AM277" i="43"/>
  <c r="AL277" i="43"/>
  <c r="AM276" i="43"/>
  <c r="AL276" i="43"/>
  <c r="AM275" i="43"/>
  <c r="AL275" i="43"/>
  <c r="AM274" i="43"/>
  <c r="AL274" i="43"/>
  <c r="AM273" i="43"/>
  <c r="AL273" i="43"/>
  <c r="AM272" i="43"/>
  <c r="AL272" i="43"/>
  <c r="AM270" i="43"/>
  <c r="AL270" i="43"/>
  <c r="AM269" i="43"/>
  <c r="AL269" i="43"/>
  <c r="AM268" i="43"/>
  <c r="AL268" i="43"/>
  <c r="AM266" i="43"/>
  <c r="AL266" i="43"/>
  <c r="AM265" i="43"/>
  <c r="AL265" i="43"/>
  <c r="AM264" i="43"/>
  <c r="AL264" i="43"/>
  <c r="AM263" i="43"/>
  <c r="AL263" i="43"/>
  <c r="AM262" i="43"/>
  <c r="AL262" i="43"/>
  <c r="AM260" i="43"/>
  <c r="AL260" i="43"/>
  <c r="AM259" i="43"/>
  <c r="AL259" i="43"/>
  <c r="AM258" i="43"/>
  <c r="AL258" i="43"/>
  <c r="AM256" i="43"/>
  <c r="AL256" i="43"/>
  <c r="AM255" i="43"/>
  <c r="AL255" i="43"/>
  <c r="AM254" i="43"/>
  <c r="AL254" i="43"/>
  <c r="AM252" i="43"/>
  <c r="AL252" i="43"/>
  <c r="AM250" i="43"/>
  <c r="AL250" i="43"/>
  <c r="AM249" i="43"/>
  <c r="AL249" i="43"/>
  <c r="AM248" i="43"/>
  <c r="AL248" i="43"/>
  <c r="AM247" i="43"/>
  <c r="AL247" i="43"/>
  <c r="AM246" i="43"/>
  <c r="AL246" i="43"/>
  <c r="AM245" i="43"/>
  <c r="AL245" i="43"/>
  <c r="AM243" i="43"/>
  <c r="AL243" i="43"/>
  <c r="AM242" i="43"/>
  <c r="AL242" i="43"/>
  <c r="AM241" i="43"/>
  <c r="AL241" i="43"/>
  <c r="AM240" i="43"/>
  <c r="AL240" i="43"/>
  <c r="AM239" i="43"/>
  <c r="AL239" i="43"/>
  <c r="AM237" i="43"/>
  <c r="AL237" i="43"/>
  <c r="AM236" i="43"/>
  <c r="AL236" i="43"/>
  <c r="AM235" i="43"/>
  <c r="AL235" i="43"/>
  <c r="AM234" i="43"/>
  <c r="AL234" i="43"/>
  <c r="AM233" i="43"/>
  <c r="AL233" i="43"/>
  <c r="AM231" i="43"/>
  <c r="AL231" i="43"/>
  <c r="AM230" i="43"/>
  <c r="AL230" i="43"/>
  <c r="AM229" i="43"/>
  <c r="AL229" i="43"/>
  <c r="AM228" i="43"/>
  <c r="AL228" i="43"/>
  <c r="AM227" i="43"/>
  <c r="AL227" i="43"/>
  <c r="AM225" i="43"/>
  <c r="AL225" i="43"/>
  <c r="AM224" i="43"/>
  <c r="AL224" i="43"/>
  <c r="AM223" i="43"/>
  <c r="AL223" i="43"/>
  <c r="AM222" i="43"/>
  <c r="AL222" i="43"/>
  <c r="AM221" i="43"/>
  <c r="AL221" i="43"/>
  <c r="AM219" i="43"/>
  <c r="AL219" i="43"/>
  <c r="AM218" i="43"/>
  <c r="AL218" i="43"/>
  <c r="AM217" i="43"/>
  <c r="AL217" i="43"/>
  <c r="AM216" i="43"/>
  <c r="AL216" i="43"/>
  <c r="AM215" i="43"/>
  <c r="AL215" i="43"/>
  <c r="AM213" i="43"/>
  <c r="AL213" i="43"/>
  <c r="AM212" i="43"/>
  <c r="AL212" i="43"/>
  <c r="AM211" i="43"/>
  <c r="AL211" i="43"/>
  <c r="AM210" i="43"/>
  <c r="AL210" i="43"/>
  <c r="AM209" i="43"/>
  <c r="AL209" i="43"/>
  <c r="AM207" i="43"/>
  <c r="AL207" i="43"/>
  <c r="AM206" i="43"/>
  <c r="AL206" i="43"/>
  <c r="AM205" i="43"/>
  <c r="AL205" i="43"/>
  <c r="AM204" i="43"/>
  <c r="AL204" i="43"/>
  <c r="AM203" i="43"/>
  <c r="AL203" i="43"/>
  <c r="AM202" i="43"/>
  <c r="AL202" i="43"/>
  <c r="AM200" i="43"/>
  <c r="AL200" i="43"/>
  <c r="AM199" i="43"/>
  <c r="AL199" i="43"/>
  <c r="AM198" i="43"/>
  <c r="AL198" i="43"/>
  <c r="AM197" i="43"/>
  <c r="AL197" i="43"/>
  <c r="AM196" i="43"/>
  <c r="AL196" i="43"/>
  <c r="AM194" i="43"/>
  <c r="AL194" i="43"/>
  <c r="AM193" i="43"/>
  <c r="AL193" i="43"/>
  <c r="AM192" i="43"/>
  <c r="AL192" i="43"/>
  <c r="AM191" i="43"/>
  <c r="AL191" i="43"/>
  <c r="AM190" i="43"/>
  <c r="AL190" i="43"/>
  <c r="AM188" i="43"/>
  <c r="AL188" i="43"/>
  <c r="AM187" i="43"/>
  <c r="AL187" i="43"/>
  <c r="AM186" i="43"/>
  <c r="AL186" i="43"/>
  <c r="AM185" i="43"/>
  <c r="AL185" i="43"/>
  <c r="AM184" i="43"/>
  <c r="AL184" i="43"/>
  <c r="AM183" i="43"/>
  <c r="AL183" i="43"/>
  <c r="AM181" i="43"/>
  <c r="AL181" i="43"/>
  <c r="AM180" i="43"/>
  <c r="AL180" i="43"/>
  <c r="AM179" i="43"/>
  <c r="AL179" i="43"/>
  <c r="AM178" i="43"/>
  <c r="AL178" i="43"/>
  <c r="AM177" i="43"/>
  <c r="AL177" i="43"/>
  <c r="AM176" i="43"/>
  <c r="AL176" i="43"/>
  <c r="AM174" i="43"/>
  <c r="AL174" i="43"/>
  <c r="AM173" i="43"/>
  <c r="AL173" i="43"/>
  <c r="AM172" i="43"/>
  <c r="AL172" i="43"/>
  <c r="AM171" i="43"/>
  <c r="AL171" i="43"/>
  <c r="AM170" i="43"/>
  <c r="AL170" i="43"/>
  <c r="AM168" i="43"/>
  <c r="AL168" i="43"/>
  <c r="AM167" i="43"/>
  <c r="AL167" i="43"/>
  <c r="AM166" i="43"/>
  <c r="AL166" i="43"/>
  <c r="AM165" i="43"/>
  <c r="AL165" i="43"/>
  <c r="AM164" i="43"/>
  <c r="AL164" i="43"/>
  <c r="AM162" i="43"/>
  <c r="AL162" i="43"/>
  <c r="AM161" i="43"/>
  <c r="AL161" i="43"/>
  <c r="AM160" i="43"/>
  <c r="AL160" i="43"/>
  <c r="AM159" i="43"/>
  <c r="AL159" i="43"/>
  <c r="AM158" i="43"/>
  <c r="AL158" i="43"/>
  <c r="AM156" i="43"/>
  <c r="AL156" i="43"/>
  <c r="AM155" i="43"/>
  <c r="AL155" i="43"/>
  <c r="AM154" i="43"/>
  <c r="AL154" i="43"/>
  <c r="AM153" i="43"/>
  <c r="AL153" i="43"/>
  <c r="AM151" i="43"/>
  <c r="AL151" i="43"/>
  <c r="AM150" i="43"/>
  <c r="AL150" i="43"/>
  <c r="AM149" i="43"/>
  <c r="AL149" i="43"/>
  <c r="AM148" i="43"/>
  <c r="AL148" i="43"/>
  <c r="AM147" i="43"/>
  <c r="AL147" i="43"/>
  <c r="AM145" i="43"/>
  <c r="AL145" i="43"/>
  <c r="AM144" i="43"/>
  <c r="AL144" i="43"/>
  <c r="AM143" i="43"/>
  <c r="AL143" i="43"/>
  <c r="AM142" i="43"/>
  <c r="AL142" i="43"/>
  <c r="AM141" i="43"/>
  <c r="AL141" i="43"/>
  <c r="AM139" i="43"/>
  <c r="AL139" i="43"/>
  <c r="AM138" i="43"/>
  <c r="AL138" i="43"/>
  <c r="AM137" i="43"/>
  <c r="AL137" i="43"/>
  <c r="AM136" i="43"/>
  <c r="AL136" i="43"/>
  <c r="AM135" i="43"/>
  <c r="AL135" i="43"/>
  <c r="AM133" i="43"/>
  <c r="AL133" i="43"/>
  <c r="AM132" i="43"/>
  <c r="AL132" i="43"/>
  <c r="AM131" i="43"/>
  <c r="AL131" i="43"/>
  <c r="AM130" i="43"/>
  <c r="AL130" i="43"/>
  <c r="AM129" i="43"/>
  <c r="AL129" i="43"/>
  <c r="AM128" i="43"/>
  <c r="AL128" i="43"/>
  <c r="AM126" i="43"/>
  <c r="AL126" i="43"/>
  <c r="AM125" i="43"/>
  <c r="AL125" i="43"/>
  <c r="AM124" i="43"/>
  <c r="AL124" i="43"/>
  <c r="AM123" i="43"/>
  <c r="AL123" i="43"/>
  <c r="AM122" i="43"/>
  <c r="AL122" i="43"/>
  <c r="AM121" i="43"/>
  <c r="AL121" i="43"/>
  <c r="AM119" i="43"/>
  <c r="AL119" i="43"/>
  <c r="AM118" i="43"/>
  <c r="AL118" i="43"/>
  <c r="AM117" i="43"/>
  <c r="AL117" i="43"/>
  <c r="AM116" i="43"/>
  <c r="AL116" i="43"/>
  <c r="AM114" i="43"/>
  <c r="AL114" i="43"/>
  <c r="AM113" i="43"/>
  <c r="AL113" i="43"/>
  <c r="AM111" i="43"/>
  <c r="AL111" i="43"/>
  <c r="AM110" i="43"/>
  <c r="AL110" i="43"/>
  <c r="AM108" i="43"/>
  <c r="AL108" i="43"/>
  <c r="AM107" i="43"/>
  <c r="AL107" i="43"/>
  <c r="AM106" i="43"/>
  <c r="AL106" i="43"/>
  <c r="AM104" i="43"/>
  <c r="AL104" i="43"/>
  <c r="AM103" i="43"/>
  <c r="AL103" i="43"/>
  <c r="AM102" i="43"/>
  <c r="AL102" i="43"/>
  <c r="AM100" i="43"/>
  <c r="AL100" i="43"/>
  <c r="AM99" i="43"/>
  <c r="AL99" i="43"/>
  <c r="AM97" i="43"/>
  <c r="AL97" i="43"/>
  <c r="AM96" i="43"/>
  <c r="AL96" i="43"/>
  <c r="AM95" i="43"/>
  <c r="AL95" i="43"/>
  <c r="AM93" i="43"/>
  <c r="AL93" i="43"/>
  <c r="AM92" i="43"/>
  <c r="AL92" i="43"/>
  <c r="AM91" i="43"/>
  <c r="AL91" i="43"/>
  <c r="AM89" i="43"/>
  <c r="AL89" i="43"/>
  <c r="AM88" i="43"/>
  <c r="AL88" i="43"/>
  <c r="AM86" i="43"/>
  <c r="AL86" i="43"/>
  <c r="AM85" i="43"/>
  <c r="AL85" i="43"/>
  <c r="AM84" i="43"/>
  <c r="AL84" i="43"/>
  <c r="AM82" i="43"/>
  <c r="AL82" i="43"/>
  <c r="AM81" i="43"/>
  <c r="AL81" i="43"/>
  <c r="AM79" i="43"/>
  <c r="AL79" i="43"/>
  <c r="AM78" i="43"/>
  <c r="AL78" i="43"/>
  <c r="AM76" i="43"/>
  <c r="AL76" i="43"/>
  <c r="AM75" i="43"/>
  <c r="AL75" i="43"/>
  <c r="AM74" i="43"/>
  <c r="AL74" i="43"/>
  <c r="AM72" i="43"/>
  <c r="AL72" i="43"/>
  <c r="AM71" i="43"/>
  <c r="AL71" i="43"/>
  <c r="AM70" i="43"/>
  <c r="AL70" i="43"/>
  <c r="AM69" i="43"/>
  <c r="AL69" i="43"/>
  <c r="AM67" i="43"/>
  <c r="AL67" i="43"/>
  <c r="AM66" i="43"/>
  <c r="AL66" i="43"/>
  <c r="AM64" i="43"/>
  <c r="AL64" i="43"/>
  <c r="AM63" i="43"/>
  <c r="AL63" i="43"/>
  <c r="AM62" i="43"/>
  <c r="AL62" i="43"/>
  <c r="AM60" i="43"/>
  <c r="AL60" i="43"/>
  <c r="AM59" i="43"/>
  <c r="AL59" i="43"/>
  <c r="AM58" i="43"/>
  <c r="AL58" i="43"/>
  <c r="AM56" i="43"/>
  <c r="AL56" i="43"/>
  <c r="AM55" i="43"/>
  <c r="AL55" i="43"/>
  <c r="AM54" i="43"/>
  <c r="AL54" i="43"/>
  <c r="AM52" i="43"/>
  <c r="AL52" i="43"/>
  <c r="AM51" i="43"/>
  <c r="AL51" i="43"/>
  <c r="AM49" i="43"/>
  <c r="AL49" i="43"/>
  <c r="AM48" i="43"/>
  <c r="AL48" i="43"/>
  <c r="AM46" i="43"/>
  <c r="AL46" i="43"/>
  <c r="AM45" i="43"/>
  <c r="AL45" i="43"/>
  <c r="AM43" i="43"/>
  <c r="AL43" i="43"/>
  <c r="AM42" i="43"/>
  <c r="AL42" i="43"/>
  <c r="AM41" i="43"/>
  <c r="AL41" i="43"/>
  <c r="AM39" i="43"/>
  <c r="AL39" i="43"/>
  <c r="AM38" i="43"/>
  <c r="AL38" i="43"/>
  <c r="AM36" i="43"/>
  <c r="AL36" i="43"/>
  <c r="AM35" i="43"/>
  <c r="AL35" i="43"/>
  <c r="AM33" i="43"/>
  <c r="AL33" i="43"/>
  <c r="AM32" i="43"/>
  <c r="AL32" i="43"/>
  <c r="AM31" i="43"/>
  <c r="AL31" i="43"/>
  <c r="AM29" i="43"/>
  <c r="AL29" i="43"/>
  <c r="AM28" i="43"/>
  <c r="AL28" i="43"/>
  <c r="AM26" i="43"/>
  <c r="AL26" i="43"/>
  <c r="AM25" i="43"/>
  <c r="AL25" i="43"/>
  <c r="AM24" i="43"/>
  <c r="AL24" i="43"/>
  <c r="AM23" i="43"/>
  <c r="AL23" i="43"/>
  <c r="AM21" i="43"/>
  <c r="AL21" i="43"/>
  <c r="AM20" i="43"/>
  <c r="AL20" i="43"/>
  <c r="AM19" i="43"/>
  <c r="AL19" i="43"/>
  <c r="AM17" i="43"/>
  <c r="AL17" i="43"/>
  <c r="AM16" i="43"/>
  <c r="AL16" i="43"/>
  <c r="AM14" i="43"/>
  <c r="AL14" i="43"/>
  <c r="AM12" i="43"/>
  <c r="AL12" i="43"/>
  <c r="AR118" i="43" l="1"/>
  <c r="AX118" i="43"/>
  <c r="AW118" i="43"/>
  <c r="AE118" i="43"/>
  <c r="AU118" i="43" s="1"/>
  <c r="Y118" i="43"/>
  <c r="AQ118" i="43" s="1"/>
  <c r="V118" i="43"/>
  <c r="AA118" i="43" s="1"/>
  <c r="AR128" i="44"/>
  <c r="AR127" i="44"/>
  <c r="AR126" i="44"/>
  <c r="AR125" i="44"/>
  <c r="AR124" i="44"/>
  <c r="AR122" i="44"/>
  <c r="AR121" i="44"/>
  <c r="AR120" i="44"/>
  <c r="AR119" i="44"/>
  <c r="AR118" i="44"/>
  <c r="AR117" i="44"/>
  <c r="AR116" i="44"/>
  <c r="AR115" i="44"/>
  <c r="AR113" i="44"/>
  <c r="AR111" i="44"/>
  <c r="AR110" i="44"/>
  <c r="AR109" i="44"/>
  <c r="AR108" i="44"/>
  <c r="AR107" i="44"/>
  <c r="AR105" i="44"/>
  <c r="AR103" i="44"/>
  <c r="AR102" i="44"/>
  <c r="AR101" i="44"/>
  <c r="AR99" i="44"/>
  <c r="AR98" i="44"/>
  <c r="AR97" i="44"/>
  <c r="AR96" i="44"/>
  <c r="AR95" i="44"/>
  <c r="AR93" i="44"/>
  <c r="AR92" i="44"/>
  <c r="AR91" i="44"/>
  <c r="AR89" i="44"/>
  <c r="AR88" i="44"/>
  <c r="AR87" i="44"/>
  <c r="AR86" i="44"/>
  <c r="AR85" i="44"/>
  <c r="AR84" i="44"/>
  <c r="AR82" i="44"/>
  <c r="AR81" i="44"/>
  <c r="AR80" i="44"/>
  <c r="AR79" i="44"/>
  <c r="AR78" i="44"/>
  <c r="AR77" i="44"/>
  <c r="AR75" i="44"/>
  <c r="AR74" i="44"/>
  <c r="AR73" i="44"/>
  <c r="AR72" i="44"/>
  <c r="AR71" i="44"/>
  <c r="AR70" i="44"/>
  <c r="AR68" i="44"/>
  <c r="AR67" i="44"/>
  <c r="AR66" i="44"/>
  <c r="AR65" i="44"/>
  <c r="AR64" i="44"/>
  <c r="AR63" i="44"/>
  <c r="AR61" i="44"/>
  <c r="AR60" i="44"/>
  <c r="AR59" i="44"/>
  <c r="AR58" i="44"/>
  <c r="AR57" i="44"/>
  <c r="AR56" i="44"/>
  <c r="AR54" i="44"/>
  <c r="AR53" i="44"/>
  <c r="AR52" i="44"/>
  <c r="AR51" i="44"/>
  <c r="AR50" i="44"/>
  <c r="AR49" i="44"/>
  <c r="AR47" i="44"/>
  <c r="AR46" i="44"/>
  <c r="AR45" i="44"/>
  <c r="AR44" i="44"/>
  <c r="AR43" i="44"/>
  <c r="AR42" i="44"/>
  <c r="AR40" i="44"/>
  <c r="AR39" i="44"/>
  <c r="AR38" i="44"/>
  <c r="AR37" i="44"/>
  <c r="AR36" i="44"/>
  <c r="AR35" i="44"/>
  <c r="AR33" i="44"/>
  <c r="AR32" i="44"/>
  <c r="AR31" i="44"/>
  <c r="AR30" i="44"/>
  <c r="AR29" i="44"/>
  <c r="AR28" i="44"/>
  <c r="AR26" i="44"/>
  <c r="AR25" i="44"/>
  <c r="AR24" i="44"/>
  <c r="AR23" i="44"/>
  <c r="AR22" i="44"/>
  <c r="AR21" i="44"/>
  <c r="AR20" i="44"/>
  <c r="AR19" i="44"/>
  <c r="AR17" i="44"/>
  <c r="AR16" i="44"/>
  <c r="AR15" i="44"/>
  <c r="AR14" i="44"/>
  <c r="AR12" i="44"/>
  <c r="L134" i="44"/>
  <c r="L135" i="44"/>
  <c r="L136" i="44"/>
  <c r="L137" i="44"/>
  <c r="L138" i="44"/>
  <c r="L139" i="44"/>
  <c r="L140" i="44"/>
  <c r="L141" i="44"/>
  <c r="L142" i="44"/>
  <c r="L143" i="44"/>
  <c r="L130" i="44"/>
  <c r="E14" i="45" s="1"/>
  <c r="AI129" i="44"/>
  <c r="AI123" i="44"/>
  <c r="AI114" i="44"/>
  <c r="AI112" i="44"/>
  <c r="AI106" i="44"/>
  <c r="AI104" i="44"/>
  <c r="AI100" i="44"/>
  <c r="AI94" i="44"/>
  <c r="AI90" i="44"/>
  <c r="AI83" i="44"/>
  <c r="AI76" i="44"/>
  <c r="AI69" i="44"/>
  <c r="AI62" i="44"/>
  <c r="AI55" i="44"/>
  <c r="AI48" i="44"/>
  <c r="AI41" i="44"/>
  <c r="AI34" i="44"/>
  <c r="AI27" i="44"/>
  <c r="AI18" i="44"/>
  <c r="AI13" i="44"/>
  <c r="V113" i="44"/>
  <c r="AA113" i="44" s="1"/>
  <c r="AR454" i="43"/>
  <c r="AR453" i="43"/>
  <c r="AR451" i="43"/>
  <c r="AR450" i="43"/>
  <c r="AR448" i="43"/>
  <c r="AR447" i="43"/>
  <c r="AR446" i="43"/>
  <c r="AR445" i="43"/>
  <c r="AR444" i="43"/>
  <c r="AR442" i="43"/>
  <c r="AR441" i="43"/>
  <c r="AR440" i="43"/>
  <c r="AR439" i="43"/>
  <c r="AR438" i="43"/>
  <c r="AR437" i="43"/>
  <c r="AR435" i="43"/>
  <c r="AR434" i="43"/>
  <c r="AR433" i="43"/>
  <c r="AR432" i="43"/>
  <c r="AR431" i="43"/>
  <c r="AR430" i="43"/>
  <c r="AR428" i="43"/>
  <c r="AR427" i="43"/>
  <c r="AR426" i="43"/>
  <c r="AR425" i="43"/>
  <c r="AR424" i="43"/>
  <c r="AR423" i="43"/>
  <c r="AR421" i="43"/>
  <c r="AR420" i="43"/>
  <c r="AR419" i="43"/>
  <c r="AR418" i="43"/>
  <c r="AR417" i="43"/>
  <c r="AR416" i="43"/>
  <c r="AR414" i="43"/>
  <c r="AR413" i="43"/>
  <c r="AR412" i="43"/>
  <c r="AR411" i="43"/>
  <c r="AR410" i="43"/>
  <c r="AR409" i="43"/>
  <c r="AR407" i="43"/>
  <c r="AR406" i="43"/>
  <c r="AR405" i="43"/>
  <c r="AR404" i="43"/>
  <c r="AR403" i="43"/>
  <c r="AR401" i="43"/>
  <c r="AR400" i="43"/>
  <c r="AR398" i="43"/>
  <c r="AR397" i="43"/>
  <c r="AR396" i="43"/>
  <c r="AR395" i="43"/>
  <c r="AR394" i="43"/>
  <c r="AR393" i="43"/>
  <c r="AR391" i="43"/>
  <c r="AR390" i="43"/>
  <c r="AR389" i="43"/>
  <c r="AR388" i="43"/>
  <c r="AR387" i="43"/>
  <c r="AR386" i="43"/>
  <c r="AR384" i="43"/>
  <c r="AR383" i="43"/>
  <c r="AR382" i="43"/>
  <c r="AR380" i="43"/>
  <c r="AR379" i="43"/>
  <c r="AR378" i="43"/>
  <c r="AR377" i="43"/>
  <c r="AR376" i="43"/>
  <c r="AR374" i="43"/>
  <c r="AR373" i="43"/>
  <c r="AR372" i="43"/>
  <c r="AR371" i="43"/>
  <c r="AR370" i="43"/>
  <c r="AR369" i="43"/>
  <c r="AR367" i="43"/>
  <c r="AR365" i="43"/>
  <c r="AR364" i="43"/>
  <c r="AR363" i="43"/>
  <c r="AR361" i="43"/>
  <c r="AR360" i="43"/>
  <c r="AR359" i="43"/>
  <c r="AR358" i="43"/>
  <c r="AR357" i="43"/>
  <c r="AR356" i="43"/>
  <c r="AR354" i="43"/>
  <c r="AR353" i="43"/>
  <c r="AR352" i="43"/>
  <c r="AR351" i="43"/>
  <c r="AR349" i="43"/>
  <c r="AR348" i="43"/>
  <c r="AR347" i="43"/>
  <c r="AR346" i="43"/>
  <c r="AR345" i="43"/>
  <c r="AR344" i="43"/>
  <c r="AR342" i="43"/>
  <c r="AR341" i="43"/>
  <c r="AR340" i="43"/>
  <c r="AR339" i="43"/>
  <c r="AR338" i="43"/>
  <c r="AR336" i="43"/>
  <c r="AR335" i="43"/>
  <c r="AR334" i="43"/>
  <c r="AR333" i="43"/>
  <c r="AR332" i="43"/>
  <c r="AR331" i="43"/>
  <c r="AR330" i="43"/>
  <c r="AR328" i="43"/>
  <c r="AR327" i="43"/>
  <c r="AR325" i="43"/>
  <c r="AR324" i="43"/>
  <c r="AR323" i="43"/>
  <c r="AR321" i="43"/>
  <c r="AR320" i="43"/>
  <c r="AR318" i="43"/>
  <c r="AR316" i="43"/>
  <c r="AR315" i="43"/>
  <c r="AR314" i="43"/>
  <c r="AR313" i="43"/>
  <c r="AR312" i="43"/>
  <c r="AR310" i="43"/>
  <c r="AR309" i="43"/>
  <c r="AR308" i="43"/>
  <c r="AR306" i="43"/>
  <c r="AR305" i="43"/>
  <c r="AR304" i="43"/>
  <c r="AR303" i="43"/>
  <c r="AR302" i="43"/>
  <c r="AR301" i="43"/>
  <c r="AR299" i="43"/>
  <c r="AR298" i="43"/>
  <c r="AR297" i="43"/>
  <c r="AR296" i="43"/>
  <c r="AR295" i="43"/>
  <c r="AR294" i="43"/>
  <c r="AR292" i="43"/>
  <c r="AR290" i="43"/>
  <c r="AR289" i="43"/>
  <c r="AR288" i="43"/>
  <c r="AR287" i="43"/>
  <c r="AR286" i="43"/>
  <c r="AR285" i="43"/>
  <c r="AR284" i="43"/>
  <c r="AR282" i="43"/>
  <c r="AR281" i="43"/>
  <c r="AR280" i="43"/>
  <c r="AR279" i="43"/>
  <c r="AR277" i="43"/>
  <c r="AR276" i="43"/>
  <c r="AR275" i="43"/>
  <c r="AR274" i="43"/>
  <c r="AR273" i="43"/>
  <c r="AR272" i="43"/>
  <c r="AR270" i="43"/>
  <c r="AR269" i="43"/>
  <c r="AR268" i="43"/>
  <c r="AR266" i="43"/>
  <c r="AR265" i="43"/>
  <c r="AR264" i="43"/>
  <c r="AR263" i="43"/>
  <c r="AR262" i="43"/>
  <c r="AR260" i="43"/>
  <c r="AR259" i="43"/>
  <c r="AR258" i="43"/>
  <c r="AR256" i="43"/>
  <c r="AR255" i="43"/>
  <c r="AR254" i="43"/>
  <c r="AR252" i="43"/>
  <c r="AR250" i="43"/>
  <c r="AR249" i="43"/>
  <c r="AR248" i="43"/>
  <c r="AR247" i="43"/>
  <c r="AR246" i="43"/>
  <c r="AR245" i="43"/>
  <c r="AR243" i="43"/>
  <c r="AR242" i="43"/>
  <c r="AR241" i="43"/>
  <c r="AR240" i="43"/>
  <c r="AR239" i="43"/>
  <c r="AR237" i="43"/>
  <c r="AR236" i="43"/>
  <c r="AR235" i="43"/>
  <c r="AR234" i="43"/>
  <c r="AR233" i="43"/>
  <c r="AR231" i="43"/>
  <c r="AR230" i="43"/>
  <c r="AR229" i="43"/>
  <c r="AR228" i="43"/>
  <c r="AR227" i="43"/>
  <c r="AR225" i="43"/>
  <c r="AR224" i="43"/>
  <c r="AR223" i="43"/>
  <c r="AR222" i="43"/>
  <c r="AR221" i="43"/>
  <c r="AR219" i="43"/>
  <c r="AR218" i="43"/>
  <c r="AR217" i="43"/>
  <c r="AR216" i="43"/>
  <c r="AR215" i="43"/>
  <c r="AR213" i="43"/>
  <c r="AR212" i="43"/>
  <c r="AR211" i="43"/>
  <c r="AR210" i="43"/>
  <c r="AR209" i="43"/>
  <c r="AR207" i="43"/>
  <c r="AR206" i="43"/>
  <c r="AR205" i="43"/>
  <c r="AR204" i="43"/>
  <c r="AR203" i="43"/>
  <c r="AR202" i="43"/>
  <c r="AR200" i="43"/>
  <c r="AR199" i="43"/>
  <c r="AR198" i="43"/>
  <c r="AR197" i="43"/>
  <c r="AR196" i="43"/>
  <c r="AR194" i="43"/>
  <c r="AR193" i="43"/>
  <c r="AR192" i="43"/>
  <c r="AR191" i="43"/>
  <c r="AR190" i="43"/>
  <c r="AR188" i="43"/>
  <c r="AR187" i="43"/>
  <c r="AR186" i="43"/>
  <c r="AR185" i="43"/>
  <c r="AR184" i="43"/>
  <c r="AR183" i="43"/>
  <c r="AR181" i="43"/>
  <c r="AR180" i="43"/>
  <c r="AR179" i="43"/>
  <c r="AR178" i="43"/>
  <c r="AR177" i="43"/>
  <c r="AR176" i="43"/>
  <c r="AR174" i="43"/>
  <c r="AR173" i="43"/>
  <c r="AR172" i="43"/>
  <c r="AR171" i="43"/>
  <c r="AR170" i="43"/>
  <c r="AR168" i="43"/>
  <c r="AR167" i="43"/>
  <c r="AR166" i="43"/>
  <c r="AR165" i="43"/>
  <c r="AR164" i="43"/>
  <c r="AR162" i="43"/>
  <c r="AR161" i="43"/>
  <c r="AR160" i="43"/>
  <c r="AR159" i="43"/>
  <c r="AR158" i="43"/>
  <c r="AR156" i="43"/>
  <c r="AR155" i="43"/>
  <c r="AR154" i="43"/>
  <c r="AR153" i="43"/>
  <c r="AR151" i="43"/>
  <c r="AR150" i="43"/>
  <c r="AR149" i="43"/>
  <c r="AR148" i="43"/>
  <c r="AR147" i="43"/>
  <c r="AR145" i="43"/>
  <c r="AR144" i="43"/>
  <c r="AR143" i="43"/>
  <c r="AR142" i="43"/>
  <c r="AR141" i="43"/>
  <c r="AR139" i="43"/>
  <c r="AR138" i="43"/>
  <c r="AR137" i="43"/>
  <c r="AR136" i="43"/>
  <c r="AR135" i="43"/>
  <c r="AR133" i="43"/>
  <c r="AR132" i="43"/>
  <c r="AR131" i="43"/>
  <c r="AR130" i="43"/>
  <c r="AR129" i="43"/>
  <c r="AR128" i="43"/>
  <c r="AR126" i="43"/>
  <c r="AR125" i="43"/>
  <c r="AR124" i="43"/>
  <c r="AR123" i="43"/>
  <c r="AR122" i="43"/>
  <c r="AR121" i="43"/>
  <c r="AR119" i="43"/>
  <c r="AR117" i="43"/>
  <c r="AR116" i="43"/>
  <c r="AR114" i="43"/>
  <c r="AR113" i="43"/>
  <c r="AR111" i="43"/>
  <c r="AR110" i="43"/>
  <c r="AR108" i="43"/>
  <c r="AR107" i="43"/>
  <c r="AR106" i="43"/>
  <c r="AR104" i="43"/>
  <c r="AR103" i="43"/>
  <c r="AR102" i="43"/>
  <c r="AR100" i="43"/>
  <c r="AR99" i="43"/>
  <c r="AR97" i="43"/>
  <c r="AR96" i="43"/>
  <c r="AR95" i="43"/>
  <c r="AR93" i="43"/>
  <c r="AR92" i="43"/>
  <c r="AR91" i="43"/>
  <c r="AR89" i="43"/>
  <c r="AR88" i="43"/>
  <c r="AR86" i="43"/>
  <c r="AR85" i="43"/>
  <c r="AR84" i="43"/>
  <c r="AR82" i="43"/>
  <c r="AR81" i="43"/>
  <c r="AR79" i="43"/>
  <c r="AR78" i="43"/>
  <c r="AR76" i="43"/>
  <c r="AR75" i="43"/>
  <c r="AR74" i="43"/>
  <c r="AR72" i="43"/>
  <c r="AR71" i="43"/>
  <c r="AR70" i="43"/>
  <c r="AR69" i="43"/>
  <c r="AR67" i="43"/>
  <c r="AR66" i="43"/>
  <c r="AR64" i="43"/>
  <c r="AR63" i="43"/>
  <c r="AR62" i="43"/>
  <c r="AR60" i="43"/>
  <c r="AR59" i="43"/>
  <c r="AR58" i="43"/>
  <c r="AR56" i="43"/>
  <c r="AR55" i="43"/>
  <c r="AR54" i="43"/>
  <c r="AR52" i="43"/>
  <c r="AR51" i="43"/>
  <c r="AR49" i="43"/>
  <c r="AR48" i="43"/>
  <c r="AR46" i="43"/>
  <c r="AR45" i="43"/>
  <c r="AR43" i="43"/>
  <c r="AR42" i="43"/>
  <c r="AR41" i="43"/>
  <c r="AR39" i="43"/>
  <c r="AR38" i="43"/>
  <c r="AR36" i="43"/>
  <c r="AR35" i="43"/>
  <c r="AR33" i="43"/>
  <c r="AR32" i="43"/>
  <c r="AR31" i="43"/>
  <c r="AR29" i="43"/>
  <c r="AR28" i="43"/>
  <c r="AR26" i="43"/>
  <c r="AR25" i="43"/>
  <c r="AR24" i="43"/>
  <c r="AR23" i="43"/>
  <c r="AR21" i="43"/>
  <c r="AR20" i="43"/>
  <c r="AR19" i="43"/>
  <c r="AR17" i="43"/>
  <c r="AR16" i="43"/>
  <c r="AR14" i="43"/>
  <c r="AR12" i="43"/>
  <c r="L460" i="43"/>
  <c r="E27" i="45" s="1"/>
  <c r="L461" i="43"/>
  <c r="E28" i="45" s="1"/>
  <c r="L462" i="43"/>
  <c r="E29" i="45" s="1"/>
  <c r="L463" i="43"/>
  <c r="E30" i="45" s="1"/>
  <c r="L464" i="43"/>
  <c r="E31" i="45" s="1"/>
  <c r="L465" i="43"/>
  <c r="E32" i="45" s="1"/>
  <c r="L466" i="43"/>
  <c r="E33" i="45" s="1"/>
  <c r="L467" i="43"/>
  <c r="L468" i="43"/>
  <c r="E35" i="45" s="1"/>
  <c r="L469" i="43"/>
  <c r="E36" i="45" s="1"/>
  <c r="L456" i="43"/>
  <c r="E13" i="45" s="1"/>
  <c r="S13" i="43"/>
  <c r="S18" i="43"/>
  <c r="S22" i="43"/>
  <c r="S27" i="43"/>
  <c r="S30" i="43"/>
  <c r="S34" i="43"/>
  <c r="S37" i="43"/>
  <c r="S40" i="43"/>
  <c r="S44" i="43"/>
  <c r="S47" i="43"/>
  <c r="S50" i="43"/>
  <c r="S53" i="43"/>
  <c r="S57" i="43"/>
  <c r="S61" i="43"/>
  <c r="S65" i="43"/>
  <c r="S68" i="43"/>
  <c r="S73" i="43"/>
  <c r="S77" i="43"/>
  <c r="S80" i="43"/>
  <c r="S83" i="43"/>
  <c r="S87" i="43"/>
  <c r="S90" i="43"/>
  <c r="S94" i="43"/>
  <c r="S98" i="43"/>
  <c r="S101" i="43"/>
  <c r="S105" i="43"/>
  <c r="S109" i="43"/>
  <c r="S112" i="43"/>
  <c r="S115" i="43"/>
  <c r="S120" i="43"/>
  <c r="S127" i="43"/>
  <c r="S134" i="43"/>
  <c r="S140" i="43"/>
  <c r="S146" i="43"/>
  <c r="S152" i="43"/>
  <c r="S157" i="43"/>
  <c r="S163" i="43"/>
  <c r="S169" i="43"/>
  <c r="S175" i="43"/>
  <c r="S182" i="43"/>
  <c r="S189" i="43"/>
  <c r="S195" i="43"/>
  <c r="S201" i="43"/>
  <c r="S208" i="43"/>
  <c r="S214" i="43"/>
  <c r="S220" i="43"/>
  <c r="S226" i="43"/>
  <c r="S232" i="43"/>
  <c r="S238" i="43"/>
  <c r="S244" i="43"/>
  <c r="S251" i="43"/>
  <c r="S253" i="43"/>
  <c r="S257" i="43"/>
  <c r="S261" i="43"/>
  <c r="S267" i="43"/>
  <c r="S271" i="43"/>
  <c r="S278" i="43"/>
  <c r="S283" i="43"/>
  <c r="S291" i="43"/>
  <c r="S293" i="43"/>
  <c r="S300" i="43"/>
  <c r="S307" i="43"/>
  <c r="S311" i="43"/>
  <c r="S317" i="43"/>
  <c r="S319" i="43"/>
  <c r="S322" i="43"/>
  <c r="S326" i="43"/>
  <c r="S329" i="43"/>
  <c r="S337" i="43"/>
  <c r="S343" i="43"/>
  <c r="S350" i="43"/>
  <c r="S355" i="43"/>
  <c r="S362" i="43"/>
  <c r="S366" i="43"/>
  <c r="S368" i="43"/>
  <c r="S375" i="43"/>
  <c r="S381" i="43"/>
  <c r="S385" i="43"/>
  <c r="S392" i="43"/>
  <c r="S399" i="43"/>
  <c r="S402" i="43"/>
  <c r="S408" i="43"/>
  <c r="S415" i="43"/>
  <c r="S422" i="43"/>
  <c r="S429" i="43"/>
  <c r="S436" i="43"/>
  <c r="S443" i="43"/>
  <c r="S449" i="43"/>
  <c r="S452" i="43"/>
  <c r="S455" i="43"/>
  <c r="E34" i="45" l="1"/>
  <c r="E26" i="45" s="1"/>
  <c r="AP118" i="43"/>
  <c r="AS118" i="43"/>
  <c r="AB118" i="43"/>
  <c r="AT118" i="43" s="1"/>
  <c r="Z118" i="43"/>
  <c r="AN118" i="43"/>
  <c r="AV118" i="43" s="1"/>
  <c r="E23" i="45"/>
  <c r="L133" i="44"/>
  <c r="L459" i="43"/>
  <c r="AF118" i="43" l="1"/>
  <c r="AO118" i="43" s="1"/>
  <c r="W399" i="43" l="1"/>
  <c r="W267" i="43"/>
  <c r="X455" i="43"/>
  <c r="W455" i="43"/>
  <c r="X452" i="43"/>
  <c r="W452" i="43"/>
  <c r="X449" i="43"/>
  <c r="W449" i="43"/>
  <c r="X443" i="43"/>
  <c r="W443" i="43"/>
  <c r="X436" i="43"/>
  <c r="W436" i="43"/>
  <c r="X429" i="43"/>
  <c r="W429" i="43"/>
  <c r="X422" i="43"/>
  <c r="W422" i="43"/>
  <c r="X415" i="43"/>
  <c r="W415" i="43"/>
  <c r="X408" i="43"/>
  <c r="W408" i="43"/>
  <c r="X402" i="43"/>
  <c r="W402" i="43"/>
  <c r="X399" i="43"/>
  <c r="X392" i="43"/>
  <c r="W392" i="43"/>
  <c r="X385" i="43"/>
  <c r="W385" i="43"/>
  <c r="X381" i="43"/>
  <c r="W381" i="43"/>
  <c r="X375" i="43"/>
  <c r="W375" i="43"/>
  <c r="X368" i="43"/>
  <c r="W368" i="43"/>
  <c r="X366" i="43"/>
  <c r="W366" i="43"/>
  <c r="X362" i="43"/>
  <c r="W362" i="43"/>
  <c r="X355" i="43"/>
  <c r="W355" i="43"/>
  <c r="X350" i="43"/>
  <c r="W350" i="43"/>
  <c r="X343" i="43"/>
  <c r="W343" i="43"/>
  <c r="X337" i="43"/>
  <c r="W337" i="43"/>
  <c r="X329" i="43"/>
  <c r="W329" i="43"/>
  <c r="X326" i="43"/>
  <c r="W326" i="43"/>
  <c r="X322" i="43"/>
  <c r="W322" i="43"/>
  <c r="X319" i="43"/>
  <c r="W319" i="43"/>
  <c r="X317" i="43"/>
  <c r="W317" i="43"/>
  <c r="X311" i="43"/>
  <c r="W311" i="43"/>
  <c r="X307" i="43"/>
  <c r="W307" i="43"/>
  <c r="X300" i="43"/>
  <c r="W300" i="43"/>
  <c r="X293" i="43"/>
  <c r="W293" i="43"/>
  <c r="X291" i="43"/>
  <c r="W291" i="43"/>
  <c r="X283" i="43"/>
  <c r="W283" i="43"/>
  <c r="X278" i="43"/>
  <c r="W278" i="43"/>
  <c r="X271" i="43"/>
  <c r="W271" i="43"/>
  <c r="X267" i="43"/>
  <c r="X261" i="43"/>
  <c r="W261" i="43"/>
  <c r="X257" i="43"/>
  <c r="W257" i="43"/>
  <c r="X253" i="43"/>
  <c r="W253" i="43"/>
  <c r="X251" i="43"/>
  <c r="W251" i="43"/>
  <c r="X244" i="43"/>
  <c r="W244" i="43"/>
  <c r="X238" i="43"/>
  <c r="W238" i="43"/>
  <c r="X232" i="43"/>
  <c r="W232" i="43"/>
  <c r="X226" i="43"/>
  <c r="W226" i="43"/>
  <c r="X220" i="43"/>
  <c r="W220" i="43"/>
  <c r="X214" i="43"/>
  <c r="W214" i="43"/>
  <c r="X208" i="43"/>
  <c r="W208" i="43"/>
  <c r="X201" i="43"/>
  <c r="W201" i="43"/>
  <c r="X195" i="43"/>
  <c r="W195" i="43"/>
  <c r="X189" i="43"/>
  <c r="W189" i="43"/>
  <c r="X182" i="43"/>
  <c r="W182" i="43"/>
  <c r="X175" i="43"/>
  <c r="W175" i="43"/>
  <c r="X169" i="43"/>
  <c r="W169" i="43"/>
  <c r="X163" i="43"/>
  <c r="W163" i="43"/>
  <c r="X157" i="43"/>
  <c r="W157" i="43"/>
  <c r="X152" i="43"/>
  <c r="W152" i="43"/>
  <c r="X146" i="43"/>
  <c r="W146" i="43"/>
  <c r="X140" i="43"/>
  <c r="W140" i="43"/>
  <c r="X134" i="43"/>
  <c r="W134" i="43"/>
  <c r="X127" i="43"/>
  <c r="W127" i="43"/>
  <c r="X120" i="43"/>
  <c r="W120" i="43"/>
  <c r="X115" i="43"/>
  <c r="W115" i="43"/>
  <c r="X112" i="43"/>
  <c r="W112" i="43"/>
  <c r="X109" i="43"/>
  <c r="W109" i="43"/>
  <c r="X105" i="43"/>
  <c r="W105" i="43"/>
  <c r="X101" i="43"/>
  <c r="W101" i="43"/>
  <c r="X98" i="43"/>
  <c r="W98" i="43"/>
  <c r="X94" i="43"/>
  <c r="W94" i="43"/>
  <c r="X90" i="43"/>
  <c r="W90" i="43"/>
  <c r="X87" i="43"/>
  <c r="W87" i="43"/>
  <c r="X83" i="43"/>
  <c r="W83" i="43"/>
  <c r="X80" i="43"/>
  <c r="W80" i="43"/>
  <c r="X77" i="43"/>
  <c r="W77" i="43"/>
  <c r="X73" i="43"/>
  <c r="W73" i="43"/>
  <c r="X68" i="43"/>
  <c r="W68" i="43"/>
  <c r="X65" i="43"/>
  <c r="W65" i="43"/>
  <c r="X61" i="43"/>
  <c r="W61" i="43"/>
  <c r="X57" i="43"/>
  <c r="W57" i="43"/>
  <c r="X53" i="43"/>
  <c r="W53" i="43"/>
  <c r="X50" i="43"/>
  <c r="W50" i="43"/>
  <c r="X47" i="43"/>
  <c r="W47" i="43"/>
  <c r="X44" i="43"/>
  <c r="W44" i="43"/>
  <c r="X40" i="43"/>
  <c r="W40" i="43"/>
  <c r="X37" i="43"/>
  <c r="W37" i="43"/>
  <c r="X34" i="43"/>
  <c r="W34" i="43"/>
  <c r="X30" i="43"/>
  <c r="W30" i="43"/>
  <c r="X27" i="43"/>
  <c r="W27" i="43"/>
  <c r="X22" i="43"/>
  <c r="W22" i="43"/>
  <c r="X18" i="43"/>
  <c r="W18" i="43"/>
  <c r="X13" i="43"/>
  <c r="W13" i="43"/>
  <c r="AH455" i="43"/>
  <c r="AG455" i="43"/>
  <c r="AH452" i="43"/>
  <c r="AG452" i="43"/>
  <c r="AH449" i="43"/>
  <c r="AG449" i="43"/>
  <c r="AH443" i="43"/>
  <c r="AG443" i="43"/>
  <c r="AH436" i="43"/>
  <c r="AG436" i="43"/>
  <c r="AH429" i="43"/>
  <c r="AG429" i="43"/>
  <c r="AH422" i="43"/>
  <c r="AG422" i="43"/>
  <c r="AH415" i="43"/>
  <c r="AG415" i="43"/>
  <c r="AH408" i="43"/>
  <c r="AG408" i="43"/>
  <c r="AH402" i="43"/>
  <c r="AG402" i="43"/>
  <c r="AH399" i="43"/>
  <c r="AG399" i="43"/>
  <c r="AH392" i="43"/>
  <c r="AG392" i="43"/>
  <c r="AH385" i="43"/>
  <c r="AG385" i="43"/>
  <c r="AH381" i="43"/>
  <c r="AG381" i="43"/>
  <c r="AH375" i="43"/>
  <c r="AG375" i="43"/>
  <c r="AH368" i="43"/>
  <c r="AG368" i="43"/>
  <c r="AH366" i="43"/>
  <c r="AG366" i="43"/>
  <c r="AH362" i="43"/>
  <c r="AG362" i="43"/>
  <c r="AH355" i="43"/>
  <c r="AG355" i="43"/>
  <c r="AH350" i="43"/>
  <c r="AG350" i="43"/>
  <c r="AH343" i="43"/>
  <c r="AG343" i="43"/>
  <c r="AH337" i="43"/>
  <c r="AG337" i="43"/>
  <c r="AH329" i="43"/>
  <c r="AG329" i="43"/>
  <c r="AH326" i="43"/>
  <c r="AG326" i="43"/>
  <c r="AH322" i="43"/>
  <c r="AG322" i="43"/>
  <c r="AH319" i="43"/>
  <c r="AG319" i="43"/>
  <c r="AH317" i="43"/>
  <c r="AG317" i="43"/>
  <c r="AH311" i="43"/>
  <c r="AG311" i="43"/>
  <c r="AH307" i="43"/>
  <c r="AG307" i="43"/>
  <c r="AH300" i="43"/>
  <c r="AG300" i="43"/>
  <c r="AH293" i="43"/>
  <c r="AG293" i="43"/>
  <c r="AH291" i="43"/>
  <c r="AG291" i="43"/>
  <c r="AH283" i="43"/>
  <c r="AG283" i="43"/>
  <c r="AH278" i="43"/>
  <c r="AG278" i="43"/>
  <c r="AH271" i="43"/>
  <c r="AG271" i="43"/>
  <c r="AH267" i="43"/>
  <c r="AG267" i="43"/>
  <c r="AH261" i="43"/>
  <c r="AG261" i="43"/>
  <c r="AH257" i="43"/>
  <c r="AG257" i="43"/>
  <c r="AH253" i="43"/>
  <c r="AG253" i="43"/>
  <c r="AH251" i="43"/>
  <c r="AG251" i="43"/>
  <c r="AH244" i="43"/>
  <c r="AG244" i="43"/>
  <c r="AH238" i="43"/>
  <c r="AG238" i="43"/>
  <c r="AH232" i="43"/>
  <c r="AG232" i="43"/>
  <c r="AH226" i="43"/>
  <c r="AG226" i="43"/>
  <c r="AH220" i="43"/>
  <c r="AG220" i="43"/>
  <c r="AH214" i="43"/>
  <c r="AG214" i="43"/>
  <c r="AH208" i="43"/>
  <c r="AG208" i="43"/>
  <c r="AH201" i="43"/>
  <c r="AG201" i="43"/>
  <c r="AH195" i="43"/>
  <c r="AG195" i="43"/>
  <c r="AH189" i="43"/>
  <c r="AG189" i="43"/>
  <c r="AH182" i="43"/>
  <c r="AG182" i="43"/>
  <c r="AH175" i="43"/>
  <c r="AG175" i="43"/>
  <c r="AH169" i="43"/>
  <c r="AG169" i="43"/>
  <c r="AH163" i="43"/>
  <c r="AG163" i="43"/>
  <c r="AH157" i="43"/>
  <c r="AG157" i="43"/>
  <c r="AH152" i="43"/>
  <c r="AG152" i="43"/>
  <c r="AH146" i="43"/>
  <c r="AG146" i="43"/>
  <c r="AH140" i="43"/>
  <c r="AG140" i="43"/>
  <c r="AH134" i="43"/>
  <c r="AG134" i="43"/>
  <c r="AH127" i="43"/>
  <c r="AG127" i="43"/>
  <c r="AH120" i="43"/>
  <c r="AG120" i="43"/>
  <c r="AH115" i="43"/>
  <c r="AG115" i="43"/>
  <c r="AH112" i="43"/>
  <c r="AG112" i="43"/>
  <c r="AH109" i="43"/>
  <c r="AG109" i="43"/>
  <c r="AH105" i="43"/>
  <c r="AG105" i="43"/>
  <c r="AH101" i="43"/>
  <c r="AG101" i="43"/>
  <c r="AH98" i="43"/>
  <c r="AG98" i="43"/>
  <c r="AH94" i="43"/>
  <c r="AG94" i="43"/>
  <c r="AH90" i="43"/>
  <c r="AG90" i="43"/>
  <c r="AH87" i="43"/>
  <c r="AG87" i="43"/>
  <c r="AH83" i="43"/>
  <c r="AG83" i="43"/>
  <c r="AH80" i="43"/>
  <c r="AG80" i="43"/>
  <c r="AH77" i="43"/>
  <c r="AG77" i="43"/>
  <c r="AH73" i="43"/>
  <c r="AG73" i="43"/>
  <c r="AH68" i="43"/>
  <c r="AG68" i="43"/>
  <c r="AH65" i="43"/>
  <c r="AG65" i="43"/>
  <c r="AH61" i="43"/>
  <c r="AG61" i="43"/>
  <c r="AH57" i="43"/>
  <c r="AG57" i="43"/>
  <c r="AH53" i="43"/>
  <c r="AG53" i="43"/>
  <c r="AH50" i="43"/>
  <c r="AG50" i="43"/>
  <c r="AH47" i="43"/>
  <c r="AG47" i="43"/>
  <c r="AH44" i="43"/>
  <c r="AG44" i="43"/>
  <c r="AH40" i="43"/>
  <c r="AG40" i="43"/>
  <c r="AH37" i="43"/>
  <c r="AG37" i="43"/>
  <c r="AH34" i="43"/>
  <c r="AG34" i="43"/>
  <c r="AH30" i="43"/>
  <c r="AG30" i="43"/>
  <c r="AH27" i="43"/>
  <c r="AG27" i="43"/>
  <c r="AH22" i="43"/>
  <c r="AG22" i="43"/>
  <c r="AH18" i="43"/>
  <c r="AG18" i="43"/>
  <c r="AH13" i="43"/>
  <c r="AG13" i="43"/>
  <c r="X129" i="44" l="1"/>
  <c r="W129" i="44"/>
  <c r="X123" i="44"/>
  <c r="W123" i="44"/>
  <c r="X114" i="44"/>
  <c r="W114" i="44"/>
  <c r="X112" i="44"/>
  <c r="W112" i="44"/>
  <c r="X106" i="44"/>
  <c r="W106" i="44"/>
  <c r="X104" i="44"/>
  <c r="W104" i="44"/>
  <c r="X100" i="44"/>
  <c r="W100" i="44"/>
  <c r="X94" i="44"/>
  <c r="W94" i="44"/>
  <c r="X90" i="44"/>
  <c r="W90" i="44"/>
  <c r="X83" i="44"/>
  <c r="W83" i="44"/>
  <c r="X76" i="44"/>
  <c r="W76" i="44"/>
  <c r="X69" i="44"/>
  <c r="W69" i="44"/>
  <c r="X62" i="44"/>
  <c r="W62" i="44"/>
  <c r="X55" i="44"/>
  <c r="W55" i="44"/>
  <c r="X48" i="44"/>
  <c r="W48" i="44"/>
  <c r="X41" i="44"/>
  <c r="W41" i="44"/>
  <c r="X34" i="44"/>
  <c r="W34" i="44"/>
  <c r="X27" i="44"/>
  <c r="W27" i="44"/>
  <c r="X18" i="44"/>
  <c r="W18" i="44"/>
  <c r="X13" i="44"/>
  <c r="W13" i="44"/>
  <c r="S129" i="44"/>
  <c r="S123" i="44"/>
  <c r="S114" i="44"/>
  <c r="S112" i="44"/>
  <c r="S106" i="44"/>
  <c r="S104" i="44"/>
  <c r="S100" i="44"/>
  <c r="S94" i="44"/>
  <c r="S90" i="44"/>
  <c r="S83" i="44"/>
  <c r="S76" i="44"/>
  <c r="S69" i="44"/>
  <c r="S62" i="44"/>
  <c r="S55" i="44"/>
  <c r="S48" i="44"/>
  <c r="S41" i="44"/>
  <c r="S34" i="44"/>
  <c r="S27" i="44"/>
  <c r="S18" i="44"/>
  <c r="S13" i="44"/>
  <c r="AH129" i="44"/>
  <c r="AG129" i="44"/>
  <c r="AH123" i="44"/>
  <c r="AG123" i="44"/>
  <c r="AH114" i="44"/>
  <c r="AG114" i="44"/>
  <c r="AH112" i="44"/>
  <c r="AG112" i="44"/>
  <c r="AH106" i="44"/>
  <c r="AG106" i="44"/>
  <c r="AH104" i="44"/>
  <c r="AG104" i="44"/>
  <c r="AH100" i="44"/>
  <c r="AG100" i="44"/>
  <c r="AH94" i="44"/>
  <c r="AG94" i="44"/>
  <c r="AH90" i="44"/>
  <c r="AG90" i="44"/>
  <c r="AH83" i="44"/>
  <c r="AG83" i="44"/>
  <c r="AH76" i="44"/>
  <c r="AG76" i="44"/>
  <c r="AH69" i="44"/>
  <c r="AG69" i="44"/>
  <c r="AH62" i="44"/>
  <c r="AG62" i="44"/>
  <c r="AH55" i="44"/>
  <c r="AG55" i="44"/>
  <c r="AH48" i="44"/>
  <c r="AG48" i="44"/>
  <c r="AH41" i="44"/>
  <c r="AG41" i="44"/>
  <c r="AH34" i="44"/>
  <c r="AG34" i="44"/>
  <c r="AH27" i="44"/>
  <c r="AG27" i="44"/>
  <c r="AH18" i="44"/>
  <c r="AG18" i="44"/>
  <c r="AH13" i="44"/>
  <c r="AG13" i="44"/>
  <c r="AR138" i="44"/>
  <c r="AR139" i="44"/>
  <c r="AR106" i="44"/>
  <c r="AR114" i="44"/>
  <c r="AR13" i="44"/>
  <c r="AR464" i="43"/>
  <c r="AR465" i="43"/>
  <c r="AR253" i="43"/>
  <c r="AR293" i="43"/>
  <c r="AR319" i="43"/>
  <c r="AR368" i="43"/>
  <c r="AR13" i="43"/>
  <c r="AK31" i="45" l="1"/>
  <c r="AK32" i="45"/>
  <c r="AR80" i="43"/>
  <c r="AR455" i="43"/>
  <c r="AR443" i="43"/>
  <c r="AR429" i="43"/>
  <c r="AR415" i="43"/>
  <c r="AR402" i="43"/>
  <c r="AR381" i="43"/>
  <c r="AR355" i="43"/>
  <c r="AR329" i="43"/>
  <c r="AR307" i="43"/>
  <c r="AR278" i="43"/>
  <c r="AR267" i="43"/>
  <c r="AR251" i="43"/>
  <c r="AR226" i="43"/>
  <c r="AR140" i="43"/>
  <c r="AR120" i="43"/>
  <c r="AR112" i="43"/>
  <c r="AR101" i="43"/>
  <c r="AR94" i="43"/>
  <c r="AR90" i="43"/>
  <c r="AR68" i="43"/>
  <c r="AR57" i="43"/>
  <c r="AR50" i="43"/>
  <c r="AR40" i="43"/>
  <c r="AR22" i="43"/>
  <c r="AR467" i="43"/>
  <c r="AR462" i="43"/>
  <c r="AR452" i="43"/>
  <c r="AR326" i="43"/>
  <c r="AR468" i="43"/>
  <c r="AR109" i="43"/>
  <c r="AR37" i="43"/>
  <c r="AR30" i="43"/>
  <c r="AR232" i="43"/>
  <c r="AR463" i="43"/>
  <c r="AR65" i="43"/>
  <c r="AR466" i="43"/>
  <c r="AR136" i="44"/>
  <c r="AR140" i="44"/>
  <c r="AR137" i="44"/>
  <c r="AR135" i="44"/>
  <c r="AR142" i="44"/>
  <c r="AR141" i="44"/>
  <c r="AR134" i="44"/>
  <c r="AR143" i="44"/>
  <c r="AR100" i="44"/>
  <c r="AR129" i="44"/>
  <c r="AR90" i="44"/>
  <c r="AR76" i="44"/>
  <c r="AR48" i="44"/>
  <c r="AR34" i="44"/>
  <c r="AR62" i="44"/>
  <c r="AR18" i="44"/>
  <c r="AR123" i="44"/>
  <c r="AR112" i="44"/>
  <c r="AR104" i="44"/>
  <c r="AR94" i="44"/>
  <c r="AR83" i="44"/>
  <c r="AR69" i="44"/>
  <c r="AR55" i="44"/>
  <c r="AR41" i="44"/>
  <c r="AR27" i="44"/>
  <c r="AR392" i="43"/>
  <c r="AR322" i="43"/>
  <c r="AR208" i="43"/>
  <c r="AR169" i="43"/>
  <c r="AR83" i="43"/>
  <c r="AR34" i="43"/>
  <c r="AR18" i="43"/>
  <c r="AR460" i="43"/>
  <c r="AR408" i="43"/>
  <c r="AR399" i="43"/>
  <c r="AR375" i="43"/>
  <c r="AR366" i="43"/>
  <c r="AR350" i="43"/>
  <c r="AR337" i="43"/>
  <c r="AR311" i="43"/>
  <c r="AR300" i="43"/>
  <c r="AR291" i="43"/>
  <c r="AR283" i="43"/>
  <c r="AR257" i="43"/>
  <c r="AR244" i="43"/>
  <c r="AR238" i="43"/>
  <c r="AR220" i="43"/>
  <c r="AR214" i="43"/>
  <c r="AR201" i="43"/>
  <c r="AR163" i="43"/>
  <c r="AR157" i="43"/>
  <c r="AR152" i="43"/>
  <c r="AR115" i="43"/>
  <c r="AR105" i="43"/>
  <c r="AR87" i="43"/>
  <c r="AR77" i="43"/>
  <c r="AR73" i="43"/>
  <c r="AR61" i="43"/>
  <c r="AR44" i="43"/>
  <c r="AR449" i="43"/>
  <c r="AR436" i="43"/>
  <c r="AR422" i="43"/>
  <c r="AR385" i="43"/>
  <c r="AR343" i="43"/>
  <c r="AR317" i="43"/>
  <c r="AR271" i="43"/>
  <c r="AR261" i="43"/>
  <c r="AR195" i="43"/>
  <c r="AR182" i="43"/>
  <c r="AR134" i="43"/>
  <c r="AR98" i="43"/>
  <c r="AR53" i="43"/>
  <c r="AR47" i="43"/>
  <c r="AR27" i="43"/>
  <c r="AR362" i="43"/>
  <c r="AR189" i="43"/>
  <c r="AR175" i="43"/>
  <c r="AR146" i="43"/>
  <c r="AR127" i="43"/>
  <c r="AR469" i="43"/>
  <c r="AK36" i="45" s="1"/>
  <c r="AR461" i="43"/>
  <c r="AK28" i="45" s="1"/>
  <c r="T129" i="44"/>
  <c r="T123" i="44"/>
  <c r="T114" i="44"/>
  <c r="T112" i="44"/>
  <c r="T106" i="44"/>
  <c r="T104" i="44"/>
  <c r="T100" i="44"/>
  <c r="T94" i="44"/>
  <c r="T90" i="44"/>
  <c r="T83" i="44"/>
  <c r="T76" i="44"/>
  <c r="T69" i="44"/>
  <c r="T62" i="44"/>
  <c r="T55" i="44"/>
  <c r="T48" i="44"/>
  <c r="T41" i="44"/>
  <c r="T34" i="44"/>
  <c r="T27" i="44"/>
  <c r="T18" i="44"/>
  <c r="T13" i="44"/>
  <c r="AI455" i="43"/>
  <c r="AI452" i="43"/>
  <c r="AI449" i="43"/>
  <c r="AI443" i="43"/>
  <c r="AI436" i="43"/>
  <c r="AI429" i="43"/>
  <c r="AI422" i="43"/>
  <c r="AI415" i="43"/>
  <c r="AI408" i="43"/>
  <c r="AI402" i="43"/>
  <c r="AI399" i="43"/>
  <c r="AI392" i="43"/>
  <c r="AI385" i="43"/>
  <c r="AI381" i="43"/>
  <c r="AI375" i="43"/>
  <c r="AI368" i="43"/>
  <c r="AI366" i="43"/>
  <c r="AI362" i="43"/>
  <c r="AI355" i="43"/>
  <c r="AI350" i="43"/>
  <c r="AI343" i="43"/>
  <c r="AI337" i="43"/>
  <c r="AI329" i="43"/>
  <c r="AI326" i="43"/>
  <c r="AI322" i="43"/>
  <c r="AI319" i="43"/>
  <c r="AI317" i="43"/>
  <c r="AI311" i="43"/>
  <c r="AI307" i="43"/>
  <c r="AI300" i="43"/>
  <c r="AI293" i="43"/>
  <c r="AI291" i="43"/>
  <c r="AI283" i="43"/>
  <c r="AI278" i="43"/>
  <c r="AI271" i="43"/>
  <c r="AI267" i="43"/>
  <c r="AI261" i="43"/>
  <c r="AI257" i="43"/>
  <c r="AI253" i="43"/>
  <c r="AI251" i="43"/>
  <c r="AI244" i="43"/>
  <c r="AI238" i="43"/>
  <c r="AI232" i="43"/>
  <c r="AI226" i="43"/>
  <c r="AI220" i="43"/>
  <c r="AI214" i="43"/>
  <c r="AI208" i="43"/>
  <c r="AI201" i="43"/>
  <c r="AI195" i="43"/>
  <c r="AI189" i="43"/>
  <c r="AI182" i="43"/>
  <c r="AI175" i="43"/>
  <c r="AI169" i="43"/>
  <c r="AI163" i="43"/>
  <c r="AI157" i="43"/>
  <c r="AI152" i="43"/>
  <c r="AI146" i="43"/>
  <c r="AI140" i="43"/>
  <c r="AI134" i="43"/>
  <c r="AI127" i="43"/>
  <c r="AI120" i="43"/>
  <c r="AI115" i="43"/>
  <c r="AI112" i="43"/>
  <c r="AI109" i="43"/>
  <c r="AI105" i="43"/>
  <c r="AI101" i="43"/>
  <c r="AI98" i="43"/>
  <c r="AI94" i="43"/>
  <c r="AI90" i="43"/>
  <c r="AI87" i="43"/>
  <c r="AI83" i="43"/>
  <c r="AI80" i="43"/>
  <c r="AI77" i="43"/>
  <c r="AI73" i="43"/>
  <c r="AI68" i="43"/>
  <c r="AI65" i="43"/>
  <c r="AI61" i="43"/>
  <c r="AI57" i="43"/>
  <c r="AI53" i="43"/>
  <c r="AI50" i="43"/>
  <c r="AI47" i="43"/>
  <c r="AI44" i="43"/>
  <c r="AI40" i="43"/>
  <c r="AI37" i="43"/>
  <c r="AI34" i="43"/>
  <c r="AI30" i="43"/>
  <c r="AI27" i="43"/>
  <c r="AI22" i="43"/>
  <c r="AI18" i="43"/>
  <c r="AI13" i="43"/>
  <c r="T455" i="43"/>
  <c r="T452" i="43"/>
  <c r="T449" i="43"/>
  <c r="T443" i="43"/>
  <c r="T436" i="43"/>
  <c r="T429" i="43"/>
  <c r="T422" i="43"/>
  <c r="T415" i="43"/>
  <c r="T408" i="43"/>
  <c r="T402" i="43"/>
  <c r="T399" i="43"/>
  <c r="T392" i="43"/>
  <c r="T385" i="43"/>
  <c r="T381" i="43"/>
  <c r="T375" i="43"/>
  <c r="T368" i="43"/>
  <c r="T366" i="43"/>
  <c r="T362" i="43"/>
  <c r="T355" i="43"/>
  <c r="T350" i="43"/>
  <c r="T343" i="43"/>
  <c r="T337" i="43"/>
  <c r="T329" i="43"/>
  <c r="T326" i="43"/>
  <c r="T322" i="43"/>
  <c r="T319" i="43"/>
  <c r="T317" i="43"/>
  <c r="T311" i="43"/>
  <c r="T307" i="43"/>
  <c r="T300" i="43"/>
  <c r="T293" i="43"/>
  <c r="T291" i="43"/>
  <c r="T283" i="43"/>
  <c r="T278" i="43"/>
  <c r="T271" i="43"/>
  <c r="T267" i="43"/>
  <c r="T261" i="43"/>
  <c r="T257" i="43"/>
  <c r="T253" i="43"/>
  <c r="T251" i="43"/>
  <c r="T244" i="43"/>
  <c r="T238" i="43"/>
  <c r="T232" i="43"/>
  <c r="T226" i="43"/>
  <c r="T220" i="43"/>
  <c r="T214" i="43"/>
  <c r="T208" i="43"/>
  <c r="T201" i="43"/>
  <c r="T195" i="43"/>
  <c r="T189" i="43"/>
  <c r="T182" i="43"/>
  <c r="T175" i="43"/>
  <c r="T169" i="43"/>
  <c r="T163" i="43"/>
  <c r="T157" i="43"/>
  <c r="T152" i="43"/>
  <c r="T146" i="43"/>
  <c r="T140" i="43"/>
  <c r="T134" i="43"/>
  <c r="T127" i="43"/>
  <c r="T120" i="43"/>
  <c r="T115" i="43"/>
  <c r="T112" i="43"/>
  <c r="T109" i="43"/>
  <c r="T105" i="43"/>
  <c r="T101" i="43"/>
  <c r="T98" i="43"/>
  <c r="T94" i="43"/>
  <c r="T90" i="43"/>
  <c r="T87" i="43"/>
  <c r="T83" i="43"/>
  <c r="T80" i="43"/>
  <c r="T77" i="43"/>
  <c r="T73" i="43"/>
  <c r="T68" i="43"/>
  <c r="T65" i="43"/>
  <c r="T61" i="43"/>
  <c r="T57" i="43"/>
  <c r="T53" i="43"/>
  <c r="T50" i="43"/>
  <c r="T47" i="43"/>
  <c r="T44" i="43"/>
  <c r="T40" i="43"/>
  <c r="T37" i="43"/>
  <c r="T34" i="43"/>
  <c r="T30" i="43"/>
  <c r="T27" i="43"/>
  <c r="T22" i="43"/>
  <c r="T18" i="43"/>
  <c r="T13" i="43"/>
  <c r="AC455" i="43"/>
  <c r="AC452" i="43"/>
  <c r="AC449" i="43"/>
  <c r="AC443" i="43"/>
  <c r="AC436" i="43"/>
  <c r="AC429" i="43"/>
  <c r="AC422" i="43"/>
  <c r="AC415" i="43"/>
  <c r="AC408" i="43"/>
  <c r="AC402" i="43"/>
  <c r="AC399" i="43"/>
  <c r="AC392" i="43"/>
  <c r="AC385" i="43"/>
  <c r="AC381" i="43"/>
  <c r="AC375" i="43"/>
  <c r="AC368" i="43"/>
  <c r="AC366" i="43"/>
  <c r="AC362" i="43"/>
  <c r="AC355" i="43"/>
  <c r="AC350" i="43"/>
  <c r="AC343" i="43"/>
  <c r="AC337" i="43"/>
  <c r="AC329" i="43"/>
  <c r="AC326" i="43"/>
  <c r="AC322" i="43"/>
  <c r="AC319" i="43"/>
  <c r="AC317" i="43"/>
  <c r="AC311" i="43"/>
  <c r="AC307" i="43"/>
  <c r="AC300" i="43"/>
  <c r="AC293" i="43"/>
  <c r="AC291" i="43"/>
  <c r="AC283" i="43"/>
  <c r="AC278" i="43"/>
  <c r="AC271" i="43"/>
  <c r="AC267" i="43"/>
  <c r="AC261" i="43"/>
  <c r="AC257" i="43"/>
  <c r="AC253" i="43"/>
  <c r="AC251" i="43"/>
  <c r="AC244" i="43"/>
  <c r="AC238" i="43"/>
  <c r="AC232" i="43"/>
  <c r="AC226" i="43"/>
  <c r="AC220" i="43"/>
  <c r="AC214" i="43"/>
  <c r="AC208" i="43"/>
  <c r="AC201" i="43"/>
  <c r="AC195" i="43"/>
  <c r="AC189" i="43"/>
  <c r="AC182" i="43"/>
  <c r="AC175" i="43"/>
  <c r="AC169" i="43"/>
  <c r="AC163" i="43"/>
  <c r="AC157" i="43"/>
  <c r="AC152" i="43"/>
  <c r="AC146" i="43"/>
  <c r="AC140" i="43"/>
  <c r="AC134" i="43"/>
  <c r="AC127" i="43"/>
  <c r="AC120" i="43"/>
  <c r="AC115" i="43"/>
  <c r="AC112" i="43"/>
  <c r="AC109" i="43"/>
  <c r="AC105" i="43"/>
  <c r="AC101" i="43"/>
  <c r="AC98" i="43"/>
  <c r="AC94" i="43"/>
  <c r="AC90" i="43"/>
  <c r="AC87" i="43"/>
  <c r="AC83" i="43"/>
  <c r="AC80" i="43"/>
  <c r="AC77" i="43"/>
  <c r="AC73" i="43"/>
  <c r="AC68" i="43"/>
  <c r="AC65" i="43"/>
  <c r="AC61" i="43"/>
  <c r="AC57" i="43"/>
  <c r="AC53" i="43"/>
  <c r="AC50" i="43"/>
  <c r="AC47" i="43"/>
  <c r="AC44" i="43"/>
  <c r="AC40" i="43"/>
  <c r="AC37" i="43"/>
  <c r="AC34" i="43"/>
  <c r="AC30" i="43"/>
  <c r="AC27" i="43"/>
  <c r="AC22" i="43"/>
  <c r="AC18" i="43"/>
  <c r="AC13" i="43"/>
  <c r="J456" i="43"/>
  <c r="C13" i="45" s="1"/>
  <c r="K456" i="43"/>
  <c r="D13" i="45" s="1"/>
  <c r="M456" i="43"/>
  <c r="F13" i="45" s="1"/>
  <c r="N456" i="43"/>
  <c r="G13" i="45" s="1"/>
  <c r="O456" i="43"/>
  <c r="H13" i="45" s="1"/>
  <c r="P456" i="43"/>
  <c r="I13" i="45" s="1"/>
  <c r="Q456" i="43"/>
  <c r="J13" i="45" s="1"/>
  <c r="R456" i="43"/>
  <c r="K13" i="45" s="1"/>
  <c r="I456" i="43"/>
  <c r="B13" i="45" s="1"/>
  <c r="AK455" i="43"/>
  <c r="AJ455" i="43"/>
  <c r="AD455" i="43"/>
  <c r="U455" i="43"/>
  <c r="AX454" i="43"/>
  <c r="AW454" i="43"/>
  <c r="AE454" i="43"/>
  <c r="AU454" i="43" s="1"/>
  <c r="Y454" i="43"/>
  <c r="AQ454" i="43" s="1"/>
  <c r="V454" i="43"/>
  <c r="AA454" i="43" s="1"/>
  <c r="AW453" i="43"/>
  <c r="AE453" i="43"/>
  <c r="Y453" i="43"/>
  <c r="AQ453" i="43" s="1"/>
  <c r="AK30" i="45" l="1"/>
  <c r="AK29" i="45"/>
  <c r="AK35" i="45"/>
  <c r="AK34" i="45"/>
  <c r="AK33" i="45"/>
  <c r="AK27" i="45"/>
  <c r="AB454" i="43"/>
  <c r="AT454" i="43" s="1"/>
  <c r="AS454" i="43"/>
  <c r="I457" i="43"/>
  <c r="AR456" i="43"/>
  <c r="AK13" i="45" s="1"/>
  <c r="AR133" i="44"/>
  <c r="AR130" i="44"/>
  <c r="AK14" i="45" s="1"/>
  <c r="AR459" i="43"/>
  <c r="AQ455" i="43"/>
  <c r="AW455" i="43"/>
  <c r="AM455" i="43"/>
  <c r="AE455" i="43"/>
  <c r="V453" i="43"/>
  <c r="AA453" i="43" s="1"/>
  <c r="AA455" i="43" s="1"/>
  <c r="AN453" i="43"/>
  <c r="AV453" i="43" s="1"/>
  <c r="AN454" i="43"/>
  <c r="AV454" i="43" s="1"/>
  <c r="AL455" i="43"/>
  <c r="AX453" i="43"/>
  <c r="AX455" i="43" s="1"/>
  <c r="Z454" i="43"/>
  <c r="Y455" i="43"/>
  <c r="AU453" i="43"/>
  <c r="AU455" i="43" s="1"/>
  <c r="AP454" i="43"/>
  <c r="AB453" i="43" l="1"/>
  <c r="AT453" i="43" s="1"/>
  <c r="AT455" i="43" s="1"/>
  <c r="AK23" i="45"/>
  <c r="V455" i="43"/>
  <c r="AP453" i="43"/>
  <c r="AP455" i="43" s="1"/>
  <c r="Z453" i="43"/>
  <c r="Z455" i="43" s="1"/>
  <c r="AN455" i="43"/>
  <c r="AV455" i="43"/>
  <c r="AF454" i="43"/>
  <c r="AO454" i="43" s="1"/>
  <c r="AB455" i="43" l="1"/>
  <c r="AF453" i="43"/>
  <c r="AF455" i="43" s="1"/>
  <c r="AS453" i="43"/>
  <c r="AS455" i="43" s="1"/>
  <c r="AO453" i="43" l="1"/>
  <c r="AO455" i="43" s="1"/>
  <c r="Q170" i="44" l="1"/>
  <c r="P170" i="44"/>
  <c r="N170" i="44"/>
  <c r="M170" i="44"/>
  <c r="AK143" i="44"/>
  <c r="AJ143" i="44"/>
  <c r="AI143" i="44"/>
  <c r="AH143" i="44"/>
  <c r="AG143" i="44"/>
  <c r="AD143" i="44"/>
  <c r="AC143" i="44"/>
  <c r="X143" i="44"/>
  <c r="W143" i="44"/>
  <c r="U143" i="44"/>
  <c r="T143" i="44"/>
  <c r="R143" i="44"/>
  <c r="Q143" i="44"/>
  <c r="P143" i="44"/>
  <c r="O143" i="44"/>
  <c r="N143" i="44"/>
  <c r="M143" i="44"/>
  <c r="K143" i="44"/>
  <c r="J143" i="44"/>
  <c r="I143" i="44"/>
  <c r="AK142" i="44"/>
  <c r="AJ142" i="44"/>
  <c r="AI142" i="44"/>
  <c r="AH142" i="44"/>
  <c r="AG142" i="44"/>
  <c r="AD142" i="44"/>
  <c r="AC142" i="44"/>
  <c r="X142" i="44"/>
  <c r="W142" i="44"/>
  <c r="U142" i="44"/>
  <c r="T142" i="44"/>
  <c r="R142" i="44"/>
  <c r="Q142" i="44"/>
  <c r="P142" i="44"/>
  <c r="O142" i="44"/>
  <c r="N142" i="44"/>
  <c r="M142" i="44"/>
  <c r="K142" i="44"/>
  <c r="J142" i="44"/>
  <c r="I142" i="44"/>
  <c r="AK141" i="44"/>
  <c r="AJ141" i="44"/>
  <c r="AI141" i="44"/>
  <c r="AH141" i="44"/>
  <c r="AG141" i="44"/>
  <c r="AD141" i="44"/>
  <c r="AC141" i="44"/>
  <c r="X141" i="44"/>
  <c r="W141" i="44"/>
  <c r="U141" i="44"/>
  <c r="T141" i="44"/>
  <c r="R141" i="44"/>
  <c r="Q141" i="44"/>
  <c r="P141" i="44"/>
  <c r="O141" i="44"/>
  <c r="N141" i="44"/>
  <c r="M141" i="44"/>
  <c r="K141" i="44"/>
  <c r="J141" i="44"/>
  <c r="I141" i="44"/>
  <c r="AK140" i="44"/>
  <c r="AJ140" i="44"/>
  <c r="AI140" i="44"/>
  <c r="AH140" i="44"/>
  <c r="AG140" i="44"/>
  <c r="AD140" i="44"/>
  <c r="AC140" i="44"/>
  <c r="X140" i="44"/>
  <c r="W140" i="44"/>
  <c r="U140" i="44"/>
  <c r="T140" i="44"/>
  <c r="R140" i="44"/>
  <c r="Q140" i="44"/>
  <c r="P140" i="44"/>
  <c r="O140" i="44"/>
  <c r="N140" i="44"/>
  <c r="M140" i="44"/>
  <c r="K140" i="44"/>
  <c r="J140" i="44"/>
  <c r="I140" i="44"/>
  <c r="AX139" i="44"/>
  <c r="AW139" i="44"/>
  <c r="AV139" i="44"/>
  <c r="AU139" i="44"/>
  <c r="AT139" i="44"/>
  <c r="AS139" i="44"/>
  <c r="AQ139" i="44"/>
  <c r="AP139" i="44"/>
  <c r="AO139" i="44"/>
  <c r="AN139" i="44"/>
  <c r="AM139" i="44"/>
  <c r="AL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K139" i="44"/>
  <c r="J139" i="44"/>
  <c r="I139" i="44"/>
  <c r="AX138" i="44"/>
  <c r="AW138" i="44"/>
  <c r="AV138" i="44"/>
  <c r="AU138" i="44"/>
  <c r="AT138" i="44"/>
  <c r="AS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K138" i="44"/>
  <c r="J138" i="44"/>
  <c r="I138" i="44"/>
  <c r="AK137" i="44"/>
  <c r="AJ137" i="44"/>
  <c r="AI137" i="44"/>
  <c r="AH137" i="44"/>
  <c r="AG137" i="44"/>
  <c r="AD137" i="44"/>
  <c r="AC137" i="44"/>
  <c r="X137" i="44"/>
  <c r="W137" i="44"/>
  <c r="U137" i="44"/>
  <c r="T137" i="44"/>
  <c r="R137" i="44"/>
  <c r="Q137" i="44"/>
  <c r="P137" i="44"/>
  <c r="O137" i="44"/>
  <c r="N137" i="44"/>
  <c r="M137" i="44"/>
  <c r="K137" i="44"/>
  <c r="J137" i="44"/>
  <c r="I137" i="44"/>
  <c r="AK136" i="44"/>
  <c r="AJ136" i="44"/>
  <c r="AI136" i="44"/>
  <c r="AH136" i="44"/>
  <c r="AG136" i="44"/>
  <c r="AD136" i="44"/>
  <c r="AC136" i="44"/>
  <c r="X136" i="44"/>
  <c r="W136" i="44"/>
  <c r="U136" i="44"/>
  <c r="T136" i="44"/>
  <c r="R136" i="44"/>
  <c r="Q136" i="44"/>
  <c r="P136" i="44"/>
  <c r="O136" i="44"/>
  <c r="N136" i="44"/>
  <c r="M136" i="44"/>
  <c r="K136" i="44"/>
  <c r="J136" i="44"/>
  <c r="I136" i="44"/>
  <c r="AK135" i="44"/>
  <c r="AJ135" i="44"/>
  <c r="AI135" i="44"/>
  <c r="AH135" i="44"/>
  <c r="AG135" i="44"/>
  <c r="AD135" i="44"/>
  <c r="AC135" i="44"/>
  <c r="X135" i="44"/>
  <c r="W135" i="44"/>
  <c r="U135" i="44"/>
  <c r="T135" i="44"/>
  <c r="R135" i="44"/>
  <c r="Q135" i="44"/>
  <c r="P135" i="44"/>
  <c r="O135" i="44"/>
  <c r="N135" i="44"/>
  <c r="M135" i="44"/>
  <c r="K135" i="44"/>
  <c r="J135" i="44"/>
  <c r="I135" i="44"/>
  <c r="AK134" i="44"/>
  <c r="AJ134" i="44"/>
  <c r="AI134" i="44"/>
  <c r="AH134" i="44"/>
  <c r="AG134" i="44"/>
  <c r="AD134" i="44"/>
  <c r="AC134" i="44"/>
  <c r="X134" i="44"/>
  <c r="W134" i="44"/>
  <c r="U134" i="44"/>
  <c r="T134" i="44"/>
  <c r="R134" i="44"/>
  <c r="Q134" i="44"/>
  <c r="P134" i="44"/>
  <c r="O134" i="44"/>
  <c r="N134" i="44"/>
  <c r="M134" i="44"/>
  <c r="K134" i="44"/>
  <c r="J134" i="44"/>
  <c r="I134" i="44"/>
  <c r="R130" i="44"/>
  <c r="K14" i="45" s="1"/>
  <c r="Q130" i="44"/>
  <c r="J14" i="45" s="1"/>
  <c r="P130" i="44"/>
  <c r="I14" i="45" s="1"/>
  <c r="O130" i="44"/>
  <c r="H14" i="45" s="1"/>
  <c r="N130" i="44"/>
  <c r="G14" i="45" s="1"/>
  <c r="M130" i="44"/>
  <c r="F14" i="45" s="1"/>
  <c r="K130" i="44"/>
  <c r="D14" i="45" s="1"/>
  <c r="J130" i="44"/>
  <c r="I130" i="44"/>
  <c r="B14" i="45" s="1"/>
  <c r="AK129" i="44"/>
  <c r="AJ129" i="44"/>
  <c r="AD129" i="44"/>
  <c r="AC129" i="44"/>
  <c r="U129" i="44"/>
  <c r="AW128" i="44"/>
  <c r="AE128" i="44"/>
  <c r="AU128" i="44" s="1"/>
  <c r="Y128" i="44"/>
  <c r="AQ128" i="44" s="1"/>
  <c r="V128" i="44"/>
  <c r="AB128" i="44" s="1"/>
  <c r="AT128" i="44" s="1"/>
  <c r="AW127" i="44"/>
  <c r="AE127" i="44"/>
  <c r="AU127" i="44" s="1"/>
  <c r="Y127" i="44"/>
  <c r="AQ127" i="44" s="1"/>
  <c r="V127" i="44"/>
  <c r="AX126" i="44"/>
  <c r="AW126" i="44"/>
  <c r="AE126" i="44"/>
  <c r="AU126" i="44" s="1"/>
  <c r="Y126" i="44"/>
  <c r="AQ126" i="44" s="1"/>
  <c r="V126" i="44"/>
  <c r="AX125" i="44"/>
  <c r="AW125" i="44"/>
  <c r="AE125" i="44"/>
  <c r="AU125" i="44" s="1"/>
  <c r="Y125" i="44"/>
  <c r="AQ125" i="44" s="1"/>
  <c r="V125" i="44"/>
  <c r="AB125" i="44" s="1"/>
  <c r="AT125" i="44" s="1"/>
  <c r="AX124" i="44"/>
  <c r="AE124" i="44"/>
  <c r="Y124" i="44"/>
  <c r="AQ124" i="44" s="1"/>
  <c r="V124" i="44"/>
  <c r="AA124" i="44" s="1"/>
  <c r="AK123" i="44"/>
  <c r="AJ123" i="44"/>
  <c r="AD123" i="44"/>
  <c r="AC123" i="44"/>
  <c r="U123" i="44"/>
  <c r="AX122" i="44"/>
  <c r="AE122" i="44"/>
  <c r="AU122" i="44" s="1"/>
  <c r="Y122" i="44"/>
  <c r="AQ122" i="44" s="1"/>
  <c r="V122" i="44"/>
  <c r="AX121" i="44"/>
  <c r="AE121" i="44"/>
  <c r="AU121" i="44" s="1"/>
  <c r="Y121" i="44"/>
  <c r="AQ121" i="44" s="1"/>
  <c r="V121" i="44"/>
  <c r="AP121" i="44" s="1"/>
  <c r="AX120" i="44"/>
  <c r="AW120" i="44"/>
  <c r="AE120" i="44"/>
  <c r="AU120" i="44" s="1"/>
  <c r="Y120" i="44"/>
  <c r="AQ120" i="44" s="1"/>
  <c r="V120" i="44"/>
  <c r="AB120" i="44" s="1"/>
  <c r="AT120" i="44" s="1"/>
  <c r="AW119" i="44"/>
  <c r="AX119" i="44"/>
  <c r="AE119" i="44"/>
  <c r="AU119" i="44" s="1"/>
  <c r="Y119" i="44"/>
  <c r="AQ119" i="44" s="1"/>
  <c r="V119" i="44"/>
  <c r="AX118" i="44"/>
  <c r="AE118" i="44"/>
  <c r="AU118" i="44" s="1"/>
  <c r="Y118" i="44"/>
  <c r="AQ118" i="44" s="1"/>
  <c r="V118" i="44"/>
  <c r="AW117" i="44"/>
  <c r="AX117" i="44"/>
  <c r="AE117" i="44"/>
  <c r="AU117" i="44" s="1"/>
  <c r="Y117" i="44"/>
  <c r="AQ117" i="44" s="1"/>
  <c r="V117" i="44"/>
  <c r="AW116" i="44"/>
  <c r="AE116" i="44"/>
  <c r="AU116" i="44" s="1"/>
  <c r="Y116" i="44"/>
  <c r="AQ116" i="44" s="1"/>
  <c r="V116" i="44"/>
  <c r="AB116" i="44" s="1"/>
  <c r="AT116" i="44" s="1"/>
  <c r="AX115" i="44"/>
  <c r="AW115" i="44"/>
  <c r="AE115" i="44"/>
  <c r="Y115" i="44"/>
  <c r="AQ115" i="44" s="1"/>
  <c r="V115" i="44"/>
  <c r="AK114" i="44"/>
  <c r="AJ114" i="44"/>
  <c r="AD114" i="44"/>
  <c r="AC114" i="44"/>
  <c r="U114" i="44"/>
  <c r="AM114" i="44"/>
  <c r="AL114" i="44"/>
  <c r="AE113" i="44"/>
  <c r="AU113" i="44" s="1"/>
  <c r="AU114" i="44" s="1"/>
  <c r="Y113" i="44"/>
  <c r="AK112" i="44"/>
  <c r="AJ112" i="44"/>
  <c r="AD112" i="44"/>
  <c r="AC112" i="44"/>
  <c r="U112" i="44"/>
  <c r="AX111" i="44"/>
  <c r="AE111" i="44"/>
  <c r="AU111" i="44" s="1"/>
  <c r="Y111" i="44"/>
  <c r="AQ111" i="44" s="1"/>
  <c r="V111" i="44"/>
  <c r="AX110" i="44"/>
  <c r="AE110" i="44"/>
  <c r="AU110" i="44" s="1"/>
  <c r="Y110" i="44"/>
  <c r="AQ110" i="44" s="1"/>
  <c r="V110" i="44"/>
  <c r="AP110" i="44" s="1"/>
  <c r="AX109" i="44"/>
  <c r="AE109" i="44"/>
  <c r="AU109" i="44" s="1"/>
  <c r="Y109" i="44"/>
  <c r="AQ109" i="44" s="1"/>
  <c r="V109" i="44"/>
  <c r="AX108" i="44"/>
  <c r="AE108" i="44"/>
  <c r="AU108" i="44" s="1"/>
  <c r="Y108" i="44"/>
  <c r="AQ108" i="44" s="1"/>
  <c r="V108" i="44"/>
  <c r="AE107" i="44"/>
  <c r="Y107" i="44"/>
  <c r="V107" i="44"/>
  <c r="AB107" i="44" s="1"/>
  <c r="AK106" i="44"/>
  <c r="AJ106" i="44"/>
  <c r="AD106" i="44"/>
  <c r="AC106" i="44"/>
  <c r="U106" i="44"/>
  <c r="AX105" i="44"/>
  <c r="AX106" i="44" s="1"/>
  <c r="AE105" i="44"/>
  <c r="Y105" i="44"/>
  <c r="Y106" i="44" s="1"/>
  <c r="AK104" i="44"/>
  <c r="AJ104" i="44"/>
  <c r="AD104" i="44"/>
  <c r="AC104" i="44"/>
  <c r="U104" i="44"/>
  <c r="AX103" i="44"/>
  <c r="AW103" i="44"/>
  <c r="AE103" i="44"/>
  <c r="AU103" i="44" s="1"/>
  <c r="Y103" i="44"/>
  <c r="AQ103" i="44" s="1"/>
  <c r="V103" i="44"/>
  <c r="AB103" i="44" s="1"/>
  <c r="AT103" i="44" s="1"/>
  <c r="AX102" i="44"/>
  <c r="AE102" i="44"/>
  <c r="AU102" i="44" s="1"/>
  <c r="Y102" i="44"/>
  <c r="AQ102" i="44" s="1"/>
  <c r="V102" i="44"/>
  <c r="AW101" i="44"/>
  <c r="AE101" i="44"/>
  <c r="AU101" i="44" s="1"/>
  <c r="Y101" i="44"/>
  <c r="AK100" i="44"/>
  <c r="AJ100" i="44"/>
  <c r="AD100" i="44"/>
  <c r="AC100" i="44"/>
  <c r="U100" i="44"/>
  <c r="AX99" i="44"/>
  <c r="AW99" i="44"/>
  <c r="AE99" i="44"/>
  <c r="AU99" i="44" s="1"/>
  <c r="Y99" i="44"/>
  <c r="AQ99" i="44" s="1"/>
  <c r="V99" i="44"/>
  <c r="AA99" i="44" s="1"/>
  <c r="AS99" i="44" s="1"/>
  <c r="AX98" i="44"/>
  <c r="AW98" i="44"/>
  <c r="AE98" i="44"/>
  <c r="AU98" i="44" s="1"/>
  <c r="Y98" i="44"/>
  <c r="AQ98" i="44" s="1"/>
  <c r="V98" i="44"/>
  <c r="AX97" i="44"/>
  <c r="AW97" i="44"/>
  <c r="AE97" i="44"/>
  <c r="AU97" i="44" s="1"/>
  <c r="Y97" i="44"/>
  <c r="AQ97" i="44" s="1"/>
  <c r="V97" i="44"/>
  <c r="AX96" i="44"/>
  <c r="AW96" i="44"/>
  <c r="AE96" i="44"/>
  <c r="AU96" i="44" s="1"/>
  <c r="Y96" i="44"/>
  <c r="AQ96" i="44" s="1"/>
  <c r="V96" i="44"/>
  <c r="AA96" i="44" s="1"/>
  <c r="AS96" i="44" s="1"/>
  <c r="AE95" i="44"/>
  <c r="Y95" i="44"/>
  <c r="AQ95" i="44" s="1"/>
  <c r="V95" i="44"/>
  <c r="AA95" i="44" s="1"/>
  <c r="AK94" i="44"/>
  <c r="AJ94" i="44"/>
  <c r="AD94" i="44"/>
  <c r="AC94" i="44"/>
  <c r="U94" i="44"/>
  <c r="AX93" i="44"/>
  <c r="AE93" i="44"/>
  <c r="AU93" i="44" s="1"/>
  <c r="Y93" i="44"/>
  <c r="AQ93" i="44" s="1"/>
  <c r="V93" i="44"/>
  <c r="AX92" i="44"/>
  <c r="AE92" i="44"/>
  <c r="AU92" i="44" s="1"/>
  <c r="Y92" i="44"/>
  <c r="AQ92" i="44" s="1"/>
  <c r="V92" i="44"/>
  <c r="AX91" i="44"/>
  <c r="AE91" i="44"/>
  <c r="Y91" i="44"/>
  <c r="V91" i="44"/>
  <c r="AB91" i="44" s="1"/>
  <c r="AK90" i="44"/>
  <c r="AJ90" i="44"/>
  <c r="AD90" i="44"/>
  <c r="AC90" i="44"/>
  <c r="U90" i="44"/>
  <c r="AX89" i="44"/>
  <c r="AE89" i="44"/>
  <c r="AU89" i="44" s="1"/>
  <c r="Y89" i="44"/>
  <c r="V89" i="44"/>
  <c r="AX88" i="44"/>
  <c r="AW88" i="44"/>
  <c r="AE88" i="44"/>
  <c r="AU88" i="44" s="1"/>
  <c r="Y88" i="44"/>
  <c r="AQ88" i="44" s="1"/>
  <c r="V88" i="44"/>
  <c r="AB88" i="44" s="1"/>
  <c r="AT88" i="44" s="1"/>
  <c r="AX87" i="44"/>
  <c r="AE87" i="44"/>
  <c r="AU87" i="44" s="1"/>
  <c r="Y87" i="44"/>
  <c r="AQ87" i="44" s="1"/>
  <c r="V87" i="44"/>
  <c r="AX86" i="44"/>
  <c r="AE86" i="44"/>
  <c r="AU86" i="44" s="1"/>
  <c r="Y86" i="44"/>
  <c r="AQ86" i="44" s="1"/>
  <c r="V86" i="44"/>
  <c r="AP86" i="44" s="1"/>
  <c r="AX85" i="44"/>
  <c r="AE85" i="44"/>
  <c r="AU85" i="44" s="1"/>
  <c r="Y85" i="44"/>
  <c r="AQ85" i="44" s="1"/>
  <c r="V85" i="44"/>
  <c r="AB85" i="44" s="1"/>
  <c r="AT85" i="44" s="1"/>
  <c r="AX84" i="44"/>
  <c r="AE84" i="44"/>
  <c r="Y84" i="44"/>
  <c r="AQ84" i="44" s="1"/>
  <c r="V84" i="44"/>
  <c r="AB84" i="44" s="1"/>
  <c r="AK83" i="44"/>
  <c r="AJ83" i="44"/>
  <c r="AD83" i="44"/>
  <c r="AC83" i="44"/>
  <c r="U83" i="44"/>
  <c r="AX82" i="44"/>
  <c r="AE82" i="44"/>
  <c r="AU82" i="44" s="1"/>
  <c r="Y82" i="44"/>
  <c r="AQ82" i="44" s="1"/>
  <c r="V82" i="44"/>
  <c r="AX81" i="44"/>
  <c r="AW81" i="44"/>
  <c r="AE81" i="44"/>
  <c r="AU81" i="44" s="1"/>
  <c r="Y81" i="44"/>
  <c r="AQ81" i="44" s="1"/>
  <c r="V81" i="44"/>
  <c r="AX80" i="44"/>
  <c r="AE80" i="44"/>
  <c r="AU80" i="44" s="1"/>
  <c r="Y80" i="44"/>
  <c r="AQ80" i="44" s="1"/>
  <c r="V80" i="44"/>
  <c r="AX79" i="44"/>
  <c r="AE79" i="44"/>
  <c r="AU79" i="44" s="1"/>
  <c r="Y79" i="44"/>
  <c r="AQ79" i="44" s="1"/>
  <c r="V79" i="44"/>
  <c r="AX78" i="44"/>
  <c r="AW78" i="44"/>
  <c r="AE78" i="44"/>
  <c r="Y78" i="44"/>
  <c r="AQ78" i="44" s="1"/>
  <c r="V78" i="44"/>
  <c r="AB78" i="44" s="1"/>
  <c r="AT78" i="44" s="1"/>
  <c r="AW77" i="44"/>
  <c r="AE77" i="44"/>
  <c r="AU77" i="44" s="1"/>
  <c r="Y77" i="44"/>
  <c r="AK76" i="44"/>
  <c r="AJ76" i="44"/>
  <c r="AD76" i="44"/>
  <c r="AC76" i="44"/>
  <c r="U76" i="44"/>
  <c r="AW75" i="44"/>
  <c r="AE75" i="44"/>
  <c r="AU75" i="44" s="1"/>
  <c r="Y75" i="44"/>
  <c r="AQ75" i="44" s="1"/>
  <c r="V75" i="44"/>
  <c r="AX74" i="44"/>
  <c r="AW74" i="44"/>
  <c r="AE74" i="44"/>
  <c r="AU74" i="44" s="1"/>
  <c r="Y74" i="44"/>
  <c r="AQ74" i="44" s="1"/>
  <c r="V74" i="44"/>
  <c r="AB74" i="44" s="1"/>
  <c r="AT74" i="44" s="1"/>
  <c r="AX73" i="44"/>
  <c r="AE73" i="44"/>
  <c r="AU73" i="44" s="1"/>
  <c r="Y73" i="44"/>
  <c r="V73" i="44"/>
  <c r="AB73" i="44" s="1"/>
  <c r="AT73" i="44" s="1"/>
  <c r="AX72" i="44"/>
  <c r="AE72" i="44"/>
  <c r="AU72" i="44" s="1"/>
  <c r="Y72" i="44"/>
  <c r="AQ72" i="44" s="1"/>
  <c r="V72" i="44"/>
  <c r="AB72" i="44" s="1"/>
  <c r="AT72" i="44" s="1"/>
  <c r="AX71" i="44"/>
  <c r="AW71" i="44"/>
  <c r="AE71" i="44"/>
  <c r="AU71" i="44" s="1"/>
  <c r="Y71" i="44"/>
  <c r="V71" i="44"/>
  <c r="AB71" i="44" s="1"/>
  <c r="AT71" i="44" s="1"/>
  <c r="AX70" i="44"/>
  <c r="AW70" i="44"/>
  <c r="AE70" i="44"/>
  <c r="Y70" i="44"/>
  <c r="V70" i="44"/>
  <c r="AK69" i="44"/>
  <c r="AJ69" i="44"/>
  <c r="AD69" i="44"/>
  <c r="AC69" i="44"/>
  <c r="U69" i="44"/>
  <c r="AX68" i="44"/>
  <c r="AE68" i="44"/>
  <c r="AU68" i="44" s="1"/>
  <c r="Y68" i="44"/>
  <c r="AQ68" i="44" s="1"/>
  <c r="V68" i="44"/>
  <c r="AX67" i="44"/>
  <c r="AE67" i="44"/>
  <c r="AU67" i="44" s="1"/>
  <c r="Y67" i="44"/>
  <c r="AQ67" i="44" s="1"/>
  <c r="V67" i="44"/>
  <c r="AX66" i="44"/>
  <c r="AE66" i="44"/>
  <c r="AU66" i="44" s="1"/>
  <c r="Y66" i="44"/>
  <c r="AQ66" i="44" s="1"/>
  <c r="V66" i="44"/>
  <c r="AX65" i="44"/>
  <c r="AE65" i="44"/>
  <c r="AU65" i="44" s="1"/>
  <c r="Y65" i="44"/>
  <c r="AQ65" i="44" s="1"/>
  <c r="V65" i="44"/>
  <c r="AB65" i="44" s="1"/>
  <c r="AT65" i="44" s="1"/>
  <c r="AX64" i="44"/>
  <c r="AE64" i="44"/>
  <c r="AU64" i="44" s="1"/>
  <c r="Y64" i="44"/>
  <c r="V64" i="44"/>
  <c r="AB64" i="44" s="1"/>
  <c r="AT64" i="44" s="1"/>
  <c r="AX63" i="44"/>
  <c r="AE63" i="44"/>
  <c r="AU63" i="44" s="1"/>
  <c r="Y63" i="44"/>
  <c r="AQ63" i="44" s="1"/>
  <c r="V63" i="44"/>
  <c r="AB63" i="44" s="1"/>
  <c r="AT63" i="44" s="1"/>
  <c r="AK62" i="44"/>
  <c r="AJ62" i="44"/>
  <c r="AD62" i="44"/>
  <c r="AC62" i="44"/>
  <c r="U62" i="44"/>
  <c r="AX61" i="44"/>
  <c r="AE61" i="44"/>
  <c r="AU61" i="44" s="1"/>
  <c r="Y61" i="44"/>
  <c r="AQ61" i="44" s="1"/>
  <c r="V61" i="44"/>
  <c r="AX60" i="44"/>
  <c r="AE60" i="44"/>
  <c r="AU60" i="44" s="1"/>
  <c r="Y60" i="44"/>
  <c r="AQ60" i="44" s="1"/>
  <c r="V60" i="44"/>
  <c r="AX59" i="44"/>
  <c r="AE59" i="44"/>
  <c r="AU59" i="44" s="1"/>
  <c r="Y59" i="44"/>
  <c r="AQ59" i="44" s="1"/>
  <c r="V59" i="44"/>
  <c r="AX58" i="44"/>
  <c r="AE58" i="44"/>
  <c r="AU58" i="44" s="1"/>
  <c r="Y58" i="44"/>
  <c r="AQ58" i="44" s="1"/>
  <c r="V58" i="44"/>
  <c r="AX57" i="44"/>
  <c r="AE57" i="44"/>
  <c r="AU57" i="44" s="1"/>
  <c r="Y57" i="44"/>
  <c r="AQ57" i="44" s="1"/>
  <c r="V57" i="44"/>
  <c r="AE56" i="44"/>
  <c r="Y56" i="44"/>
  <c r="V56" i="44"/>
  <c r="AK55" i="44"/>
  <c r="AJ55" i="44"/>
  <c r="AD55" i="44"/>
  <c r="AC55" i="44"/>
  <c r="U55" i="44"/>
  <c r="AX54" i="44"/>
  <c r="AW54" i="44"/>
  <c r="AE54" i="44"/>
  <c r="AU54" i="44" s="1"/>
  <c r="Y54" i="44"/>
  <c r="AQ54" i="44" s="1"/>
  <c r="V54" i="44"/>
  <c r="AX53" i="44"/>
  <c r="AW53" i="44"/>
  <c r="AE53" i="44"/>
  <c r="AU53" i="44" s="1"/>
  <c r="Y53" i="44"/>
  <c r="AQ53" i="44" s="1"/>
  <c r="V53" i="44"/>
  <c r="AX52" i="44"/>
  <c r="AW52" i="44"/>
  <c r="AE52" i="44"/>
  <c r="AU52" i="44" s="1"/>
  <c r="Y52" i="44"/>
  <c r="AQ52" i="44" s="1"/>
  <c r="V52" i="44"/>
  <c r="AX51" i="44"/>
  <c r="AW51" i="44"/>
  <c r="AE51" i="44"/>
  <c r="AU51" i="44" s="1"/>
  <c r="Y51" i="44"/>
  <c r="AQ51" i="44" s="1"/>
  <c r="V51" i="44"/>
  <c r="AX50" i="44"/>
  <c r="AW50" i="44"/>
  <c r="AE50" i="44"/>
  <c r="AU50" i="44" s="1"/>
  <c r="Y50" i="44"/>
  <c r="AQ50" i="44" s="1"/>
  <c r="V50" i="44"/>
  <c r="AX49" i="44"/>
  <c r="AE49" i="44"/>
  <c r="Y49" i="44"/>
  <c r="AK48" i="44"/>
  <c r="AJ48" i="44"/>
  <c r="AD48" i="44"/>
  <c r="AC48" i="44"/>
  <c r="U48" i="44"/>
  <c r="AX47" i="44"/>
  <c r="AW47" i="44"/>
  <c r="AE47" i="44"/>
  <c r="AU47" i="44" s="1"/>
  <c r="Y47" i="44"/>
  <c r="V47" i="44"/>
  <c r="AB47" i="44" s="1"/>
  <c r="AT47" i="44" s="1"/>
  <c r="AX46" i="44"/>
  <c r="AW46" i="44"/>
  <c r="AE46" i="44"/>
  <c r="AU46" i="44" s="1"/>
  <c r="Y46" i="44"/>
  <c r="AQ46" i="44" s="1"/>
  <c r="V46" i="44"/>
  <c r="AB46" i="44" s="1"/>
  <c r="AT46" i="44" s="1"/>
  <c r="AX45" i="44"/>
  <c r="AE45" i="44"/>
  <c r="AU45" i="44" s="1"/>
  <c r="Y45" i="44"/>
  <c r="V45" i="44"/>
  <c r="AB45" i="44" s="1"/>
  <c r="AT45" i="44" s="1"/>
  <c r="AX44" i="44"/>
  <c r="AW44" i="44"/>
  <c r="AE44" i="44"/>
  <c r="AU44" i="44" s="1"/>
  <c r="Y44" i="44"/>
  <c r="AQ44" i="44" s="1"/>
  <c r="V44" i="44"/>
  <c r="AB44" i="44" s="1"/>
  <c r="AT44" i="44" s="1"/>
  <c r="AX43" i="44"/>
  <c r="AN43" i="44"/>
  <c r="AV43" i="44" s="1"/>
  <c r="AE43" i="44"/>
  <c r="AU43" i="44" s="1"/>
  <c r="Y43" i="44"/>
  <c r="V43" i="44"/>
  <c r="AB43" i="44" s="1"/>
  <c r="AT43" i="44" s="1"/>
  <c r="AX42" i="44"/>
  <c r="AE42" i="44"/>
  <c r="Y42" i="44"/>
  <c r="AK41" i="44"/>
  <c r="AJ41" i="44"/>
  <c r="AD41" i="44"/>
  <c r="AC41" i="44"/>
  <c r="U41" i="44"/>
  <c r="AX40" i="44"/>
  <c r="AE40" i="44"/>
  <c r="AU40" i="44" s="1"/>
  <c r="Y40" i="44"/>
  <c r="AQ40" i="44" s="1"/>
  <c r="V40" i="44"/>
  <c r="AB40" i="44" s="1"/>
  <c r="AT40" i="44" s="1"/>
  <c r="AX39" i="44"/>
  <c r="AE39" i="44"/>
  <c r="AU39" i="44" s="1"/>
  <c r="Y39" i="44"/>
  <c r="AQ39" i="44" s="1"/>
  <c r="V39" i="44"/>
  <c r="AB39" i="44" s="1"/>
  <c r="AT39" i="44" s="1"/>
  <c r="AX38" i="44"/>
  <c r="AE38" i="44"/>
  <c r="AU38" i="44" s="1"/>
  <c r="Y38" i="44"/>
  <c r="AQ38" i="44" s="1"/>
  <c r="V38" i="44"/>
  <c r="AX37" i="44"/>
  <c r="AE37" i="44"/>
  <c r="AU37" i="44" s="1"/>
  <c r="Y37" i="44"/>
  <c r="AQ37" i="44" s="1"/>
  <c r="V37" i="44"/>
  <c r="AX36" i="44"/>
  <c r="AE36" i="44"/>
  <c r="AU36" i="44" s="1"/>
  <c r="Y36" i="44"/>
  <c r="AQ36" i="44" s="1"/>
  <c r="V36" i="44"/>
  <c r="AB36" i="44" s="1"/>
  <c r="AT36" i="44" s="1"/>
  <c r="AE35" i="44"/>
  <c r="AU35" i="44" s="1"/>
  <c r="Y35" i="44"/>
  <c r="AQ35" i="44" s="1"/>
  <c r="V35" i="44"/>
  <c r="AB35" i="44" s="1"/>
  <c r="AT35" i="44" s="1"/>
  <c r="AK34" i="44"/>
  <c r="AJ34" i="44"/>
  <c r="AD34" i="44"/>
  <c r="AC34" i="44"/>
  <c r="U34" i="44"/>
  <c r="AX33" i="44"/>
  <c r="AE33" i="44"/>
  <c r="AU33" i="44" s="1"/>
  <c r="Y33" i="44"/>
  <c r="AQ33" i="44" s="1"/>
  <c r="V33" i="44"/>
  <c r="AX32" i="44"/>
  <c r="AE32" i="44"/>
  <c r="AU32" i="44" s="1"/>
  <c r="Y32" i="44"/>
  <c r="AQ32" i="44" s="1"/>
  <c r="V32" i="44"/>
  <c r="AX31" i="44"/>
  <c r="AE31" i="44"/>
  <c r="AU31" i="44" s="1"/>
  <c r="Y31" i="44"/>
  <c r="AQ31" i="44" s="1"/>
  <c r="V31" i="44"/>
  <c r="AX30" i="44"/>
  <c r="AE30" i="44"/>
  <c r="AU30" i="44" s="1"/>
  <c r="Y30" i="44"/>
  <c r="AQ30" i="44" s="1"/>
  <c r="V30" i="44"/>
  <c r="AE29" i="44"/>
  <c r="AU29" i="44" s="1"/>
  <c r="Y29" i="44"/>
  <c r="AE28" i="44"/>
  <c r="Y28" i="44"/>
  <c r="AQ28" i="44" s="1"/>
  <c r="V28" i="44"/>
  <c r="AK27" i="44"/>
  <c r="AJ27" i="44"/>
  <c r="AD27" i="44"/>
  <c r="AC27" i="44"/>
  <c r="U27" i="44"/>
  <c r="AW26" i="44"/>
  <c r="AE26" i="44"/>
  <c r="Y26" i="44"/>
  <c r="AL142" i="44"/>
  <c r="AE25" i="44"/>
  <c r="AU25" i="44" s="1"/>
  <c r="Y25" i="44"/>
  <c r="AW24" i="44"/>
  <c r="AE24" i="44"/>
  <c r="AU24" i="44" s="1"/>
  <c r="Y24" i="44"/>
  <c r="AQ24" i="44" s="1"/>
  <c r="V24" i="44"/>
  <c r="AA24" i="44" s="1"/>
  <c r="AS24" i="44" s="1"/>
  <c r="AX23" i="44"/>
  <c r="AE23" i="44"/>
  <c r="AU23" i="44" s="1"/>
  <c r="Y23" i="44"/>
  <c r="AQ23" i="44" s="1"/>
  <c r="V23" i="44"/>
  <c r="AX22" i="44"/>
  <c r="AE22" i="44"/>
  <c r="AU22" i="44" s="1"/>
  <c r="Y22" i="44"/>
  <c r="V22" i="44"/>
  <c r="AP22" i="44" s="1"/>
  <c r="AX21" i="44"/>
  <c r="AW21" i="44"/>
  <c r="AE21" i="44"/>
  <c r="AU21" i="44" s="1"/>
  <c r="Y21" i="44"/>
  <c r="AQ21" i="44" s="1"/>
  <c r="V21" i="44"/>
  <c r="AB21" i="44" s="1"/>
  <c r="AT21" i="44" s="1"/>
  <c r="AE20" i="44"/>
  <c r="AU20" i="44" s="1"/>
  <c r="Y20" i="44"/>
  <c r="AE19" i="44"/>
  <c r="AU19" i="44" s="1"/>
  <c r="Y19" i="44"/>
  <c r="AQ19" i="44" s="1"/>
  <c r="AK18" i="44"/>
  <c r="AJ18" i="44"/>
  <c r="AD18" i="44"/>
  <c r="AC18" i="44"/>
  <c r="U18" i="44"/>
  <c r="AW17" i="44"/>
  <c r="AE17" i="44"/>
  <c r="AU17" i="44" s="1"/>
  <c r="Y17" i="44"/>
  <c r="AQ17" i="44" s="1"/>
  <c r="V17" i="44"/>
  <c r="AX16" i="44"/>
  <c r="AE16" i="44"/>
  <c r="Y16" i="44"/>
  <c r="AW15" i="44"/>
  <c r="AX15" i="44"/>
  <c r="AE15" i="44"/>
  <c r="AU15" i="44" s="1"/>
  <c r="Y15" i="44"/>
  <c r="AQ15" i="44" s="1"/>
  <c r="V15" i="44"/>
  <c r="AW14" i="44"/>
  <c r="AE14" i="44"/>
  <c r="Y14" i="44"/>
  <c r="AK13" i="44"/>
  <c r="AJ13" i="44"/>
  <c r="AD13" i="44"/>
  <c r="AC13" i="44"/>
  <c r="U13" i="44"/>
  <c r="AX12" i="44"/>
  <c r="AE12" i="44"/>
  <c r="AU12" i="44" s="1"/>
  <c r="AU13" i="44" s="1"/>
  <c r="Y12" i="44"/>
  <c r="AQ12" i="44" s="1"/>
  <c r="V12" i="44"/>
  <c r="AK469" i="43"/>
  <c r="AD36" i="45" s="1"/>
  <c r="AJ469" i="43"/>
  <c r="AC36" i="45" s="1"/>
  <c r="AI469" i="43"/>
  <c r="AB36" i="45" s="1"/>
  <c r="AH469" i="43"/>
  <c r="AG469" i="43"/>
  <c r="AD469" i="43"/>
  <c r="W36" i="45" s="1"/>
  <c r="AC469" i="43"/>
  <c r="V36" i="45" s="1"/>
  <c r="X469" i="43"/>
  <c r="W469" i="43"/>
  <c r="P36" i="45" s="1"/>
  <c r="U469" i="43"/>
  <c r="N36" i="45" s="1"/>
  <c r="T469" i="43"/>
  <c r="R469" i="43"/>
  <c r="Q469" i="43"/>
  <c r="J36" i="45" s="1"/>
  <c r="P469" i="43"/>
  <c r="I36" i="45" s="1"/>
  <c r="O469" i="43"/>
  <c r="N469" i="43"/>
  <c r="M469" i="43"/>
  <c r="F36" i="45" s="1"/>
  <c r="K469" i="43"/>
  <c r="D36" i="45" s="1"/>
  <c r="J469" i="43"/>
  <c r="I469" i="43"/>
  <c r="AK468" i="43"/>
  <c r="AD35" i="45" s="1"/>
  <c r="AJ468" i="43"/>
  <c r="AC35" i="45" s="1"/>
  <c r="AI468" i="43"/>
  <c r="AB35" i="45" s="1"/>
  <c r="AH468" i="43"/>
  <c r="AG468" i="43"/>
  <c r="AD468" i="43"/>
  <c r="W35" i="45" s="1"/>
  <c r="AC468" i="43"/>
  <c r="V35" i="45" s="1"/>
  <c r="X468" i="43"/>
  <c r="W468" i="43"/>
  <c r="P35" i="45" s="1"/>
  <c r="U468" i="43"/>
  <c r="N35" i="45" s="1"/>
  <c r="T468" i="43"/>
  <c r="R468" i="43"/>
  <c r="Q468" i="43"/>
  <c r="J35" i="45" s="1"/>
  <c r="P468" i="43"/>
  <c r="I35" i="45" s="1"/>
  <c r="O468" i="43"/>
  <c r="N468" i="43"/>
  <c r="M468" i="43"/>
  <c r="F35" i="45" s="1"/>
  <c r="K468" i="43"/>
  <c r="D35" i="45" s="1"/>
  <c r="J468" i="43"/>
  <c r="I468" i="43"/>
  <c r="AK467" i="43"/>
  <c r="AD34" i="45" s="1"/>
  <c r="AJ467" i="43"/>
  <c r="AC34" i="45" s="1"/>
  <c r="AI467" i="43"/>
  <c r="AB34" i="45" s="1"/>
  <c r="AH467" i="43"/>
  <c r="AG467" i="43"/>
  <c r="AD467" i="43"/>
  <c r="W34" i="45" s="1"/>
  <c r="AC467" i="43"/>
  <c r="V34" i="45" s="1"/>
  <c r="X467" i="43"/>
  <c r="W467" i="43"/>
  <c r="P34" i="45" s="1"/>
  <c r="U467" i="43"/>
  <c r="N34" i="45" s="1"/>
  <c r="T467" i="43"/>
  <c r="R467" i="43"/>
  <c r="Q467" i="43"/>
  <c r="J34" i="45" s="1"/>
  <c r="P467" i="43"/>
  <c r="I34" i="45" s="1"/>
  <c r="O467" i="43"/>
  <c r="N467" i="43"/>
  <c r="M467" i="43"/>
  <c r="F34" i="45" s="1"/>
  <c r="K467" i="43"/>
  <c r="D34" i="45" s="1"/>
  <c r="J467" i="43"/>
  <c r="I467" i="43"/>
  <c r="AK466" i="43"/>
  <c r="AD33" i="45" s="1"/>
  <c r="AJ466" i="43"/>
  <c r="AC33" i="45" s="1"/>
  <c r="AI466" i="43"/>
  <c r="AB33" i="45" s="1"/>
  <c r="AH466" i="43"/>
  <c r="AG466" i="43"/>
  <c r="AD466" i="43"/>
  <c r="W33" i="45" s="1"/>
  <c r="AC466" i="43"/>
  <c r="V33" i="45" s="1"/>
  <c r="X466" i="43"/>
  <c r="W466" i="43"/>
  <c r="P33" i="45" s="1"/>
  <c r="U466" i="43"/>
  <c r="N33" i="45" s="1"/>
  <c r="T466" i="43"/>
  <c r="R466" i="43"/>
  <c r="Q466" i="43"/>
  <c r="J33" i="45" s="1"/>
  <c r="P466" i="43"/>
  <c r="I33" i="45" s="1"/>
  <c r="O466" i="43"/>
  <c r="N466" i="43"/>
  <c r="M466" i="43"/>
  <c r="F33" i="45" s="1"/>
  <c r="K466" i="43"/>
  <c r="D33" i="45" s="1"/>
  <c r="J466" i="43"/>
  <c r="I466" i="43"/>
  <c r="AX465" i="43"/>
  <c r="AQ32" i="45" s="1"/>
  <c r="AW465" i="43"/>
  <c r="AP32" i="45" s="1"/>
  <c r="AV465" i="43"/>
  <c r="AU465" i="43"/>
  <c r="AT465" i="43"/>
  <c r="AM32" i="45" s="1"/>
  <c r="AS465" i="43"/>
  <c r="AL32" i="45" s="1"/>
  <c r="AQ465" i="43"/>
  <c r="AP465" i="43"/>
  <c r="AO465" i="43"/>
  <c r="AH32" i="45" s="1"/>
  <c r="AN465" i="43"/>
  <c r="AG32" i="45" s="1"/>
  <c r="AM465" i="43"/>
  <c r="AF32" i="45" s="1"/>
  <c r="AL465" i="43"/>
  <c r="AK465" i="43"/>
  <c r="AD32" i="45" s="1"/>
  <c r="AJ465" i="43"/>
  <c r="AC32" i="45" s="1"/>
  <c r="AI465" i="43"/>
  <c r="AB32" i="45" s="1"/>
  <c r="AH465" i="43"/>
  <c r="AG465" i="43"/>
  <c r="AF465" i="43"/>
  <c r="Y32" i="45" s="1"/>
  <c r="AE465" i="43"/>
  <c r="X32" i="45" s="1"/>
  <c r="AD465" i="43"/>
  <c r="AC465" i="43"/>
  <c r="V32" i="45" s="1"/>
  <c r="AB465" i="43"/>
  <c r="U32" i="45" s="1"/>
  <c r="AA465" i="43"/>
  <c r="Z465" i="43"/>
  <c r="Y465" i="43"/>
  <c r="R32" i="45" s="1"/>
  <c r="X465" i="43"/>
  <c r="W465" i="43"/>
  <c r="P32" i="45" s="1"/>
  <c r="V465" i="43"/>
  <c r="U465" i="43"/>
  <c r="N32" i="45" s="1"/>
  <c r="T465" i="43"/>
  <c r="M32" i="45" s="1"/>
  <c r="S465" i="43"/>
  <c r="L32" i="45" s="1"/>
  <c r="R465" i="43"/>
  <c r="Q465" i="43"/>
  <c r="J32" i="45" s="1"/>
  <c r="P465" i="43"/>
  <c r="I32" i="45" s="1"/>
  <c r="O465" i="43"/>
  <c r="N465" i="43"/>
  <c r="M465" i="43"/>
  <c r="F32" i="45" s="1"/>
  <c r="K465" i="43"/>
  <c r="D32" i="45" s="1"/>
  <c r="J465" i="43"/>
  <c r="I465" i="43"/>
  <c r="AX464" i="43"/>
  <c r="AQ31" i="45" s="1"/>
  <c r="AW464" i="43"/>
  <c r="AV464" i="43"/>
  <c r="AU464" i="43"/>
  <c r="AT464" i="43"/>
  <c r="AM31" i="45" s="1"/>
  <c r="AS464" i="43"/>
  <c r="AL31" i="45" s="1"/>
  <c r="AQ464" i="43"/>
  <c r="AP464" i="43"/>
  <c r="AO464" i="43"/>
  <c r="AH31" i="45" s="1"/>
  <c r="AN464" i="43"/>
  <c r="AM464" i="43"/>
  <c r="AF31" i="45" s="1"/>
  <c r="AL464" i="43"/>
  <c r="AK464" i="43"/>
  <c r="AD31" i="45" s="1"/>
  <c r="AJ464" i="43"/>
  <c r="AI464" i="43"/>
  <c r="AH464" i="43"/>
  <c r="AG464" i="43"/>
  <c r="AF464" i="43"/>
  <c r="Y31" i="45" s="1"/>
  <c r="AE464" i="43"/>
  <c r="X31" i="45" s="1"/>
  <c r="AD464" i="43"/>
  <c r="AC464" i="43"/>
  <c r="V31" i="45" s="1"/>
  <c r="AB464" i="43"/>
  <c r="AA464" i="43"/>
  <c r="Z464" i="43"/>
  <c r="Y464" i="43"/>
  <c r="R31" i="45" s="1"/>
  <c r="X464" i="43"/>
  <c r="W464" i="43"/>
  <c r="P31" i="45" s="1"/>
  <c r="V464" i="43"/>
  <c r="U464" i="43"/>
  <c r="N31" i="45" s="1"/>
  <c r="T464" i="43"/>
  <c r="S464" i="43"/>
  <c r="L31" i="45" s="1"/>
  <c r="R464" i="43"/>
  <c r="Q464" i="43"/>
  <c r="J31" i="45" s="1"/>
  <c r="P464" i="43"/>
  <c r="I31" i="45" s="1"/>
  <c r="O464" i="43"/>
  <c r="N464" i="43"/>
  <c r="M464" i="43"/>
  <c r="F31" i="45" s="1"/>
  <c r="K464" i="43"/>
  <c r="D31" i="45" s="1"/>
  <c r="J464" i="43"/>
  <c r="I464" i="43"/>
  <c r="AK463" i="43"/>
  <c r="AD30" i="45" s="1"/>
  <c r="AJ463" i="43"/>
  <c r="AI463" i="43"/>
  <c r="AH463" i="43"/>
  <c r="AG463" i="43"/>
  <c r="AD463" i="43"/>
  <c r="W30" i="45" s="1"/>
  <c r="AC463" i="43"/>
  <c r="X463" i="43"/>
  <c r="W463" i="43"/>
  <c r="P30" i="45" s="1"/>
  <c r="U463" i="43"/>
  <c r="T463" i="43"/>
  <c r="R463" i="43"/>
  <c r="Q463" i="43"/>
  <c r="J30" i="45" s="1"/>
  <c r="P463" i="43"/>
  <c r="I30" i="45" s="1"/>
  <c r="O463" i="43"/>
  <c r="N463" i="43"/>
  <c r="M463" i="43"/>
  <c r="F30" i="45" s="1"/>
  <c r="K463" i="43"/>
  <c r="D30" i="45" s="1"/>
  <c r="J463" i="43"/>
  <c r="I463" i="43"/>
  <c r="AK462" i="43"/>
  <c r="AD29" i="45" s="1"/>
  <c r="AJ462" i="43"/>
  <c r="AI462" i="43"/>
  <c r="AH462" i="43"/>
  <c r="AG462" i="43"/>
  <c r="AD462" i="43"/>
  <c r="AC462" i="43"/>
  <c r="X462" i="43"/>
  <c r="W462" i="43"/>
  <c r="P29" i="45" s="1"/>
  <c r="U462" i="43"/>
  <c r="T462" i="43"/>
  <c r="R462" i="43"/>
  <c r="Q462" i="43"/>
  <c r="J29" i="45" s="1"/>
  <c r="P462" i="43"/>
  <c r="I29" i="45" s="1"/>
  <c r="O462" i="43"/>
  <c r="N462" i="43"/>
  <c r="M462" i="43"/>
  <c r="F29" i="45" s="1"/>
  <c r="K462" i="43"/>
  <c r="D29" i="45" s="1"/>
  <c r="J462" i="43"/>
  <c r="I462" i="43"/>
  <c r="AK461" i="43"/>
  <c r="AD28" i="45" s="1"/>
  <c r="AJ461" i="43"/>
  <c r="AI461" i="43"/>
  <c r="AH461" i="43"/>
  <c r="AG461" i="43"/>
  <c r="AD461" i="43"/>
  <c r="AC461" i="43"/>
  <c r="X461" i="43"/>
  <c r="W461" i="43"/>
  <c r="P28" i="45" s="1"/>
  <c r="U461" i="43"/>
  <c r="T461" i="43"/>
  <c r="R461" i="43"/>
  <c r="Q461" i="43"/>
  <c r="J28" i="45" s="1"/>
  <c r="P461" i="43"/>
  <c r="I28" i="45" s="1"/>
  <c r="O461" i="43"/>
  <c r="N461" i="43"/>
  <c r="M461" i="43"/>
  <c r="F28" i="45" s="1"/>
  <c r="K461" i="43"/>
  <c r="D28" i="45" s="1"/>
  <c r="J461" i="43"/>
  <c r="I461" i="43"/>
  <c r="AK460" i="43"/>
  <c r="AJ460" i="43"/>
  <c r="AI460" i="43"/>
  <c r="AH460" i="43"/>
  <c r="AG460" i="43"/>
  <c r="AD460" i="43"/>
  <c r="AC460" i="43"/>
  <c r="X460" i="43"/>
  <c r="W460" i="43"/>
  <c r="U460" i="43"/>
  <c r="T460" i="43"/>
  <c r="R460" i="43"/>
  <c r="Q460" i="43"/>
  <c r="P460" i="43"/>
  <c r="O460" i="43"/>
  <c r="N460" i="43"/>
  <c r="M460" i="43"/>
  <c r="K460" i="43"/>
  <c r="J460" i="43"/>
  <c r="I460" i="43"/>
  <c r="AK452" i="43"/>
  <c r="AJ452" i="43"/>
  <c r="AD452" i="43"/>
  <c r="U452" i="43"/>
  <c r="AX451" i="43"/>
  <c r="AE451" i="43"/>
  <c r="AU451" i="43" s="1"/>
  <c r="Y451" i="43"/>
  <c r="AQ451" i="43" s="1"/>
  <c r="V451" i="43"/>
  <c r="AA451" i="43" s="1"/>
  <c r="AX450" i="43"/>
  <c r="AE450" i="43"/>
  <c r="Y450" i="43"/>
  <c r="AQ450" i="43" s="1"/>
  <c r="V450" i="43"/>
  <c r="AA450" i="43" s="1"/>
  <c r="AA452" i="43" s="1"/>
  <c r="AK449" i="43"/>
  <c r="AJ449" i="43"/>
  <c r="AD449" i="43"/>
  <c r="U449" i="43"/>
  <c r="AX448" i="43"/>
  <c r="AW448" i="43"/>
  <c r="AE448" i="43"/>
  <c r="AU448" i="43" s="1"/>
  <c r="Y448" i="43"/>
  <c r="AQ448" i="43" s="1"/>
  <c r="V448" i="43"/>
  <c r="AA448" i="43" s="1"/>
  <c r="AX447" i="43"/>
  <c r="AE447" i="43"/>
  <c r="AU447" i="43" s="1"/>
  <c r="Y447" i="43"/>
  <c r="AQ447" i="43" s="1"/>
  <c r="V447" i="43"/>
  <c r="AA447" i="43" s="1"/>
  <c r="AX446" i="43"/>
  <c r="AE446" i="43"/>
  <c r="AU446" i="43" s="1"/>
  <c r="Y446" i="43"/>
  <c r="AQ446" i="43" s="1"/>
  <c r="V446" i="43"/>
  <c r="AA446" i="43" s="1"/>
  <c r="AX445" i="43"/>
  <c r="AE445" i="43"/>
  <c r="AU445" i="43" s="1"/>
  <c r="Y445" i="43"/>
  <c r="AQ445" i="43" s="1"/>
  <c r="AW444" i="43"/>
  <c r="AE444" i="43"/>
  <c r="AU444" i="43" s="1"/>
  <c r="Y444" i="43"/>
  <c r="V444" i="43"/>
  <c r="AA444" i="43" s="1"/>
  <c r="AK443" i="43"/>
  <c r="AJ443" i="43"/>
  <c r="AD443" i="43"/>
  <c r="U443" i="43"/>
  <c r="AX442" i="43"/>
  <c r="AW442" i="43"/>
  <c r="AE442" i="43"/>
  <c r="AU442" i="43" s="1"/>
  <c r="Y442" i="43"/>
  <c r="AQ442" i="43" s="1"/>
  <c r="V442" i="43"/>
  <c r="AA442" i="43" s="1"/>
  <c r="AX441" i="43"/>
  <c r="AW441" i="43"/>
  <c r="AE441" i="43"/>
  <c r="AU441" i="43" s="1"/>
  <c r="Y441" i="43"/>
  <c r="AQ441" i="43" s="1"/>
  <c r="V441" i="43"/>
  <c r="AA441" i="43" s="1"/>
  <c r="AX440" i="43"/>
  <c r="AW440" i="43"/>
  <c r="AE440" i="43"/>
  <c r="AU440" i="43" s="1"/>
  <c r="Y440" i="43"/>
  <c r="AQ440" i="43" s="1"/>
  <c r="V440" i="43"/>
  <c r="AA440" i="43" s="1"/>
  <c r="AW439" i="43"/>
  <c r="AE439" i="43"/>
  <c r="AU439" i="43" s="1"/>
  <c r="Y439" i="43"/>
  <c r="AQ439" i="43" s="1"/>
  <c r="V439" i="43"/>
  <c r="AA439" i="43" s="1"/>
  <c r="AW438" i="43"/>
  <c r="AE438" i="43"/>
  <c r="AU438" i="43" s="1"/>
  <c r="Y438" i="43"/>
  <c r="AQ438" i="43" s="1"/>
  <c r="V438" i="43"/>
  <c r="AA438" i="43" s="1"/>
  <c r="AW437" i="43"/>
  <c r="AE437" i="43"/>
  <c r="Y437" i="43"/>
  <c r="V437" i="43"/>
  <c r="AA437" i="43" s="1"/>
  <c r="AK436" i="43"/>
  <c r="AJ436" i="43"/>
  <c r="AD436" i="43"/>
  <c r="U436" i="43"/>
  <c r="AW435" i="43"/>
  <c r="AE435" i="43"/>
  <c r="AU435" i="43" s="1"/>
  <c r="Y435" i="43"/>
  <c r="AQ435" i="43" s="1"/>
  <c r="V435" i="43"/>
  <c r="AA435" i="43" s="1"/>
  <c r="AW434" i="43"/>
  <c r="AE434" i="43"/>
  <c r="AU434" i="43" s="1"/>
  <c r="Y434" i="43"/>
  <c r="AQ434" i="43" s="1"/>
  <c r="V434" i="43"/>
  <c r="AA434" i="43" s="1"/>
  <c r="AX433" i="43"/>
  <c r="AE433" i="43"/>
  <c r="AU433" i="43" s="1"/>
  <c r="Y433" i="43"/>
  <c r="AQ433" i="43" s="1"/>
  <c r="V433" i="43"/>
  <c r="AA433" i="43" s="1"/>
  <c r="AX432" i="43"/>
  <c r="AE432" i="43"/>
  <c r="AU432" i="43" s="1"/>
  <c r="Y432" i="43"/>
  <c r="AQ432" i="43" s="1"/>
  <c r="V432" i="43"/>
  <c r="AA432" i="43" s="1"/>
  <c r="AE431" i="43"/>
  <c r="AU431" i="43" s="1"/>
  <c r="Y431" i="43"/>
  <c r="AQ431" i="43" s="1"/>
  <c r="V431" i="43"/>
  <c r="AA431" i="43" s="1"/>
  <c r="AX430" i="43"/>
  <c r="AE430" i="43"/>
  <c r="Y430" i="43"/>
  <c r="AQ430" i="43" s="1"/>
  <c r="AK429" i="43"/>
  <c r="AJ429" i="43"/>
  <c r="AD429" i="43"/>
  <c r="U429" i="43"/>
  <c r="AX428" i="43"/>
  <c r="AE428" i="43"/>
  <c r="AU428" i="43" s="1"/>
  <c r="Y428" i="43"/>
  <c r="AQ428" i="43" s="1"/>
  <c r="V428" i="43"/>
  <c r="AA428" i="43" s="1"/>
  <c r="AX427" i="43"/>
  <c r="AE427" i="43"/>
  <c r="AU427" i="43" s="1"/>
  <c r="Y427" i="43"/>
  <c r="AQ427" i="43" s="1"/>
  <c r="V427" i="43"/>
  <c r="AA427" i="43" s="1"/>
  <c r="AX426" i="43"/>
  <c r="AE426" i="43"/>
  <c r="AU426" i="43" s="1"/>
  <c r="Y426" i="43"/>
  <c r="AQ426" i="43" s="1"/>
  <c r="V426" i="43"/>
  <c r="AA426" i="43" s="1"/>
  <c r="AX425" i="43"/>
  <c r="AE425" i="43"/>
  <c r="AU425" i="43" s="1"/>
  <c r="Y425" i="43"/>
  <c r="AQ425" i="43" s="1"/>
  <c r="AX424" i="43"/>
  <c r="AE424" i="43"/>
  <c r="AU424" i="43" s="1"/>
  <c r="Y424" i="43"/>
  <c r="AQ424" i="43" s="1"/>
  <c r="V424" i="43"/>
  <c r="AA424" i="43" s="1"/>
  <c r="AX423" i="43"/>
  <c r="AE423" i="43"/>
  <c r="AU423" i="43" s="1"/>
  <c r="Y423" i="43"/>
  <c r="V423" i="43"/>
  <c r="AA423" i="43" s="1"/>
  <c r="AK422" i="43"/>
  <c r="AJ422" i="43"/>
  <c r="AD422" i="43"/>
  <c r="U422" i="43"/>
  <c r="AX421" i="43"/>
  <c r="AE421" i="43"/>
  <c r="AU421" i="43" s="1"/>
  <c r="Y421" i="43"/>
  <c r="AQ421" i="43" s="1"/>
  <c r="V421" i="43"/>
  <c r="AA421" i="43" s="1"/>
  <c r="AX420" i="43"/>
  <c r="AW420" i="43"/>
  <c r="AE420" i="43"/>
  <c r="AU420" i="43" s="1"/>
  <c r="Y420" i="43"/>
  <c r="AQ420" i="43" s="1"/>
  <c r="V420" i="43"/>
  <c r="AA420" i="43" s="1"/>
  <c r="AX419" i="43"/>
  <c r="AW419" i="43"/>
  <c r="AE419" i="43"/>
  <c r="AU419" i="43" s="1"/>
  <c r="Y419" i="43"/>
  <c r="AQ419" i="43" s="1"/>
  <c r="V419" i="43"/>
  <c r="AA419" i="43" s="1"/>
  <c r="AX418" i="43"/>
  <c r="AE418" i="43"/>
  <c r="AU418" i="43" s="1"/>
  <c r="Y418" i="43"/>
  <c r="AQ418" i="43" s="1"/>
  <c r="V418" i="43"/>
  <c r="AA418" i="43" s="1"/>
  <c r="AX417" i="43"/>
  <c r="AE417" i="43"/>
  <c r="AU417" i="43" s="1"/>
  <c r="Y417" i="43"/>
  <c r="AQ417" i="43" s="1"/>
  <c r="V417" i="43"/>
  <c r="AA417" i="43" s="1"/>
  <c r="AW416" i="43"/>
  <c r="AE416" i="43"/>
  <c r="AU416" i="43" s="1"/>
  <c r="Y416" i="43"/>
  <c r="AK415" i="43"/>
  <c r="AJ415" i="43"/>
  <c r="AD415" i="43"/>
  <c r="U415" i="43"/>
  <c r="AW414" i="43"/>
  <c r="AE414" i="43"/>
  <c r="AU414" i="43" s="1"/>
  <c r="Y414" i="43"/>
  <c r="AQ414" i="43" s="1"/>
  <c r="V414" i="43"/>
  <c r="AA414" i="43" s="1"/>
  <c r="AX413" i="43"/>
  <c r="AW413" i="43"/>
  <c r="AE413" i="43"/>
  <c r="Y413" i="43"/>
  <c r="AQ413" i="43" s="1"/>
  <c r="V413" i="43"/>
  <c r="AA413" i="43" s="1"/>
  <c r="AW412" i="43"/>
  <c r="AE412" i="43"/>
  <c r="AU412" i="43" s="1"/>
  <c r="Y412" i="43"/>
  <c r="AQ412" i="43" s="1"/>
  <c r="V412" i="43"/>
  <c r="AA412" i="43" s="1"/>
  <c r="AX411" i="43"/>
  <c r="AW411" i="43"/>
  <c r="AE411" i="43"/>
  <c r="AU411" i="43" s="1"/>
  <c r="Y411" i="43"/>
  <c r="AQ411" i="43" s="1"/>
  <c r="V411" i="43"/>
  <c r="AA411" i="43" s="1"/>
  <c r="AX410" i="43"/>
  <c r="AE410" i="43"/>
  <c r="AU410" i="43" s="1"/>
  <c r="Y410" i="43"/>
  <c r="V410" i="43"/>
  <c r="AA410" i="43" s="1"/>
  <c r="AW409" i="43"/>
  <c r="AE409" i="43"/>
  <c r="AU409" i="43" s="1"/>
  <c r="Y409" i="43"/>
  <c r="AK408" i="43"/>
  <c r="AJ408" i="43"/>
  <c r="AD408" i="43"/>
  <c r="U408" i="43"/>
  <c r="AX407" i="43"/>
  <c r="AE407" i="43"/>
  <c r="AU407" i="43" s="1"/>
  <c r="Y407" i="43"/>
  <c r="AQ407" i="43" s="1"/>
  <c r="V407" i="43"/>
  <c r="AA407" i="43" s="1"/>
  <c r="AX406" i="43"/>
  <c r="AE406" i="43"/>
  <c r="AU406" i="43" s="1"/>
  <c r="Y406" i="43"/>
  <c r="V406" i="43"/>
  <c r="AA406" i="43" s="1"/>
  <c r="AX405" i="43"/>
  <c r="AE405" i="43"/>
  <c r="Y405" i="43"/>
  <c r="AQ405" i="43" s="1"/>
  <c r="V405" i="43"/>
  <c r="AA405" i="43" s="1"/>
  <c r="AX404" i="43"/>
  <c r="AE404" i="43"/>
  <c r="AU404" i="43" s="1"/>
  <c r="Y404" i="43"/>
  <c r="AQ404" i="43" s="1"/>
  <c r="V404" i="43"/>
  <c r="AA404" i="43" s="1"/>
  <c r="AE403" i="43"/>
  <c r="AU403" i="43" s="1"/>
  <c r="Y403" i="43"/>
  <c r="AK402" i="43"/>
  <c r="AJ402" i="43"/>
  <c r="AD402" i="43"/>
  <c r="U402" i="43"/>
  <c r="AX401" i="43"/>
  <c r="AE401" i="43"/>
  <c r="AU401" i="43" s="1"/>
  <c r="Y401" i="43"/>
  <c r="AQ401" i="43" s="1"/>
  <c r="V401" i="43"/>
  <c r="AA401" i="43" s="1"/>
  <c r="AE400" i="43"/>
  <c r="Y400" i="43"/>
  <c r="AQ400" i="43" s="1"/>
  <c r="AK399" i="43"/>
  <c r="AJ399" i="43"/>
  <c r="AD399" i="43"/>
  <c r="U399" i="43"/>
  <c r="AX398" i="43"/>
  <c r="AW398" i="43"/>
  <c r="AE398" i="43"/>
  <c r="AU398" i="43" s="1"/>
  <c r="Y398" i="43"/>
  <c r="AQ398" i="43" s="1"/>
  <c r="V398" i="43"/>
  <c r="AA398" i="43" s="1"/>
  <c r="AX397" i="43"/>
  <c r="AE397" i="43"/>
  <c r="AU397" i="43" s="1"/>
  <c r="Y397" i="43"/>
  <c r="AQ397" i="43" s="1"/>
  <c r="V397" i="43"/>
  <c r="AA397" i="43" s="1"/>
  <c r="AX396" i="43"/>
  <c r="AE396" i="43"/>
  <c r="AU396" i="43" s="1"/>
  <c r="Y396" i="43"/>
  <c r="AQ396" i="43" s="1"/>
  <c r="V396" i="43"/>
  <c r="AA396" i="43" s="1"/>
  <c r="AX395" i="43"/>
  <c r="AW395" i="43"/>
  <c r="AE395" i="43"/>
  <c r="AU395" i="43" s="1"/>
  <c r="Y395" i="43"/>
  <c r="AQ395" i="43" s="1"/>
  <c r="V395" i="43"/>
  <c r="AA395" i="43" s="1"/>
  <c r="AX394" i="43"/>
  <c r="AE394" i="43"/>
  <c r="AU394" i="43" s="1"/>
  <c r="Y394" i="43"/>
  <c r="AQ394" i="43" s="1"/>
  <c r="V394" i="43"/>
  <c r="AA394" i="43" s="1"/>
  <c r="AX393" i="43"/>
  <c r="AE393" i="43"/>
  <c r="Y393" i="43"/>
  <c r="V393" i="43"/>
  <c r="AA393" i="43" s="1"/>
  <c r="AK392" i="43"/>
  <c r="AJ392" i="43"/>
  <c r="AD392" i="43"/>
  <c r="U392" i="43"/>
  <c r="AX391" i="43"/>
  <c r="AE391" i="43"/>
  <c r="AU391" i="43" s="1"/>
  <c r="Y391" i="43"/>
  <c r="AQ391" i="43" s="1"/>
  <c r="V391" i="43"/>
  <c r="AA391" i="43" s="1"/>
  <c r="AX390" i="43"/>
  <c r="AE390" i="43"/>
  <c r="AU390" i="43" s="1"/>
  <c r="Y390" i="43"/>
  <c r="AQ390" i="43" s="1"/>
  <c r="V390" i="43"/>
  <c r="AA390" i="43" s="1"/>
  <c r="AX389" i="43"/>
  <c r="AE389" i="43"/>
  <c r="AU389" i="43" s="1"/>
  <c r="Y389" i="43"/>
  <c r="AQ389" i="43" s="1"/>
  <c r="V389" i="43"/>
  <c r="AA389" i="43" s="1"/>
  <c r="AX388" i="43"/>
  <c r="AE388" i="43"/>
  <c r="AU388" i="43" s="1"/>
  <c r="Y388" i="43"/>
  <c r="V388" i="43"/>
  <c r="AA388" i="43" s="1"/>
  <c r="AX387" i="43"/>
  <c r="AE387" i="43"/>
  <c r="AU387" i="43" s="1"/>
  <c r="Y387" i="43"/>
  <c r="AQ387" i="43" s="1"/>
  <c r="V387" i="43"/>
  <c r="AA387" i="43" s="1"/>
  <c r="AE386" i="43"/>
  <c r="Y386" i="43"/>
  <c r="V386" i="43"/>
  <c r="AA386" i="43" s="1"/>
  <c r="AK385" i="43"/>
  <c r="AJ385" i="43"/>
  <c r="AD385" i="43"/>
  <c r="U385" i="43"/>
  <c r="AX384" i="43"/>
  <c r="AE384" i="43"/>
  <c r="AU384" i="43" s="1"/>
  <c r="Y384" i="43"/>
  <c r="AQ384" i="43" s="1"/>
  <c r="V384" i="43"/>
  <c r="AA384" i="43" s="1"/>
  <c r="AX383" i="43"/>
  <c r="AE383" i="43"/>
  <c r="AU383" i="43" s="1"/>
  <c r="Y383" i="43"/>
  <c r="AQ383" i="43" s="1"/>
  <c r="AE382" i="43"/>
  <c r="Y382" i="43"/>
  <c r="V382" i="43"/>
  <c r="AA382" i="43" s="1"/>
  <c r="AK381" i="43"/>
  <c r="AJ381" i="43"/>
  <c r="AD381" i="43"/>
  <c r="U381" i="43"/>
  <c r="AX380" i="43"/>
  <c r="AE380" i="43"/>
  <c r="AU380" i="43" s="1"/>
  <c r="Y380" i="43"/>
  <c r="AQ380" i="43" s="1"/>
  <c r="V380" i="43"/>
  <c r="AA380" i="43" s="1"/>
  <c r="AX379" i="43"/>
  <c r="AE379" i="43"/>
  <c r="AU379" i="43" s="1"/>
  <c r="Y379" i="43"/>
  <c r="AQ379" i="43" s="1"/>
  <c r="V379" i="43"/>
  <c r="AA379" i="43" s="1"/>
  <c r="AX378" i="43"/>
  <c r="AW378" i="43"/>
  <c r="AE378" i="43"/>
  <c r="AU378" i="43" s="1"/>
  <c r="Y378" i="43"/>
  <c r="AQ378" i="43" s="1"/>
  <c r="V378" i="43"/>
  <c r="AA378" i="43" s="1"/>
  <c r="AX377" i="43"/>
  <c r="AE377" i="43"/>
  <c r="AU377" i="43" s="1"/>
  <c r="Y377" i="43"/>
  <c r="AQ377" i="43" s="1"/>
  <c r="V377" i="43"/>
  <c r="AA377" i="43" s="1"/>
  <c r="AX376" i="43"/>
  <c r="AE376" i="43"/>
  <c r="AU376" i="43" s="1"/>
  <c r="Y376" i="43"/>
  <c r="V376" i="43"/>
  <c r="AA376" i="43" s="1"/>
  <c r="AK375" i="43"/>
  <c r="AJ375" i="43"/>
  <c r="AD375" i="43"/>
  <c r="U375" i="43"/>
  <c r="AX374" i="43"/>
  <c r="AE374" i="43"/>
  <c r="AU374" i="43" s="1"/>
  <c r="Y374" i="43"/>
  <c r="AQ374" i="43" s="1"/>
  <c r="V374" i="43"/>
  <c r="AA374" i="43" s="1"/>
  <c r="AX373" i="43"/>
  <c r="AE373" i="43"/>
  <c r="AU373" i="43" s="1"/>
  <c r="Y373" i="43"/>
  <c r="AQ373" i="43" s="1"/>
  <c r="V373" i="43"/>
  <c r="AA373" i="43" s="1"/>
  <c r="AX372" i="43"/>
  <c r="AE372" i="43"/>
  <c r="AU372" i="43" s="1"/>
  <c r="Y372" i="43"/>
  <c r="V372" i="43"/>
  <c r="AA372" i="43" s="1"/>
  <c r="AX371" i="43"/>
  <c r="AE371" i="43"/>
  <c r="AU371" i="43" s="1"/>
  <c r="Y371" i="43"/>
  <c r="V371" i="43"/>
  <c r="AA371" i="43" s="1"/>
  <c r="AX370" i="43"/>
  <c r="AE370" i="43"/>
  <c r="AU370" i="43" s="1"/>
  <c r="Y370" i="43"/>
  <c r="AQ370" i="43" s="1"/>
  <c r="V370" i="43"/>
  <c r="AA370" i="43" s="1"/>
  <c r="AX369" i="43"/>
  <c r="AE369" i="43"/>
  <c r="Y369" i="43"/>
  <c r="AQ369" i="43" s="1"/>
  <c r="AK368" i="43"/>
  <c r="AJ368" i="43"/>
  <c r="AD368" i="43"/>
  <c r="U368" i="43"/>
  <c r="AE367" i="43"/>
  <c r="Y367" i="43"/>
  <c r="AK366" i="43"/>
  <c r="AJ366" i="43"/>
  <c r="AD366" i="43"/>
  <c r="U366" i="43"/>
  <c r="AX365" i="43"/>
  <c r="AE365" i="43"/>
  <c r="AU365" i="43" s="1"/>
  <c r="Y365" i="43"/>
  <c r="AQ365" i="43" s="1"/>
  <c r="V365" i="43"/>
  <c r="AA365" i="43" s="1"/>
  <c r="AX364" i="43"/>
  <c r="AW364" i="43"/>
  <c r="AE364" i="43"/>
  <c r="AU364" i="43" s="1"/>
  <c r="Y364" i="43"/>
  <c r="AQ364" i="43" s="1"/>
  <c r="V364" i="43"/>
  <c r="AA364" i="43" s="1"/>
  <c r="AW363" i="43"/>
  <c r="AE363" i="43"/>
  <c r="Y363" i="43"/>
  <c r="AK362" i="43"/>
  <c r="AJ362" i="43"/>
  <c r="AD362" i="43"/>
  <c r="U362" i="43"/>
  <c r="AX361" i="43"/>
  <c r="AE361" i="43"/>
  <c r="AU361" i="43" s="1"/>
  <c r="Y361" i="43"/>
  <c r="AQ361" i="43" s="1"/>
  <c r="V361" i="43"/>
  <c r="AA361" i="43" s="1"/>
  <c r="AX360" i="43"/>
  <c r="AW360" i="43"/>
  <c r="AE360" i="43"/>
  <c r="AU360" i="43" s="1"/>
  <c r="Y360" i="43"/>
  <c r="AQ360" i="43" s="1"/>
  <c r="V360" i="43"/>
  <c r="AA360" i="43" s="1"/>
  <c r="AX359" i="43"/>
  <c r="AW359" i="43"/>
  <c r="AE359" i="43"/>
  <c r="AU359" i="43" s="1"/>
  <c r="Y359" i="43"/>
  <c r="AQ359" i="43" s="1"/>
  <c r="V359" i="43"/>
  <c r="AA359" i="43" s="1"/>
  <c r="AX358" i="43"/>
  <c r="AW358" i="43"/>
  <c r="AE358" i="43"/>
  <c r="AU358" i="43" s="1"/>
  <c r="Y358" i="43"/>
  <c r="AQ358" i="43" s="1"/>
  <c r="V358" i="43"/>
  <c r="AA358" i="43" s="1"/>
  <c r="AX357" i="43"/>
  <c r="AW357" i="43"/>
  <c r="AE357" i="43"/>
  <c r="AU357" i="43" s="1"/>
  <c r="Y357" i="43"/>
  <c r="AQ357" i="43" s="1"/>
  <c r="V357" i="43"/>
  <c r="AA357" i="43" s="1"/>
  <c r="AW356" i="43"/>
  <c r="AE356" i="43"/>
  <c r="AU356" i="43" s="1"/>
  <c r="Y356" i="43"/>
  <c r="AK355" i="43"/>
  <c r="AJ355" i="43"/>
  <c r="AD355" i="43"/>
  <c r="U355" i="43"/>
  <c r="AX354" i="43"/>
  <c r="AE354" i="43"/>
  <c r="AU354" i="43" s="1"/>
  <c r="Y354" i="43"/>
  <c r="AQ354" i="43" s="1"/>
  <c r="V354" i="43"/>
  <c r="AA354" i="43" s="1"/>
  <c r="AX353" i="43"/>
  <c r="AE353" i="43"/>
  <c r="AU353" i="43" s="1"/>
  <c r="Y353" i="43"/>
  <c r="AQ353" i="43" s="1"/>
  <c r="V353" i="43"/>
  <c r="AA353" i="43" s="1"/>
  <c r="AX352" i="43"/>
  <c r="AE352" i="43"/>
  <c r="AU352" i="43" s="1"/>
  <c r="Y352" i="43"/>
  <c r="AQ352" i="43" s="1"/>
  <c r="V352" i="43"/>
  <c r="AA352" i="43" s="1"/>
  <c r="AE351" i="43"/>
  <c r="Y351" i="43"/>
  <c r="V351" i="43"/>
  <c r="AA351" i="43" s="1"/>
  <c r="AK350" i="43"/>
  <c r="AJ350" i="43"/>
  <c r="AD350" i="43"/>
  <c r="U350" i="43"/>
  <c r="AW349" i="43"/>
  <c r="AE349" i="43"/>
  <c r="AU349" i="43" s="1"/>
  <c r="Y349" i="43"/>
  <c r="AQ349" i="43" s="1"/>
  <c r="V349" i="43"/>
  <c r="AA349" i="43" s="1"/>
  <c r="AX348" i="43"/>
  <c r="AW348" i="43"/>
  <c r="AE348" i="43"/>
  <c r="AU348" i="43" s="1"/>
  <c r="Y348" i="43"/>
  <c r="AQ348" i="43" s="1"/>
  <c r="V348" i="43"/>
  <c r="AA348" i="43" s="1"/>
  <c r="AX347" i="43"/>
  <c r="AE347" i="43"/>
  <c r="AU347" i="43" s="1"/>
  <c r="Y347" i="43"/>
  <c r="AQ347" i="43" s="1"/>
  <c r="V347" i="43"/>
  <c r="AA347" i="43" s="1"/>
  <c r="AX346" i="43"/>
  <c r="AE346" i="43"/>
  <c r="AU346" i="43" s="1"/>
  <c r="Y346" i="43"/>
  <c r="AQ346" i="43" s="1"/>
  <c r="V346" i="43"/>
  <c r="AA346" i="43" s="1"/>
  <c r="AX345" i="43"/>
  <c r="AE345" i="43"/>
  <c r="AU345" i="43" s="1"/>
  <c r="Y345" i="43"/>
  <c r="AQ345" i="43" s="1"/>
  <c r="V345" i="43"/>
  <c r="AA345" i="43" s="1"/>
  <c r="AW344" i="43"/>
  <c r="AE344" i="43"/>
  <c r="AU344" i="43" s="1"/>
  <c r="Y344" i="43"/>
  <c r="AK343" i="43"/>
  <c r="AJ343" i="43"/>
  <c r="AD343" i="43"/>
  <c r="U343" i="43"/>
  <c r="AW342" i="43"/>
  <c r="AE342" i="43"/>
  <c r="AU342" i="43" s="1"/>
  <c r="Y342" i="43"/>
  <c r="AQ342" i="43" s="1"/>
  <c r="V342" i="43"/>
  <c r="AA342" i="43" s="1"/>
  <c r="AX341" i="43"/>
  <c r="AE341" i="43"/>
  <c r="AU341" i="43" s="1"/>
  <c r="Y341" i="43"/>
  <c r="AQ341" i="43" s="1"/>
  <c r="V341" i="43"/>
  <c r="AA341" i="43" s="1"/>
  <c r="AX340" i="43"/>
  <c r="AE340" i="43"/>
  <c r="AU340" i="43" s="1"/>
  <c r="Y340" i="43"/>
  <c r="AQ340" i="43" s="1"/>
  <c r="V340" i="43"/>
  <c r="AA340" i="43" s="1"/>
  <c r="AX339" i="43"/>
  <c r="AW339" i="43"/>
  <c r="AE339" i="43"/>
  <c r="AU339" i="43" s="1"/>
  <c r="Y339" i="43"/>
  <c r="AQ339" i="43" s="1"/>
  <c r="V339" i="43"/>
  <c r="AA339" i="43" s="1"/>
  <c r="AX338" i="43"/>
  <c r="AW338" i="43"/>
  <c r="AE338" i="43"/>
  <c r="AU338" i="43" s="1"/>
  <c r="Y338" i="43"/>
  <c r="AQ338" i="43" s="1"/>
  <c r="V338" i="43"/>
  <c r="AA338" i="43" s="1"/>
  <c r="AK337" i="43"/>
  <c r="AJ337" i="43"/>
  <c r="AD337" i="43"/>
  <c r="U337" i="43"/>
  <c r="AX336" i="43"/>
  <c r="AE336" i="43"/>
  <c r="AU336" i="43" s="1"/>
  <c r="Y336" i="43"/>
  <c r="AQ336" i="43" s="1"/>
  <c r="V336" i="43"/>
  <c r="AA336" i="43" s="1"/>
  <c r="AX335" i="43"/>
  <c r="AE335" i="43"/>
  <c r="AU335" i="43" s="1"/>
  <c r="Y335" i="43"/>
  <c r="AQ335" i="43" s="1"/>
  <c r="V335" i="43"/>
  <c r="AA335" i="43" s="1"/>
  <c r="AW334" i="43"/>
  <c r="AE334" i="43"/>
  <c r="AU334" i="43" s="1"/>
  <c r="Y334" i="43"/>
  <c r="AQ334" i="43" s="1"/>
  <c r="V334" i="43"/>
  <c r="AA334" i="43" s="1"/>
  <c r="AX333" i="43"/>
  <c r="AE333" i="43"/>
  <c r="AU333" i="43" s="1"/>
  <c r="Y333" i="43"/>
  <c r="AQ333" i="43" s="1"/>
  <c r="V333" i="43"/>
  <c r="AA333" i="43" s="1"/>
  <c r="AX332" i="43"/>
  <c r="AE332" i="43"/>
  <c r="AU332" i="43" s="1"/>
  <c r="Y332" i="43"/>
  <c r="AQ332" i="43" s="1"/>
  <c r="V332" i="43"/>
  <c r="AA332" i="43" s="1"/>
  <c r="AX331" i="43"/>
  <c r="AE331" i="43"/>
  <c r="AU331" i="43" s="1"/>
  <c r="Y331" i="43"/>
  <c r="AQ331" i="43" s="1"/>
  <c r="V331" i="43"/>
  <c r="AA331" i="43" s="1"/>
  <c r="AE330" i="43"/>
  <c r="AU330" i="43" s="1"/>
  <c r="Y330" i="43"/>
  <c r="AQ330" i="43" s="1"/>
  <c r="AK329" i="43"/>
  <c r="AJ329" i="43"/>
  <c r="AD329" i="43"/>
  <c r="U329" i="43"/>
  <c r="AX328" i="43"/>
  <c r="AE328" i="43"/>
  <c r="AU328" i="43" s="1"/>
  <c r="Y328" i="43"/>
  <c r="V328" i="43"/>
  <c r="AA328" i="43" s="1"/>
  <c r="AX327" i="43"/>
  <c r="AE327" i="43"/>
  <c r="Y327" i="43"/>
  <c r="AQ327" i="43" s="1"/>
  <c r="AK326" i="43"/>
  <c r="AJ326" i="43"/>
  <c r="AD326" i="43"/>
  <c r="U326" i="43"/>
  <c r="AX325" i="43"/>
  <c r="AE325" i="43"/>
  <c r="AU325" i="43" s="1"/>
  <c r="Y325" i="43"/>
  <c r="AQ325" i="43" s="1"/>
  <c r="V325" i="43"/>
  <c r="AA325" i="43" s="1"/>
  <c r="AX324" i="43"/>
  <c r="AW324" i="43"/>
  <c r="AE324" i="43"/>
  <c r="AU324" i="43" s="1"/>
  <c r="Y324" i="43"/>
  <c r="AQ324" i="43" s="1"/>
  <c r="V324" i="43"/>
  <c r="AA324" i="43" s="1"/>
  <c r="AW323" i="43"/>
  <c r="AE323" i="43"/>
  <c r="Y323" i="43"/>
  <c r="V323" i="43"/>
  <c r="AA323" i="43" s="1"/>
  <c r="AK322" i="43"/>
  <c r="AJ322" i="43"/>
  <c r="AD322" i="43"/>
  <c r="U322" i="43"/>
  <c r="AE321" i="43"/>
  <c r="AU321" i="43" s="1"/>
  <c r="Y321" i="43"/>
  <c r="V321" i="43"/>
  <c r="AA321" i="43" s="1"/>
  <c r="AX320" i="43"/>
  <c r="AW320" i="43"/>
  <c r="AE320" i="43"/>
  <c r="Y320" i="43"/>
  <c r="AK319" i="43"/>
  <c r="AJ319" i="43"/>
  <c r="AD319" i="43"/>
  <c r="U319" i="43"/>
  <c r="AM319" i="43"/>
  <c r="Y318" i="43"/>
  <c r="V318" i="43"/>
  <c r="AK317" i="43"/>
  <c r="AJ317" i="43"/>
  <c r="AD317" i="43"/>
  <c r="U317" i="43"/>
  <c r="AX316" i="43"/>
  <c r="AE316" i="43"/>
  <c r="AU316" i="43" s="1"/>
  <c r="Y316" i="43"/>
  <c r="AQ316" i="43" s="1"/>
  <c r="V316" i="43"/>
  <c r="AA316" i="43" s="1"/>
  <c r="AX315" i="43"/>
  <c r="AE315" i="43"/>
  <c r="AU315" i="43" s="1"/>
  <c r="Y315" i="43"/>
  <c r="AQ315" i="43" s="1"/>
  <c r="V315" i="43"/>
  <c r="AA315" i="43" s="1"/>
  <c r="AX314" i="43"/>
  <c r="AE314" i="43"/>
  <c r="AU314" i="43" s="1"/>
  <c r="Y314" i="43"/>
  <c r="AQ314" i="43" s="1"/>
  <c r="V314" i="43"/>
  <c r="AA314" i="43" s="1"/>
  <c r="AX313" i="43"/>
  <c r="AE313" i="43"/>
  <c r="AU313" i="43" s="1"/>
  <c r="Y313" i="43"/>
  <c r="AE312" i="43"/>
  <c r="AU312" i="43" s="1"/>
  <c r="Y312" i="43"/>
  <c r="AQ312" i="43" s="1"/>
  <c r="V312" i="43"/>
  <c r="AA312" i="43" s="1"/>
  <c r="AK311" i="43"/>
  <c r="AJ311" i="43"/>
  <c r="AD311" i="43"/>
  <c r="U311" i="43"/>
  <c r="AX310" i="43"/>
  <c r="AW310" i="43"/>
  <c r="AE310" i="43"/>
  <c r="AU310" i="43" s="1"/>
  <c r="Y310" i="43"/>
  <c r="AQ310" i="43" s="1"/>
  <c r="V310" i="43"/>
  <c r="AA310" i="43" s="1"/>
  <c r="AX309" i="43"/>
  <c r="AE309" i="43"/>
  <c r="AU309" i="43" s="1"/>
  <c r="Y309" i="43"/>
  <c r="AQ309" i="43" s="1"/>
  <c r="V309" i="43"/>
  <c r="AA309" i="43" s="1"/>
  <c r="AE308" i="43"/>
  <c r="AU308" i="43" s="1"/>
  <c r="Y308" i="43"/>
  <c r="V308" i="43"/>
  <c r="AA308" i="43" s="1"/>
  <c r="AK307" i="43"/>
  <c r="AJ307" i="43"/>
  <c r="AD307" i="43"/>
  <c r="U307" i="43"/>
  <c r="AW306" i="43"/>
  <c r="AE306" i="43"/>
  <c r="AU306" i="43" s="1"/>
  <c r="Y306" i="43"/>
  <c r="AQ306" i="43" s="1"/>
  <c r="V306" i="43"/>
  <c r="AA306" i="43" s="1"/>
  <c r="AX305" i="43"/>
  <c r="AE305" i="43"/>
  <c r="AU305" i="43" s="1"/>
  <c r="Y305" i="43"/>
  <c r="V305" i="43"/>
  <c r="AA305" i="43" s="1"/>
  <c r="AW304" i="43"/>
  <c r="AE304" i="43"/>
  <c r="Y304" i="43"/>
  <c r="AQ304" i="43" s="1"/>
  <c r="V304" i="43"/>
  <c r="AA304" i="43" s="1"/>
  <c r="AX303" i="43"/>
  <c r="AE303" i="43"/>
  <c r="AU303" i="43" s="1"/>
  <c r="Y303" i="43"/>
  <c r="V303" i="43"/>
  <c r="AA303" i="43" s="1"/>
  <c r="AW302" i="43"/>
  <c r="AE302" i="43"/>
  <c r="AU302" i="43" s="1"/>
  <c r="Y302" i="43"/>
  <c r="V302" i="43"/>
  <c r="AA302" i="43" s="1"/>
  <c r="AW301" i="43"/>
  <c r="AE301" i="43"/>
  <c r="AU301" i="43" s="1"/>
  <c r="Y301" i="43"/>
  <c r="V301" i="43"/>
  <c r="AA301" i="43" s="1"/>
  <c r="AK300" i="43"/>
  <c r="AJ300" i="43"/>
  <c r="AD300" i="43"/>
  <c r="U300" i="43"/>
  <c r="AX299" i="43"/>
  <c r="AE299" i="43"/>
  <c r="AU299" i="43" s="1"/>
  <c r="Y299" i="43"/>
  <c r="AQ299" i="43" s="1"/>
  <c r="V299" i="43"/>
  <c r="AA299" i="43" s="1"/>
  <c r="AX298" i="43"/>
  <c r="AE298" i="43"/>
  <c r="AU298" i="43" s="1"/>
  <c r="Y298" i="43"/>
  <c r="AQ298" i="43" s="1"/>
  <c r="V298" i="43"/>
  <c r="AA298" i="43" s="1"/>
  <c r="AX297" i="43"/>
  <c r="AE297" i="43"/>
  <c r="AU297" i="43" s="1"/>
  <c r="Y297" i="43"/>
  <c r="AQ297" i="43" s="1"/>
  <c r="V297" i="43"/>
  <c r="AA297" i="43" s="1"/>
  <c r="AX296" i="43"/>
  <c r="AE296" i="43"/>
  <c r="AU296" i="43" s="1"/>
  <c r="Y296" i="43"/>
  <c r="V296" i="43"/>
  <c r="AA296" i="43" s="1"/>
  <c r="AX295" i="43"/>
  <c r="AE295" i="43"/>
  <c r="AU295" i="43" s="1"/>
  <c r="Y295" i="43"/>
  <c r="V295" i="43"/>
  <c r="AA295" i="43" s="1"/>
  <c r="AE294" i="43"/>
  <c r="Y294" i="43"/>
  <c r="AQ294" i="43" s="1"/>
  <c r="AK293" i="43"/>
  <c r="AJ293" i="43"/>
  <c r="AD293" i="43"/>
  <c r="U293" i="43"/>
  <c r="AE292" i="43"/>
  <c r="AE293" i="43" s="1"/>
  <c r="Y292" i="43"/>
  <c r="AQ292" i="43" s="1"/>
  <c r="AQ293" i="43" s="1"/>
  <c r="V292" i="43"/>
  <c r="AA292" i="43" s="1"/>
  <c r="AA293" i="43" s="1"/>
  <c r="AK291" i="43"/>
  <c r="AJ291" i="43"/>
  <c r="AD291" i="43"/>
  <c r="U291" i="43"/>
  <c r="AX290" i="43"/>
  <c r="AW290" i="43"/>
  <c r="AE290" i="43"/>
  <c r="AU290" i="43" s="1"/>
  <c r="Y290" i="43"/>
  <c r="AQ290" i="43" s="1"/>
  <c r="V290" i="43"/>
  <c r="AA290" i="43" s="1"/>
  <c r="AX289" i="43"/>
  <c r="AW289" i="43"/>
  <c r="AE289" i="43"/>
  <c r="AU289" i="43" s="1"/>
  <c r="Y289" i="43"/>
  <c r="AQ289" i="43" s="1"/>
  <c r="V289" i="43"/>
  <c r="AA289" i="43" s="1"/>
  <c r="AX288" i="43"/>
  <c r="AW288" i="43"/>
  <c r="AE288" i="43"/>
  <c r="AU288" i="43" s="1"/>
  <c r="Y288" i="43"/>
  <c r="AQ288" i="43" s="1"/>
  <c r="V288" i="43"/>
  <c r="AA288" i="43" s="1"/>
  <c r="AX287" i="43"/>
  <c r="AW287" i="43"/>
  <c r="AE287" i="43"/>
  <c r="AU287" i="43" s="1"/>
  <c r="Y287" i="43"/>
  <c r="AQ287" i="43" s="1"/>
  <c r="V287" i="43"/>
  <c r="AA287" i="43" s="1"/>
  <c r="AX286" i="43"/>
  <c r="AW286" i="43"/>
  <c r="AE286" i="43"/>
  <c r="AU286" i="43" s="1"/>
  <c r="Y286" i="43"/>
  <c r="AQ286" i="43" s="1"/>
  <c r="V286" i="43"/>
  <c r="AA286" i="43" s="1"/>
  <c r="AX285" i="43"/>
  <c r="AW285" i="43"/>
  <c r="AE285" i="43"/>
  <c r="AU285" i="43" s="1"/>
  <c r="Y285" i="43"/>
  <c r="AQ285" i="43" s="1"/>
  <c r="V285" i="43"/>
  <c r="AA285" i="43" s="1"/>
  <c r="AE284" i="43"/>
  <c r="Y284" i="43"/>
  <c r="AK283" i="43"/>
  <c r="AJ283" i="43"/>
  <c r="AD283" i="43"/>
  <c r="U283" i="43"/>
  <c r="AW282" i="43"/>
  <c r="AE282" i="43"/>
  <c r="AU282" i="43" s="1"/>
  <c r="Y282" i="43"/>
  <c r="V282" i="43"/>
  <c r="AA282" i="43" s="1"/>
  <c r="AW281" i="43"/>
  <c r="AE281" i="43"/>
  <c r="AU281" i="43" s="1"/>
  <c r="Y281" i="43"/>
  <c r="AQ281" i="43" s="1"/>
  <c r="V281" i="43"/>
  <c r="AA281" i="43" s="1"/>
  <c r="AW280" i="43"/>
  <c r="AE280" i="43"/>
  <c r="AU280" i="43" s="1"/>
  <c r="Y280" i="43"/>
  <c r="AQ280" i="43" s="1"/>
  <c r="V280" i="43"/>
  <c r="AA280" i="43" s="1"/>
  <c r="AE279" i="43"/>
  <c r="Y279" i="43"/>
  <c r="AK278" i="43"/>
  <c r="AJ278" i="43"/>
  <c r="AD278" i="43"/>
  <c r="U278" i="43"/>
  <c r="AX277" i="43"/>
  <c r="AE277" i="43"/>
  <c r="AU277" i="43" s="1"/>
  <c r="Y277" i="43"/>
  <c r="AQ277" i="43" s="1"/>
  <c r="V277" i="43"/>
  <c r="AA277" i="43" s="1"/>
  <c r="AX276" i="43"/>
  <c r="AE276" i="43"/>
  <c r="AU276" i="43" s="1"/>
  <c r="Y276" i="43"/>
  <c r="AQ276" i="43" s="1"/>
  <c r="V276" i="43"/>
  <c r="AA276" i="43" s="1"/>
  <c r="AX275" i="43"/>
  <c r="AE275" i="43"/>
  <c r="AU275" i="43" s="1"/>
  <c r="Y275" i="43"/>
  <c r="AQ275" i="43" s="1"/>
  <c r="V275" i="43"/>
  <c r="AA275" i="43" s="1"/>
  <c r="AX274" i="43"/>
  <c r="AE274" i="43"/>
  <c r="AU274" i="43" s="1"/>
  <c r="Y274" i="43"/>
  <c r="AQ274" i="43" s="1"/>
  <c r="V274" i="43"/>
  <c r="AA274" i="43" s="1"/>
  <c r="AX273" i="43"/>
  <c r="AW273" i="43"/>
  <c r="AE273" i="43"/>
  <c r="Y273" i="43"/>
  <c r="V273" i="43"/>
  <c r="AA273" i="43" s="1"/>
  <c r="AW272" i="43"/>
  <c r="AE272" i="43"/>
  <c r="Y272" i="43"/>
  <c r="V272" i="43"/>
  <c r="AA272" i="43" s="1"/>
  <c r="AK271" i="43"/>
  <c r="AJ271" i="43"/>
  <c r="AD271" i="43"/>
  <c r="U271" i="43"/>
  <c r="AX270" i="43"/>
  <c r="AE270" i="43"/>
  <c r="AU270" i="43" s="1"/>
  <c r="Y270" i="43"/>
  <c r="AQ270" i="43" s="1"/>
  <c r="V270" i="43"/>
  <c r="AA270" i="43" s="1"/>
  <c r="AX269" i="43"/>
  <c r="AE269" i="43"/>
  <c r="AU269" i="43" s="1"/>
  <c r="Y269" i="43"/>
  <c r="AQ269" i="43" s="1"/>
  <c r="V269" i="43"/>
  <c r="AA269" i="43" s="1"/>
  <c r="AE268" i="43"/>
  <c r="Y268" i="43"/>
  <c r="AQ268" i="43" s="1"/>
  <c r="V268" i="43"/>
  <c r="AA268" i="43" s="1"/>
  <c r="AK267" i="43"/>
  <c r="AJ267" i="43"/>
  <c r="AD267" i="43"/>
  <c r="U267" i="43"/>
  <c r="AX266" i="43"/>
  <c r="AE266" i="43"/>
  <c r="AU266" i="43" s="1"/>
  <c r="Y266" i="43"/>
  <c r="AQ266" i="43" s="1"/>
  <c r="V266" i="43"/>
  <c r="AA266" i="43" s="1"/>
  <c r="AX265" i="43"/>
  <c r="AE265" i="43"/>
  <c r="AU265" i="43" s="1"/>
  <c r="Y265" i="43"/>
  <c r="AQ265" i="43" s="1"/>
  <c r="V265" i="43"/>
  <c r="AA265" i="43" s="1"/>
  <c r="AX264" i="43"/>
  <c r="AE264" i="43"/>
  <c r="AU264" i="43" s="1"/>
  <c r="Y264" i="43"/>
  <c r="AQ264" i="43" s="1"/>
  <c r="V264" i="43"/>
  <c r="AA264" i="43" s="1"/>
  <c r="AX263" i="43"/>
  <c r="AE263" i="43"/>
  <c r="AU263" i="43" s="1"/>
  <c r="Y263" i="43"/>
  <c r="AQ263" i="43" s="1"/>
  <c r="V263" i="43"/>
  <c r="AA263" i="43" s="1"/>
  <c r="AE262" i="43"/>
  <c r="Y262" i="43"/>
  <c r="AK261" i="43"/>
  <c r="AJ261" i="43"/>
  <c r="AD261" i="43"/>
  <c r="U261" i="43"/>
  <c r="AX260" i="43"/>
  <c r="AW260" i="43"/>
  <c r="AE260" i="43"/>
  <c r="AU260" i="43" s="1"/>
  <c r="Y260" i="43"/>
  <c r="AQ260" i="43" s="1"/>
  <c r="V260" i="43"/>
  <c r="AA260" i="43" s="1"/>
  <c r="AX259" i="43"/>
  <c r="AE259" i="43"/>
  <c r="AU259" i="43" s="1"/>
  <c r="Y259" i="43"/>
  <c r="AQ259" i="43" s="1"/>
  <c r="V259" i="43"/>
  <c r="AA259" i="43" s="1"/>
  <c r="AE258" i="43"/>
  <c r="AU258" i="43" s="1"/>
  <c r="Y258" i="43"/>
  <c r="AK257" i="43"/>
  <c r="AJ257" i="43"/>
  <c r="AD257" i="43"/>
  <c r="U257" i="43"/>
  <c r="AX256" i="43"/>
  <c r="AE256" i="43"/>
  <c r="AU256" i="43" s="1"/>
  <c r="Y256" i="43"/>
  <c r="AQ256" i="43" s="1"/>
  <c r="V256" i="43"/>
  <c r="AA256" i="43" s="1"/>
  <c r="AX255" i="43"/>
  <c r="AE255" i="43"/>
  <c r="AU255" i="43" s="1"/>
  <c r="Y255" i="43"/>
  <c r="AQ255" i="43" s="1"/>
  <c r="V255" i="43"/>
  <c r="AA255" i="43" s="1"/>
  <c r="AW254" i="43"/>
  <c r="AE254" i="43"/>
  <c r="AU254" i="43" s="1"/>
  <c r="Y254" i="43"/>
  <c r="V254" i="43"/>
  <c r="AA254" i="43" s="1"/>
  <c r="AK253" i="43"/>
  <c r="AJ253" i="43"/>
  <c r="AD253" i="43"/>
  <c r="U253" i="43"/>
  <c r="AE252" i="43"/>
  <c r="AE253" i="43" s="1"/>
  <c r="Y252" i="43"/>
  <c r="AK251" i="43"/>
  <c r="AJ251" i="43"/>
  <c r="AD251" i="43"/>
  <c r="U251" i="43"/>
  <c r="AX250" i="43"/>
  <c r="AE250" i="43"/>
  <c r="AU250" i="43" s="1"/>
  <c r="Y250" i="43"/>
  <c r="AQ250" i="43" s="1"/>
  <c r="V250" i="43"/>
  <c r="AA250" i="43" s="1"/>
  <c r="AX249" i="43"/>
  <c r="AE249" i="43"/>
  <c r="AU249" i="43" s="1"/>
  <c r="Y249" i="43"/>
  <c r="AQ249" i="43" s="1"/>
  <c r="V249" i="43"/>
  <c r="AA249" i="43" s="1"/>
  <c r="AX248" i="43"/>
  <c r="AE248" i="43"/>
  <c r="AU248" i="43" s="1"/>
  <c r="Y248" i="43"/>
  <c r="AQ248" i="43" s="1"/>
  <c r="V248" i="43"/>
  <c r="AA248" i="43" s="1"/>
  <c r="AX247" i="43"/>
  <c r="AE247" i="43"/>
  <c r="AU247" i="43" s="1"/>
  <c r="Y247" i="43"/>
  <c r="AQ247" i="43" s="1"/>
  <c r="V247" i="43"/>
  <c r="AA247" i="43" s="1"/>
  <c r="AX246" i="43"/>
  <c r="AE246" i="43"/>
  <c r="AU246" i="43" s="1"/>
  <c r="Y246" i="43"/>
  <c r="AQ246" i="43" s="1"/>
  <c r="V246" i="43"/>
  <c r="AA246" i="43" s="1"/>
  <c r="AE245" i="43"/>
  <c r="AU245" i="43" s="1"/>
  <c r="Y245" i="43"/>
  <c r="V245" i="43"/>
  <c r="AA245" i="43" s="1"/>
  <c r="AK244" i="43"/>
  <c r="AJ244" i="43"/>
  <c r="AD244" i="43"/>
  <c r="U244" i="43"/>
  <c r="AX243" i="43"/>
  <c r="AE243" i="43"/>
  <c r="AU243" i="43" s="1"/>
  <c r="Y243" i="43"/>
  <c r="AQ243" i="43" s="1"/>
  <c r="V243" i="43"/>
  <c r="AA243" i="43" s="1"/>
  <c r="AX242" i="43"/>
  <c r="AE242" i="43"/>
  <c r="AU242" i="43" s="1"/>
  <c r="Y242" i="43"/>
  <c r="V242" i="43"/>
  <c r="AA242" i="43" s="1"/>
  <c r="AW241" i="43"/>
  <c r="AE241" i="43"/>
  <c r="AU241" i="43" s="1"/>
  <c r="Y241" i="43"/>
  <c r="AQ241" i="43" s="1"/>
  <c r="V241" i="43"/>
  <c r="AA241" i="43" s="1"/>
  <c r="AX240" i="43"/>
  <c r="AW240" i="43"/>
  <c r="AE240" i="43"/>
  <c r="AU240" i="43" s="1"/>
  <c r="Y240" i="43"/>
  <c r="AQ240" i="43" s="1"/>
  <c r="V240" i="43"/>
  <c r="AA240" i="43" s="1"/>
  <c r="AW239" i="43"/>
  <c r="AE239" i="43"/>
  <c r="Y239" i="43"/>
  <c r="AK238" i="43"/>
  <c r="AJ238" i="43"/>
  <c r="AD238" i="43"/>
  <c r="U238" i="43"/>
  <c r="AX237" i="43"/>
  <c r="AE237" i="43"/>
  <c r="AU237" i="43" s="1"/>
  <c r="Y237" i="43"/>
  <c r="AQ237" i="43" s="1"/>
  <c r="V237" i="43"/>
  <c r="AA237" i="43" s="1"/>
  <c r="AX236" i="43"/>
  <c r="AE236" i="43"/>
  <c r="AU236" i="43" s="1"/>
  <c r="Y236" i="43"/>
  <c r="AQ236" i="43" s="1"/>
  <c r="V236" i="43"/>
  <c r="AA236" i="43" s="1"/>
  <c r="AX235" i="43"/>
  <c r="AE235" i="43"/>
  <c r="AU235" i="43" s="1"/>
  <c r="Y235" i="43"/>
  <c r="V235" i="43"/>
  <c r="AA235" i="43" s="1"/>
  <c r="AX234" i="43"/>
  <c r="AE234" i="43"/>
  <c r="AU234" i="43" s="1"/>
  <c r="Y234" i="43"/>
  <c r="AQ234" i="43" s="1"/>
  <c r="V234" i="43"/>
  <c r="AA234" i="43" s="1"/>
  <c r="AE233" i="43"/>
  <c r="Y233" i="43"/>
  <c r="AQ233" i="43" s="1"/>
  <c r="V233" i="43"/>
  <c r="AA233" i="43" s="1"/>
  <c r="AK232" i="43"/>
  <c r="AJ232" i="43"/>
  <c r="AD232" i="43"/>
  <c r="U232" i="43"/>
  <c r="AX231" i="43"/>
  <c r="AE231" i="43"/>
  <c r="AU231" i="43" s="1"/>
  <c r="Y231" i="43"/>
  <c r="AQ231" i="43" s="1"/>
  <c r="V231" i="43"/>
  <c r="AA231" i="43" s="1"/>
  <c r="AX230" i="43"/>
  <c r="AE230" i="43"/>
  <c r="AU230" i="43" s="1"/>
  <c r="Y230" i="43"/>
  <c r="AQ230" i="43" s="1"/>
  <c r="V230" i="43"/>
  <c r="AA230" i="43" s="1"/>
  <c r="AX229" i="43"/>
  <c r="AE229" i="43"/>
  <c r="AU229" i="43" s="1"/>
  <c r="Y229" i="43"/>
  <c r="AQ229" i="43" s="1"/>
  <c r="V229" i="43"/>
  <c r="AA229" i="43" s="1"/>
  <c r="AX228" i="43"/>
  <c r="AE228" i="43"/>
  <c r="AU228" i="43" s="1"/>
  <c r="Y228" i="43"/>
  <c r="AQ228" i="43" s="1"/>
  <c r="V228" i="43"/>
  <c r="AA228" i="43" s="1"/>
  <c r="AE227" i="43"/>
  <c r="AU227" i="43" s="1"/>
  <c r="Y227" i="43"/>
  <c r="AK226" i="43"/>
  <c r="AJ226" i="43"/>
  <c r="AD226" i="43"/>
  <c r="U226" i="43"/>
  <c r="AX225" i="43"/>
  <c r="AE225" i="43"/>
  <c r="AU225" i="43" s="1"/>
  <c r="Y225" i="43"/>
  <c r="AQ225" i="43" s="1"/>
  <c r="V225" i="43"/>
  <c r="AA225" i="43" s="1"/>
  <c r="AX224" i="43"/>
  <c r="AE224" i="43"/>
  <c r="AU224" i="43" s="1"/>
  <c r="Y224" i="43"/>
  <c r="AQ224" i="43" s="1"/>
  <c r="V224" i="43"/>
  <c r="AA224" i="43" s="1"/>
  <c r="AX223" i="43"/>
  <c r="AE223" i="43"/>
  <c r="AU223" i="43" s="1"/>
  <c r="Y223" i="43"/>
  <c r="V223" i="43"/>
  <c r="AA223" i="43" s="1"/>
  <c r="AX222" i="43"/>
  <c r="AE222" i="43"/>
  <c r="AU222" i="43" s="1"/>
  <c r="Y222" i="43"/>
  <c r="AQ222" i="43" s="1"/>
  <c r="V222" i="43"/>
  <c r="AA222" i="43" s="1"/>
  <c r="AE221" i="43"/>
  <c r="Y221" i="43"/>
  <c r="AQ221" i="43" s="1"/>
  <c r="AK220" i="43"/>
  <c r="AJ220" i="43"/>
  <c r="AD220" i="43"/>
  <c r="U220" i="43"/>
  <c r="AX219" i="43"/>
  <c r="AW219" i="43"/>
  <c r="AE219" i="43"/>
  <c r="AU219" i="43" s="1"/>
  <c r="Y219" i="43"/>
  <c r="AQ219" i="43" s="1"/>
  <c r="V219" i="43"/>
  <c r="AA219" i="43" s="1"/>
  <c r="AX218" i="43"/>
  <c r="AW218" i="43"/>
  <c r="AE218" i="43"/>
  <c r="AU218" i="43" s="1"/>
  <c r="Y218" i="43"/>
  <c r="AQ218" i="43" s="1"/>
  <c r="V218" i="43"/>
  <c r="AA218" i="43" s="1"/>
  <c r="AX217" i="43"/>
  <c r="AW217" i="43"/>
  <c r="AE217" i="43"/>
  <c r="AU217" i="43" s="1"/>
  <c r="Y217" i="43"/>
  <c r="AQ217" i="43" s="1"/>
  <c r="V217" i="43"/>
  <c r="AA217" i="43" s="1"/>
  <c r="AX216" i="43"/>
  <c r="AW216" i="43"/>
  <c r="AE216" i="43"/>
  <c r="AU216" i="43" s="1"/>
  <c r="Y216" i="43"/>
  <c r="AQ216" i="43" s="1"/>
  <c r="V216" i="43"/>
  <c r="AA216" i="43" s="1"/>
  <c r="AX215" i="43"/>
  <c r="AW215" i="43"/>
  <c r="AE215" i="43"/>
  <c r="Y215" i="43"/>
  <c r="AQ215" i="43" s="1"/>
  <c r="AK214" i="43"/>
  <c r="AJ214" i="43"/>
  <c r="AD214" i="43"/>
  <c r="U214" i="43"/>
  <c r="AX213" i="43"/>
  <c r="AE213" i="43"/>
  <c r="AU213" i="43" s="1"/>
  <c r="Y213" i="43"/>
  <c r="AQ213" i="43" s="1"/>
  <c r="V213" i="43"/>
  <c r="AA213" i="43" s="1"/>
  <c r="AW212" i="43"/>
  <c r="AE212" i="43"/>
  <c r="AU212" i="43" s="1"/>
  <c r="Y212" i="43"/>
  <c r="AQ212" i="43" s="1"/>
  <c r="V212" i="43"/>
  <c r="AA212" i="43" s="1"/>
  <c r="AX211" i="43"/>
  <c r="AW211" i="43"/>
  <c r="AE211" i="43"/>
  <c r="AU211" i="43" s="1"/>
  <c r="Y211" i="43"/>
  <c r="AQ211" i="43" s="1"/>
  <c r="V211" i="43"/>
  <c r="AA211" i="43" s="1"/>
  <c r="AX210" i="43"/>
  <c r="AW210" i="43"/>
  <c r="AE210" i="43"/>
  <c r="AU210" i="43" s="1"/>
  <c r="Y210" i="43"/>
  <c r="AQ210" i="43" s="1"/>
  <c r="V210" i="43"/>
  <c r="AA210" i="43" s="1"/>
  <c r="AW209" i="43"/>
  <c r="AE209" i="43"/>
  <c r="AU209" i="43" s="1"/>
  <c r="Y209" i="43"/>
  <c r="V209" i="43"/>
  <c r="AA209" i="43" s="1"/>
  <c r="AK208" i="43"/>
  <c r="AJ208" i="43"/>
  <c r="AD208" i="43"/>
  <c r="U208" i="43"/>
  <c r="AX207" i="43"/>
  <c r="AE207" i="43"/>
  <c r="AU207" i="43" s="1"/>
  <c r="Y207" i="43"/>
  <c r="AQ207" i="43" s="1"/>
  <c r="V207" i="43"/>
  <c r="AA207" i="43" s="1"/>
  <c r="AX206" i="43"/>
  <c r="AE206" i="43"/>
  <c r="AU206" i="43" s="1"/>
  <c r="Y206" i="43"/>
  <c r="AQ206" i="43" s="1"/>
  <c r="V206" i="43"/>
  <c r="AA206" i="43" s="1"/>
  <c r="AX205" i="43"/>
  <c r="AE205" i="43"/>
  <c r="AU205" i="43" s="1"/>
  <c r="Y205" i="43"/>
  <c r="AQ205" i="43" s="1"/>
  <c r="V205" i="43"/>
  <c r="AA205" i="43" s="1"/>
  <c r="AX204" i="43"/>
  <c r="AE204" i="43"/>
  <c r="AU204" i="43" s="1"/>
  <c r="Y204" i="43"/>
  <c r="AQ204" i="43" s="1"/>
  <c r="V204" i="43"/>
  <c r="AA204" i="43" s="1"/>
  <c r="AX203" i="43"/>
  <c r="AE203" i="43"/>
  <c r="AU203" i="43" s="1"/>
  <c r="Y203" i="43"/>
  <c r="AQ203" i="43" s="1"/>
  <c r="V203" i="43"/>
  <c r="AA203" i="43" s="1"/>
  <c r="AE202" i="43"/>
  <c r="Y202" i="43"/>
  <c r="V202" i="43"/>
  <c r="AA202" i="43" s="1"/>
  <c r="AK201" i="43"/>
  <c r="AJ201" i="43"/>
  <c r="AD201" i="43"/>
  <c r="U201" i="43"/>
  <c r="AX200" i="43"/>
  <c r="AE200" i="43"/>
  <c r="AU200" i="43" s="1"/>
  <c r="Y200" i="43"/>
  <c r="AQ200" i="43" s="1"/>
  <c r="V200" i="43"/>
  <c r="AA200" i="43" s="1"/>
  <c r="AX199" i="43"/>
  <c r="AE199" i="43"/>
  <c r="AU199" i="43" s="1"/>
  <c r="Y199" i="43"/>
  <c r="AQ199" i="43" s="1"/>
  <c r="V199" i="43"/>
  <c r="AA199" i="43" s="1"/>
  <c r="AX198" i="43"/>
  <c r="AE198" i="43"/>
  <c r="AU198" i="43" s="1"/>
  <c r="Y198" i="43"/>
  <c r="AQ198" i="43" s="1"/>
  <c r="V198" i="43"/>
  <c r="AA198" i="43" s="1"/>
  <c r="AX197" i="43"/>
  <c r="AE197" i="43"/>
  <c r="AU197" i="43" s="1"/>
  <c r="Y197" i="43"/>
  <c r="AQ197" i="43" s="1"/>
  <c r="V197" i="43"/>
  <c r="AA197" i="43" s="1"/>
  <c r="AE196" i="43"/>
  <c r="Y196" i="43"/>
  <c r="V196" i="43"/>
  <c r="AA196" i="43" s="1"/>
  <c r="AK195" i="43"/>
  <c r="AJ195" i="43"/>
  <c r="AD195" i="43"/>
  <c r="U195" i="43"/>
  <c r="AX194" i="43"/>
  <c r="AE194" i="43"/>
  <c r="AU194" i="43" s="1"/>
  <c r="Y194" i="43"/>
  <c r="AQ194" i="43" s="1"/>
  <c r="V194" i="43"/>
  <c r="AA194" i="43" s="1"/>
  <c r="AX193" i="43"/>
  <c r="AW193" i="43"/>
  <c r="AE193" i="43"/>
  <c r="AU193" i="43" s="1"/>
  <c r="Y193" i="43"/>
  <c r="AQ193" i="43" s="1"/>
  <c r="V193" i="43"/>
  <c r="AA193" i="43" s="1"/>
  <c r="AX192" i="43"/>
  <c r="AW192" i="43"/>
  <c r="AE192" i="43"/>
  <c r="AU192" i="43" s="1"/>
  <c r="Y192" i="43"/>
  <c r="AQ192" i="43" s="1"/>
  <c r="V192" i="43"/>
  <c r="AA192" i="43" s="1"/>
  <c r="AX191" i="43"/>
  <c r="AW191" i="43"/>
  <c r="AE191" i="43"/>
  <c r="AU191" i="43" s="1"/>
  <c r="Y191" i="43"/>
  <c r="AQ191" i="43" s="1"/>
  <c r="V191" i="43"/>
  <c r="AA191" i="43" s="1"/>
  <c r="AE190" i="43"/>
  <c r="AU190" i="43" s="1"/>
  <c r="Y190" i="43"/>
  <c r="V190" i="43"/>
  <c r="AA190" i="43" s="1"/>
  <c r="AK189" i="43"/>
  <c r="AJ189" i="43"/>
  <c r="AD189" i="43"/>
  <c r="U189" i="43"/>
  <c r="AX188" i="43"/>
  <c r="AW188" i="43"/>
  <c r="AE188" i="43"/>
  <c r="AU188" i="43" s="1"/>
  <c r="Y188" i="43"/>
  <c r="AQ188" i="43" s="1"/>
  <c r="V188" i="43"/>
  <c r="AA188" i="43" s="1"/>
  <c r="AX187" i="43"/>
  <c r="AW187" i="43"/>
  <c r="AE187" i="43"/>
  <c r="AU187" i="43" s="1"/>
  <c r="Y187" i="43"/>
  <c r="AQ187" i="43" s="1"/>
  <c r="V187" i="43"/>
  <c r="AA187" i="43" s="1"/>
  <c r="AX186" i="43"/>
  <c r="AW186" i="43"/>
  <c r="AE186" i="43"/>
  <c r="AU186" i="43" s="1"/>
  <c r="Y186" i="43"/>
  <c r="AQ186" i="43" s="1"/>
  <c r="V186" i="43"/>
  <c r="AA186" i="43" s="1"/>
  <c r="AX185" i="43"/>
  <c r="AE185" i="43"/>
  <c r="AU185" i="43" s="1"/>
  <c r="Y185" i="43"/>
  <c r="AQ185" i="43" s="1"/>
  <c r="V185" i="43"/>
  <c r="AA185" i="43" s="1"/>
  <c r="AX184" i="43"/>
  <c r="AW184" i="43"/>
  <c r="AE184" i="43"/>
  <c r="Y184" i="43"/>
  <c r="AQ184" i="43" s="1"/>
  <c r="V184" i="43"/>
  <c r="AA184" i="43" s="1"/>
  <c r="AE183" i="43"/>
  <c r="AU183" i="43" s="1"/>
  <c r="Y183" i="43"/>
  <c r="V183" i="43"/>
  <c r="AA183" i="43" s="1"/>
  <c r="AK182" i="43"/>
  <c r="AJ182" i="43"/>
  <c r="AD182" i="43"/>
  <c r="U182" i="43"/>
  <c r="AX181" i="43"/>
  <c r="AE181" i="43"/>
  <c r="AU181" i="43" s="1"/>
  <c r="Y181" i="43"/>
  <c r="AQ181" i="43" s="1"/>
  <c r="V181" i="43"/>
  <c r="AA181" i="43" s="1"/>
  <c r="AX180" i="43"/>
  <c r="AE180" i="43"/>
  <c r="AU180" i="43" s="1"/>
  <c r="Y180" i="43"/>
  <c r="AQ180" i="43" s="1"/>
  <c r="V180" i="43"/>
  <c r="AA180" i="43" s="1"/>
  <c r="AX179" i="43"/>
  <c r="AE179" i="43"/>
  <c r="AU179" i="43" s="1"/>
  <c r="Y179" i="43"/>
  <c r="AQ179" i="43" s="1"/>
  <c r="V179" i="43"/>
  <c r="AA179" i="43" s="1"/>
  <c r="AX178" i="43"/>
  <c r="AE178" i="43"/>
  <c r="AU178" i="43" s="1"/>
  <c r="Y178" i="43"/>
  <c r="AQ178" i="43" s="1"/>
  <c r="V178" i="43"/>
  <c r="AA178" i="43" s="1"/>
  <c r="AX177" i="43"/>
  <c r="AE177" i="43"/>
  <c r="AU177" i="43" s="1"/>
  <c r="Y177" i="43"/>
  <c r="AQ177" i="43" s="1"/>
  <c r="V177" i="43"/>
  <c r="AA177" i="43" s="1"/>
  <c r="AX176" i="43"/>
  <c r="AE176" i="43"/>
  <c r="AU176" i="43" s="1"/>
  <c r="Y176" i="43"/>
  <c r="V176" i="43"/>
  <c r="AA176" i="43" s="1"/>
  <c r="AK175" i="43"/>
  <c r="AJ175" i="43"/>
  <c r="AD175" i="43"/>
  <c r="U175" i="43"/>
  <c r="AX174" i="43"/>
  <c r="AE174" i="43"/>
  <c r="AU174" i="43" s="1"/>
  <c r="Y174" i="43"/>
  <c r="AQ174" i="43" s="1"/>
  <c r="V174" i="43"/>
  <c r="AA174" i="43" s="1"/>
  <c r="AX173" i="43"/>
  <c r="AE173" i="43"/>
  <c r="AU173" i="43" s="1"/>
  <c r="Y173" i="43"/>
  <c r="AQ173" i="43" s="1"/>
  <c r="V173" i="43"/>
  <c r="AA173" i="43" s="1"/>
  <c r="AX172" i="43"/>
  <c r="AE172" i="43"/>
  <c r="AU172" i="43" s="1"/>
  <c r="Y172" i="43"/>
  <c r="AQ172" i="43" s="1"/>
  <c r="V172" i="43"/>
  <c r="AA172" i="43" s="1"/>
  <c r="AX171" i="43"/>
  <c r="AE171" i="43"/>
  <c r="AU171" i="43" s="1"/>
  <c r="Y171" i="43"/>
  <c r="V171" i="43"/>
  <c r="AA171" i="43" s="1"/>
  <c r="AE170" i="43"/>
  <c r="AU170" i="43" s="1"/>
  <c r="Y170" i="43"/>
  <c r="AQ170" i="43" s="1"/>
  <c r="AK169" i="43"/>
  <c r="AJ169" i="43"/>
  <c r="AD169" i="43"/>
  <c r="U169" i="43"/>
  <c r="AX168" i="43"/>
  <c r="AW168" i="43"/>
  <c r="AE168" i="43"/>
  <c r="AU168" i="43" s="1"/>
  <c r="Y168" i="43"/>
  <c r="AQ168" i="43" s="1"/>
  <c r="V168" i="43"/>
  <c r="AA168" i="43" s="1"/>
  <c r="AX167" i="43"/>
  <c r="AW167" i="43"/>
  <c r="AE167" i="43"/>
  <c r="AU167" i="43" s="1"/>
  <c r="Y167" i="43"/>
  <c r="AQ167" i="43" s="1"/>
  <c r="V167" i="43"/>
  <c r="AA167" i="43" s="1"/>
  <c r="AX166" i="43"/>
  <c r="AE166" i="43"/>
  <c r="AU166" i="43" s="1"/>
  <c r="Y166" i="43"/>
  <c r="AQ166" i="43" s="1"/>
  <c r="V166" i="43"/>
  <c r="AA166" i="43" s="1"/>
  <c r="AX165" i="43"/>
  <c r="AE165" i="43"/>
  <c r="AU165" i="43" s="1"/>
  <c r="Y165" i="43"/>
  <c r="AQ165" i="43" s="1"/>
  <c r="V165" i="43"/>
  <c r="AA165" i="43" s="1"/>
  <c r="AW164" i="43"/>
  <c r="AE164" i="43"/>
  <c r="AU164" i="43" s="1"/>
  <c r="Y164" i="43"/>
  <c r="V164" i="43"/>
  <c r="AA164" i="43" s="1"/>
  <c r="AK163" i="43"/>
  <c r="AJ163" i="43"/>
  <c r="AD163" i="43"/>
  <c r="U163" i="43"/>
  <c r="AX162" i="43"/>
  <c r="AN162" i="43"/>
  <c r="AV162" i="43" s="1"/>
  <c r="AE162" i="43"/>
  <c r="AU162" i="43" s="1"/>
  <c r="Y162" i="43"/>
  <c r="AQ162" i="43" s="1"/>
  <c r="V162" i="43"/>
  <c r="AA162" i="43" s="1"/>
  <c r="AW161" i="43"/>
  <c r="AE161" i="43"/>
  <c r="AU161" i="43" s="1"/>
  <c r="Y161" i="43"/>
  <c r="AQ161" i="43" s="1"/>
  <c r="V161" i="43"/>
  <c r="AA161" i="43" s="1"/>
  <c r="AW160" i="43"/>
  <c r="AE160" i="43"/>
  <c r="AU160" i="43" s="1"/>
  <c r="Y160" i="43"/>
  <c r="AQ160" i="43" s="1"/>
  <c r="V160" i="43"/>
  <c r="AA160" i="43" s="1"/>
  <c r="AW159" i="43"/>
  <c r="AE159" i="43"/>
  <c r="AU159" i="43" s="1"/>
  <c r="Y159" i="43"/>
  <c r="AQ159" i="43" s="1"/>
  <c r="V159" i="43"/>
  <c r="AA159" i="43" s="1"/>
  <c r="AE158" i="43"/>
  <c r="AU158" i="43" s="1"/>
  <c r="Y158" i="43"/>
  <c r="AK157" i="43"/>
  <c r="AJ157" i="43"/>
  <c r="AD157" i="43"/>
  <c r="U157" i="43"/>
  <c r="AX156" i="43"/>
  <c r="AW156" i="43"/>
  <c r="AE156" i="43"/>
  <c r="AU156" i="43" s="1"/>
  <c r="Y156" i="43"/>
  <c r="AQ156" i="43" s="1"/>
  <c r="V156" i="43"/>
  <c r="AA156" i="43" s="1"/>
  <c r="AX155" i="43"/>
  <c r="AW155" i="43"/>
  <c r="AE155" i="43"/>
  <c r="AU155" i="43" s="1"/>
  <c r="Y155" i="43"/>
  <c r="V155" i="43"/>
  <c r="AA155" i="43" s="1"/>
  <c r="AX154" i="43"/>
  <c r="AW154" i="43"/>
  <c r="AE154" i="43"/>
  <c r="AU154" i="43" s="1"/>
  <c r="Y154" i="43"/>
  <c r="AQ154" i="43" s="1"/>
  <c r="V154" i="43"/>
  <c r="AA154" i="43" s="1"/>
  <c r="AW153" i="43"/>
  <c r="AE153" i="43"/>
  <c r="AU153" i="43" s="1"/>
  <c r="Y153" i="43"/>
  <c r="V153" i="43"/>
  <c r="AA153" i="43" s="1"/>
  <c r="AK152" i="43"/>
  <c r="AJ152" i="43"/>
  <c r="AD152" i="43"/>
  <c r="U152" i="43"/>
  <c r="AX151" i="43"/>
  <c r="AE151" i="43"/>
  <c r="AU151" i="43" s="1"/>
  <c r="Y151" i="43"/>
  <c r="AQ151" i="43" s="1"/>
  <c r="V151" i="43"/>
  <c r="AA151" i="43" s="1"/>
  <c r="AX150" i="43"/>
  <c r="AE150" i="43"/>
  <c r="AU150" i="43" s="1"/>
  <c r="Y150" i="43"/>
  <c r="AQ150" i="43" s="1"/>
  <c r="V150" i="43"/>
  <c r="AA150" i="43" s="1"/>
  <c r="AX149" i="43"/>
  <c r="AE149" i="43"/>
  <c r="AU149" i="43" s="1"/>
  <c r="Y149" i="43"/>
  <c r="AQ149" i="43" s="1"/>
  <c r="V149" i="43"/>
  <c r="AA149" i="43" s="1"/>
  <c r="AX148" i="43"/>
  <c r="AE148" i="43"/>
  <c r="AU148" i="43" s="1"/>
  <c r="Y148" i="43"/>
  <c r="AQ148" i="43" s="1"/>
  <c r="V148" i="43"/>
  <c r="AA148" i="43" s="1"/>
  <c r="AX147" i="43"/>
  <c r="AE147" i="43"/>
  <c r="AU147" i="43" s="1"/>
  <c r="Y147" i="43"/>
  <c r="AQ147" i="43" s="1"/>
  <c r="AK146" i="43"/>
  <c r="AJ146" i="43"/>
  <c r="AD146" i="43"/>
  <c r="U146" i="43"/>
  <c r="AX145" i="43"/>
  <c r="AE145" i="43"/>
  <c r="AU145" i="43" s="1"/>
  <c r="Y145" i="43"/>
  <c r="AQ145" i="43" s="1"/>
  <c r="V145" i="43"/>
  <c r="AA145" i="43" s="1"/>
  <c r="AX144" i="43"/>
  <c r="AE144" i="43"/>
  <c r="AU144" i="43" s="1"/>
  <c r="Y144" i="43"/>
  <c r="AQ144" i="43" s="1"/>
  <c r="V144" i="43"/>
  <c r="AA144" i="43" s="1"/>
  <c r="AX143" i="43"/>
  <c r="AE143" i="43"/>
  <c r="AU143" i="43" s="1"/>
  <c r="Y143" i="43"/>
  <c r="AQ143" i="43" s="1"/>
  <c r="V143" i="43"/>
  <c r="AA143" i="43" s="1"/>
  <c r="AX142" i="43"/>
  <c r="AE142" i="43"/>
  <c r="AU142" i="43" s="1"/>
  <c r="Y142" i="43"/>
  <c r="AQ142" i="43" s="1"/>
  <c r="V142" i="43"/>
  <c r="AA142" i="43" s="1"/>
  <c r="AE141" i="43"/>
  <c r="Y141" i="43"/>
  <c r="AQ141" i="43" s="1"/>
  <c r="AK140" i="43"/>
  <c r="AJ140" i="43"/>
  <c r="AD140" i="43"/>
  <c r="U140" i="43"/>
  <c r="AX139" i="43"/>
  <c r="AE139" i="43"/>
  <c r="AU139" i="43" s="1"/>
  <c r="Y139" i="43"/>
  <c r="AQ139" i="43" s="1"/>
  <c r="V139" i="43"/>
  <c r="AA139" i="43" s="1"/>
  <c r="AX138" i="43"/>
  <c r="AE138" i="43"/>
  <c r="AU138" i="43" s="1"/>
  <c r="Y138" i="43"/>
  <c r="AQ138" i="43" s="1"/>
  <c r="V138" i="43"/>
  <c r="AA138" i="43" s="1"/>
  <c r="AX137" i="43"/>
  <c r="AW137" i="43"/>
  <c r="AE137" i="43"/>
  <c r="AU137" i="43" s="1"/>
  <c r="Y137" i="43"/>
  <c r="AQ137" i="43" s="1"/>
  <c r="V137" i="43"/>
  <c r="AA137" i="43" s="1"/>
  <c r="AX136" i="43"/>
  <c r="AE136" i="43"/>
  <c r="AU136" i="43" s="1"/>
  <c r="Y136" i="43"/>
  <c r="AQ136" i="43" s="1"/>
  <c r="V136" i="43"/>
  <c r="AA136" i="43" s="1"/>
  <c r="AX135" i="43"/>
  <c r="AW135" i="43"/>
  <c r="AE135" i="43"/>
  <c r="Y135" i="43"/>
  <c r="AK134" i="43"/>
  <c r="AJ134" i="43"/>
  <c r="AD134" i="43"/>
  <c r="U134" i="43"/>
  <c r="AW133" i="43"/>
  <c r="AE133" i="43"/>
  <c r="Y133" i="43"/>
  <c r="V133" i="43"/>
  <c r="AA133" i="43" s="1"/>
  <c r="AX132" i="43"/>
  <c r="AW132" i="43"/>
  <c r="AE132" i="43"/>
  <c r="AU132" i="43" s="1"/>
  <c r="Y132" i="43"/>
  <c r="AQ132" i="43" s="1"/>
  <c r="V132" i="43"/>
  <c r="AA132" i="43" s="1"/>
  <c r="AW131" i="43"/>
  <c r="AE131" i="43"/>
  <c r="AU131" i="43" s="1"/>
  <c r="Y131" i="43"/>
  <c r="V131" i="43"/>
  <c r="AA131" i="43" s="1"/>
  <c r="AX130" i="43"/>
  <c r="AE130" i="43"/>
  <c r="AU130" i="43" s="1"/>
  <c r="Y130" i="43"/>
  <c r="AQ130" i="43" s="1"/>
  <c r="V130" i="43"/>
  <c r="AA130" i="43" s="1"/>
  <c r="AX129" i="43"/>
  <c r="AW129" i="43"/>
  <c r="AE129" i="43"/>
  <c r="AU129" i="43" s="1"/>
  <c r="Y129" i="43"/>
  <c r="V129" i="43"/>
  <c r="AA129" i="43" s="1"/>
  <c r="AW128" i="43"/>
  <c r="AE128" i="43"/>
  <c r="Y128" i="43"/>
  <c r="V128" i="43"/>
  <c r="AA128" i="43" s="1"/>
  <c r="AK127" i="43"/>
  <c r="AJ127" i="43"/>
  <c r="AD127" i="43"/>
  <c r="U127" i="43"/>
  <c r="AX126" i="43"/>
  <c r="AE126" i="43"/>
  <c r="AU126" i="43" s="1"/>
  <c r="Y126" i="43"/>
  <c r="AQ126" i="43" s="1"/>
  <c r="V126" i="43"/>
  <c r="AA126" i="43" s="1"/>
  <c r="AX125" i="43"/>
  <c r="AE125" i="43"/>
  <c r="AU125" i="43" s="1"/>
  <c r="Y125" i="43"/>
  <c r="AQ125" i="43" s="1"/>
  <c r="AX124" i="43"/>
  <c r="AE124" i="43"/>
  <c r="AU124" i="43" s="1"/>
  <c r="Y124" i="43"/>
  <c r="AQ124" i="43" s="1"/>
  <c r="V124" i="43"/>
  <c r="AA124" i="43" s="1"/>
  <c r="AX123" i="43"/>
  <c r="AE123" i="43"/>
  <c r="AU123" i="43" s="1"/>
  <c r="Y123" i="43"/>
  <c r="AQ123" i="43" s="1"/>
  <c r="V123" i="43"/>
  <c r="AA123" i="43" s="1"/>
  <c r="AX122" i="43"/>
  <c r="AE122" i="43"/>
  <c r="AU122" i="43" s="1"/>
  <c r="Y122" i="43"/>
  <c r="AE121" i="43"/>
  <c r="Y121" i="43"/>
  <c r="AQ121" i="43" s="1"/>
  <c r="V121" i="43"/>
  <c r="AA121" i="43" s="1"/>
  <c r="AK120" i="43"/>
  <c r="AJ120" i="43"/>
  <c r="AD120" i="43"/>
  <c r="U120" i="43"/>
  <c r="AX119" i="43"/>
  <c r="AE119" i="43"/>
  <c r="AU119" i="43" s="1"/>
  <c r="Y119" i="43"/>
  <c r="AQ119" i="43" s="1"/>
  <c r="V119" i="43"/>
  <c r="AA119" i="43" s="1"/>
  <c r="AX117" i="43"/>
  <c r="AE117" i="43"/>
  <c r="AU117" i="43" s="1"/>
  <c r="Y117" i="43"/>
  <c r="AQ117" i="43" s="1"/>
  <c r="V117" i="43"/>
  <c r="AA117" i="43" s="1"/>
  <c r="AX116" i="43"/>
  <c r="AE116" i="43"/>
  <c r="AU116" i="43" s="1"/>
  <c r="Y116" i="43"/>
  <c r="V116" i="43"/>
  <c r="AA116" i="43" s="1"/>
  <c r="AA120" i="43" s="1"/>
  <c r="AK115" i="43"/>
  <c r="AJ115" i="43"/>
  <c r="AD115" i="43"/>
  <c r="U115" i="43"/>
  <c r="AX114" i="43"/>
  <c r="AE114" i="43"/>
  <c r="AU114" i="43" s="1"/>
  <c r="Y114" i="43"/>
  <c r="AQ114" i="43" s="1"/>
  <c r="V114" i="43"/>
  <c r="AA114" i="43" s="1"/>
  <c r="AX113" i="43"/>
  <c r="AE113" i="43"/>
  <c r="Y113" i="43"/>
  <c r="AQ113" i="43" s="1"/>
  <c r="V113" i="43"/>
  <c r="AA113" i="43" s="1"/>
  <c r="AA115" i="43" s="1"/>
  <c r="AK112" i="43"/>
  <c r="AJ112" i="43"/>
  <c r="AD112" i="43"/>
  <c r="U112" i="43"/>
  <c r="AW111" i="43"/>
  <c r="AE111" i="43"/>
  <c r="AU111" i="43" s="1"/>
  <c r="Y111" i="43"/>
  <c r="AQ111" i="43" s="1"/>
  <c r="V111" i="43"/>
  <c r="AA111" i="43" s="1"/>
  <c r="AX110" i="43"/>
  <c r="AW110" i="43"/>
  <c r="AE110" i="43"/>
  <c r="AU110" i="43" s="1"/>
  <c r="Y110" i="43"/>
  <c r="AK109" i="43"/>
  <c r="AJ109" i="43"/>
  <c r="AD109" i="43"/>
  <c r="U109" i="43"/>
  <c r="AX108" i="43"/>
  <c r="AE108" i="43"/>
  <c r="AU108" i="43" s="1"/>
  <c r="Y108" i="43"/>
  <c r="AQ108" i="43" s="1"/>
  <c r="V108" i="43"/>
  <c r="AA108" i="43" s="1"/>
  <c r="AX107" i="43"/>
  <c r="AW107" i="43"/>
  <c r="AE107" i="43"/>
  <c r="AU107" i="43" s="1"/>
  <c r="Y107" i="43"/>
  <c r="AQ107" i="43" s="1"/>
  <c r="V107" i="43"/>
  <c r="AA107" i="43" s="1"/>
  <c r="AE106" i="43"/>
  <c r="Y106" i="43"/>
  <c r="V106" i="43"/>
  <c r="AA106" i="43" s="1"/>
  <c r="AK105" i="43"/>
  <c r="AJ105" i="43"/>
  <c r="AD105" i="43"/>
  <c r="U105" i="43"/>
  <c r="AX104" i="43"/>
  <c r="AE104" i="43"/>
  <c r="AU104" i="43" s="1"/>
  <c r="Y104" i="43"/>
  <c r="AQ104" i="43" s="1"/>
  <c r="V104" i="43"/>
  <c r="AA104" i="43" s="1"/>
  <c r="AX103" i="43"/>
  <c r="AE103" i="43"/>
  <c r="AU103" i="43" s="1"/>
  <c r="Y103" i="43"/>
  <c r="AQ103" i="43" s="1"/>
  <c r="V103" i="43"/>
  <c r="AA103" i="43" s="1"/>
  <c r="AX102" i="43"/>
  <c r="AE102" i="43"/>
  <c r="AU102" i="43" s="1"/>
  <c r="Y102" i="43"/>
  <c r="V102" i="43"/>
  <c r="AA102" i="43" s="1"/>
  <c r="AK101" i="43"/>
  <c r="AJ101" i="43"/>
  <c r="AD101" i="43"/>
  <c r="U101" i="43"/>
  <c r="AX100" i="43"/>
  <c r="AE100" i="43"/>
  <c r="AU100" i="43" s="1"/>
  <c r="Y100" i="43"/>
  <c r="AQ100" i="43" s="1"/>
  <c r="V100" i="43"/>
  <c r="AA100" i="43" s="1"/>
  <c r="AW99" i="43"/>
  <c r="AE99" i="43"/>
  <c r="Y99" i="43"/>
  <c r="V99" i="43"/>
  <c r="AA99" i="43" s="1"/>
  <c r="AA101" i="43" s="1"/>
  <c r="AK98" i="43"/>
  <c r="AJ98" i="43"/>
  <c r="AD98" i="43"/>
  <c r="U98" i="43"/>
  <c r="AX97" i="43"/>
  <c r="AE97" i="43"/>
  <c r="AU97" i="43" s="1"/>
  <c r="Y97" i="43"/>
  <c r="AQ97" i="43" s="1"/>
  <c r="V97" i="43"/>
  <c r="AA97" i="43" s="1"/>
  <c r="AX96" i="43"/>
  <c r="AE96" i="43"/>
  <c r="AU96" i="43" s="1"/>
  <c r="Y96" i="43"/>
  <c r="AQ96" i="43" s="1"/>
  <c r="V96" i="43"/>
  <c r="AA96" i="43" s="1"/>
  <c r="AE95" i="43"/>
  <c r="AU95" i="43" s="1"/>
  <c r="Y95" i="43"/>
  <c r="V95" i="43"/>
  <c r="AA95" i="43" s="1"/>
  <c r="AK94" i="43"/>
  <c r="AJ94" i="43"/>
  <c r="AD94" i="43"/>
  <c r="U94" i="43"/>
  <c r="AX93" i="43"/>
  <c r="AE93" i="43"/>
  <c r="AU93" i="43" s="1"/>
  <c r="Y93" i="43"/>
  <c r="AQ93" i="43" s="1"/>
  <c r="V93" i="43"/>
  <c r="AA93" i="43" s="1"/>
  <c r="AX92" i="43"/>
  <c r="AE92" i="43"/>
  <c r="AU92" i="43" s="1"/>
  <c r="Y92" i="43"/>
  <c r="AQ92" i="43" s="1"/>
  <c r="V92" i="43"/>
  <c r="AA92" i="43" s="1"/>
  <c r="AE91" i="43"/>
  <c r="Y91" i="43"/>
  <c r="AK90" i="43"/>
  <c r="AJ90" i="43"/>
  <c r="AD90" i="43"/>
  <c r="U90" i="43"/>
  <c r="AX89" i="43"/>
  <c r="AW89" i="43"/>
  <c r="AE89" i="43"/>
  <c r="AU89" i="43" s="1"/>
  <c r="Y89" i="43"/>
  <c r="AQ89" i="43" s="1"/>
  <c r="V89" i="43"/>
  <c r="AA89" i="43" s="1"/>
  <c r="AX88" i="43"/>
  <c r="AE88" i="43"/>
  <c r="AU88" i="43" s="1"/>
  <c r="Y88" i="43"/>
  <c r="AK87" i="43"/>
  <c r="AJ87" i="43"/>
  <c r="AD87" i="43"/>
  <c r="U87" i="43"/>
  <c r="AX86" i="43"/>
  <c r="AW86" i="43"/>
  <c r="AE86" i="43"/>
  <c r="AU86" i="43" s="1"/>
  <c r="Y86" i="43"/>
  <c r="AQ86" i="43" s="1"/>
  <c r="V86" i="43"/>
  <c r="AA86" i="43" s="1"/>
  <c r="AX85" i="43"/>
  <c r="AE85" i="43"/>
  <c r="AU85" i="43" s="1"/>
  <c r="Y85" i="43"/>
  <c r="AQ85" i="43" s="1"/>
  <c r="V85" i="43"/>
  <c r="AA85" i="43" s="1"/>
  <c r="AX84" i="43"/>
  <c r="AE84" i="43"/>
  <c r="AU84" i="43" s="1"/>
  <c r="Y84" i="43"/>
  <c r="AK83" i="43"/>
  <c r="AJ83" i="43"/>
  <c r="AD83" i="43"/>
  <c r="U83" i="43"/>
  <c r="AX82" i="43"/>
  <c r="AE82" i="43"/>
  <c r="AU82" i="43" s="1"/>
  <c r="Y82" i="43"/>
  <c r="AQ82" i="43" s="1"/>
  <c r="V82" i="43"/>
  <c r="AA82" i="43" s="1"/>
  <c r="AE81" i="43"/>
  <c r="Y81" i="43"/>
  <c r="AQ81" i="43" s="1"/>
  <c r="V81" i="43"/>
  <c r="AA81" i="43" s="1"/>
  <c r="AK80" i="43"/>
  <c r="AJ80" i="43"/>
  <c r="AD80" i="43"/>
  <c r="U80" i="43"/>
  <c r="AX79" i="43"/>
  <c r="AE79" i="43"/>
  <c r="AU79" i="43" s="1"/>
  <c r="Y79" i="43"/>
  <c r="AQ79" i="43" s="1"/>
  <c r="V79" i="43"/>
  <c r="AA79" i="43" s="1"/>
  <c r="AE78" i="43"/>
  <c r="AU78" i="43" s="1"/>
  <c r="Y78" i="43"/>
  <c r="AQ78" i="43" s="1"/>
  <c r="AK77" i="43"/>
  <c r="AJ77" i="43"/>
  <c r="AD77" i="43"/>
  <c r="U77" i="43"/>
  <c r="AX76" i="43"/>
  <c r="AW76" i="43"/>
  <c r="AE76" i="43"/>
  <c r="AU76" i="43" s="1"/>
  <c r="Y76" i="43"/>
  <c r="AQ76" i="43" s="1"/>
  <c r="V76" i="43"/>
  <c r="AA76" i="43" s="1"/>
  <c r="AX75" i="43"/>
  <c r="AE75" i="43"/>
  <c r="AU75" i="43" s="1"/>
  <c r="Y75" i="43"/>
  <c r="AQ75" i="43" s="1"/>
  <c r="V75" i="43"/>
  <c r="AA75" i="43" s="1"/>
  <c r="AX74" i="43"/>
  <c r="AE74" i="43"/>
  <c r="AU74" i="43" s="1"/>
  <c r="Y74" i="43"/>
  <c r="AK73" i="43"/>
  <c r="AJ73" i="43"/>
  <c r="AD73" i="43"/>
  <c r="U73" i="43"/>
  <c r="AX72" i="43"/>
  <c r="AW72" i="43"/>
  <c r="AE72" i="43"/>
  <c r="AU72" i="43" s="1"/>
  <c r="Y72" i="43"/>
  <c r="AQ72" i="43" s="1"/>
  <c r="V72" i="43"/>
  <c r="AA72" i="43" s="1"/>
  <c r="AW71" i="43"/>
  <c r="AE71" i="43"/>
  <c r="AU71" i="43" s="1"/>
  <c r="Y71" i="43"/>
  <c r="AQ71" i="43" s="1"/>
  <c r="V71" i="43"/>
  <c r="AA71" i="43" s="1"/>
  <c r="AX70" i="43"/>
  <c r="AE70" i="43"/>
  <c r="AU70" i="43" s="1"/>
  <c r="Y70" i="43"/>
  <c r="AQ70" i="43" s="1"/>
  <c r="V70" i="43"/>
  <c r="AA70" i="43" s="1"/>
  <c r="AX69" i="43"/>
  <c r="AE69" i="43"/>
  <c r="AU69" i="43" s="1"/>
  <c r="Y69" i="43"/>
  <c r="V69" i="43"/>
  <c r="AA69" i="43" s="1"/>
  <c r="AA73" i="43" s="1"/>
  <c r="AK68" i="43"/>
  <c r="AJ68" i="43"/>
  <c r="AD68" i="43"/>
  <c r="U68" i="43"/>
  <c r="AX67" i="43"/>
  <c r="AE67" i="43"/>
  <c r="AU67" i="43" s="1"/>
  <c r="Y67" i="43"/>
  <c r="AQ67" i="43" s="1"/>
  <c r="V67" i="43"/>
  <c r="AA67" i="43" s="1"/>
  <c r="AE66" i="43"/>
  <c r="Y66" i="43"/>
  <c r="AK65" i="43"/>
  <c r="AJ65" i="43"/>
  <c r="AD65" i="43"/>
  <c r="U65" i="43"/>
  <c r="AX64" i="43"/>
  <c r="AE64" i="43"/>
  <c r="AU64" i="43" s="1"/>
  <c r="Y64" i="43"/>
  <c r="AQ64" i="43" s="1"/>
  <c r="V64" i="43"/>
  <c r="AA64" i="43" s="1"/>
  <c r="AX63" i="43"/>
  <c r="AE63" i="43"/>
  <c r="AU63" i="43" s="1"/>
  <c r="Y63" i="43"/>
  <c r="AQ63" i="43" s="1"/>
  <c r="V63" i="43"/>
  <c r="AA63" i="43" s="1"/>
  <c r="AE62" i="43"/>
  <c r="Y62" i="43"/>
  <c r="AK61" i="43"/>
  <c r="AJ61" i="43"/>
  <c r="AD61" i="43"/>
  <c r="U61" i="43"/>
  <c r="AX60" i="43"/>
  <c r="AW60" i="43"/>
  <c r="AE60" i="43"/>
  <c r="AU60" i="43" s="1"/>
  <c r="Y60" i="43"/>
  <c r="AQ60" i="43" s="1"/>
  <c r="V60" i="43"/>
  <c r="AA60" i="43" s="1"/>
  <c r="AX59" i="43"/>
  <c r="AW59" i="43"/>
  <c r="AE59" i="43"/>
  <c r="AU59" i="43" s="1"/>
  <c r="Y59" i="43"/>
  <c r="AQ59" i="43" s="1"/>
  <c r="V59" i="43"/>
  <c r="AA59" i="43" s="1"/>
  <c r="AX58" i="43"/>
  <c r="AE58" i="43"/>
  <c r="AU58" i="43" s="1"/>
  <c r="Y58" i="43"/>
  <c r="V58" i="43"/>
  <c r="AA58" i="43" s="1"/>
  <c r="AK57" i="43"/>
  <c r="AJ57" i="43"/>
  <c r="AD57" i="43"/>
  <c r="U57" i="43"/>
  <c r="AW56" i="43"/>
  <c r="AE56" i="43"/>
  <c r="AU56" i="43" s="1"/>
  <c r="Y56" i="43"/>
  <c r="AQ56" i="43" s="1"/>
  <c r="V56" i="43"/>
  <c r="AA56" i="43" s="1"/>
  <c r="AX55" i="43"/>
  <c r="AW55" i="43"/>
  <c r="AE55" i="43"/>
  <c r="AU55" i="43" s="1"/>
  <c r="Y55" i="43"/>
  <c r="AQ55" i="43" s="1"/>
  <c r="V55" i="43"/>
  <c r="AA55" i="43" s="1"/>
  <c r="AX54" i="43"/>
  <c r="AE54" i="43"/>
  <c r="AU54" i="43" s="1"/>
  <c r="Y54" i="43"/>
  <c r="V54" i="43"/>
  <c r="AA54" i="43" s="1"/>
  <c r="AK53" i="43"/>
  <c r="AJ53" i="43"/>
  <c r="AD53" i="43"/>
  <c r="U53" i="43"/>
  <c r="AX52" i="43"/>
  <c r="AE52" i="43"/>
  <c r="AU52" i="43" s="1"/>
  <c r="Y52" i="43"/>
  <c r="AQ52" i="43" s="1"/>
  <c r="V52" i="43"/>
  <c r="AA52" i="43" s="1"/>
  <c r="AE51" i="43"/>
  <c r="AU51" i="43" s="1"/>
  <c r="Y51" i="43"/>
  <c r="AQ51" i="43" s="1"/>
  <c r="V51" i="43"/>
  <c r="AA51" i="43" s="1"/>
  <c r="AK50" i="43"/>
  <c r="AJ50" i="43"/>
  <c r="AD50" i="43"/>
  <c r="U50" i="43"/>
  <c r="AX49" i="43"/>
  <c r="AE49" i="43"/>
  <c r="AU49" i="43" s="1"/>
  <c r="Y49" i="43"/>
  <c r="AQ49" i="43" s="1"/>
  <c r="V49" i="43"/>
  <c r="AA49" i="43" s="1"/>
  <c r="AE48" i="43"/>
  <c r="Y48" i="43"/>
  <c r="AK47" i="43"/>
  <c r="AJ47" i="43"/>
  <c r="AD47" i="43"/>
  <c r="U47" i="43"/>
  <c r="AX46" i="43"/>
  <c r="AW46" i="43"/>
  <c r="AE46" i="43"/>
  <c r="AU46" i="43" s="1"/>
  <c r="Y46" i="43"/>
  <c r="AQ46" i="43" s="1"/>
  <c r="V46" i="43"/>
  <c r="AA46" i="43" s="1"/>
  <c r="AE45" i="43"/>
  <c r="AU45" i="43" s="1"/>
  <c r="Y45" i="43"/>
  <c r="AK44" i="43"/>
  <c r="AJ44" i="43"/>
  <c r="AD44" i="43"/>
  <c r="U44" i="43"/>
  <c r="AX43" i="43"/>
  <c r="AW43" i="43"/>
  <c r="AE43" i="43"/>
  <c r="AU43" i="43" s="1"/>
  <c r="Y43" i="43"/>
  <c r="AQ43" i="43" s="1"/>
  <c r="V43" i="43"/>
  <c r="AA43" i="43" s="1"/>
  <c r="AX42" i="43"/>
  <c r="AW42" i="43"/>
  <c r="AE42" i="43"/>
  <c r="AU42" i="43" s="1"/>
  <c r="Y42" i="43"/>
  <c r="AQ42" i="43" s="1"/>
  <c r="V42" i="43"/>
  <c r="AA42" i="43" s="1"/>
  <c r="AE41" i="43"/>
  <c r="AU41" i="43" s="1"/>
  <c r="Y41" i="43"/>
  <c r="AK40" i="43"/>
  <c r="AJ40" i="43"/>
  <c r="AD40" i="43"/>
  <c r="U40" i="43"/>
  <c r="AX39" i="43"/>
  <c r="AE39" i="43"/>
  <c r="AU39" i="43" s="1"/>
  <c r="Y39" i="43"/>
  <c r="AQ39" i="43" s="1"/>
  <c r="V39" i="43"/>
  <c r="AA39" i="43" s="1"/>
  <c r="AE38" i="43"/>
  <c r="Y38" i="43"/>
  <c r="V38" i="43"/>
  <c r="AA38" i="43" s="1"/>
  <c r="AK37" i="43"/>
  <c r="AJ37" i="43"/>
  <c r="AD37" i="43"/>
  <c r="U37" i="43"/>
  <c r="AX36" i="43"/>
  <c r="AE36" i="43"/>
  <c r="AU36" i="43" s="1"/>
  <c r="Y36" i="43"/>
  <c r="AQ36" i="43" s="1"/>
  <c r="V36" i="43"/>
  <c r="AA36" i="43" s="1"/>
  <c r="AE35" i="43"/>
  <c r="Y35" i="43"/>
  <c r="AK34" i="43"/>
  <c r="AJ34" i="43"/>
  <c r="AD34" i="43"/>
  <c r="U34" i="43"/>
  <c r="AX33" i="43"/>
  <c r="AW33" i="43"/>
  <c r="AE33" i="43"/>
  <c r="AU33" i="43" s="1"/>
  <c r="Y33" i="43"/>
  <c r="AQ33" i="43" s="1"/>
  <c r="V33" i="43"/>
  <c r="AA33" i="43" s="1"/>
  <c r="AX32" i="43"/>
  <c r="AE32" i="43"/>
  <c r="AU32" i="43" s="1"/>
  <c r="Y32" i="43"/>
  <c r="AQ32" i="43" s="1"/>
  <c r="V32" i="43"/>
  <c r="AA32" i="43" s="1"/>
  <c r="AX31" i="43"/>
  <c r="AW31" i="43"/>
  <c r="AE31" i="43"/>
  <c r="AU31" i="43" s="1"/>
  <c r="Y31" i="43"/>
  <c r="AK30" i="43"/>
  <c r="AJ30" i="43"/>
  <c r="AD30" i="43"/>
  <c r="U30" i="43"/>
  <c r="AX29" i="43"/>
  <c r="AE29" i="43"/>
  <c r="AU29" i="43" s="1"/>
  <c r="Y29" i="43"/>
  <c r="AQ29" i="43" s="1"/>
  <c r="V29" i="43"/>
  <c r="AA29" i="43" s="1"/>
  <c r="AW28" i="43"/>
  <c r="AE28" i="43"/>
  <c r="AU28" i="43" s="1"/>
  <c r="Y28" i="43"/>
  <c r="V28" i="43"/>
  <c r="AA28" i="43" s="1"/>
  <c r="AA30" i="43" s="1"/>
  <c r="AK27" i="43"/>
  <c r="AJ27" i="43"/>
  <c r="AD27" i="43"/>
  <c r="U27" i="43"/>
  <c r="AX26" i="43"/>
  <c r="AE26" i="43"/>
  <c r="AU26" i="43" s="1"/>
  <c r="Y26" i="43"/>
  <c r="AQ26" i="43" s="1"/>
  <c r="V26" i="43"/>
  <c r="AA26" i="43" s="1"/>
  <c r="AX25" i="43"/>
  <c r="AE25" i="43"/>
  <c r="AU25" i="43" s="1"/>
  <c r="Y25" i="43"/>
  <c r="AQ25" i="43" s="1"/>
  <c r="V25" i="43"/>
  <c r="AA25" i="43" s="1"/>
  <c r="AX24" i="43"/>
  <c r="AE24" i="43"/>
  <c r="AU24" i="43" s="1"/>
  <c r="Y24" i="43"/>
  <c r="AQ24" i="43" s="1"/>
  <c r="V24" i="43"/>
  <c r="AA24" i="43" s="1"/>
  <c r="AX23" i="43"/>
  <c r="AE23" i="43"/>
  <c r="AU23" i="43" s="1"/>
  <c r="Y23" i="43"/>
  <c r="AQ23" i="43" s="1"/>
  <c r="V23" i="43"/>
  <c r="AA23" i="43" s="1"/>
  <c r="AK22" i="43"/>
  <c r="AJ22" i="43"/>
  <c r="AD22" i="43"/>
  <c r="U22" i="43"/>
  <c r="AX21" i="43"/>
  <c r="AE21" i="43"/>
  <c r="AU21" i="43" s="1"/>
  <c r="Y21" i="43"/>
  <c r="AQ21" i="43" s="1"/>
  <c r="V21" i="43"/>
  <c r="AA21" i="43" s="1"/>
  <c r="AX20" i="43"/>
  <c r="AE20" i="43"/>
  <c r="AU20" i="43" s="1"/>
  <c r="Y20" i="43"/>
  <c r="AQ20" i="43" s="1"/>
  <c r="V20" i="43"/>
  <c r="AA20" i="43" s="1"/>
  <c r="AE19" i="43"/>
  <c r="Y19" i="43"/>
  <c r="V19" i="43"/>
  <c r="AA19" i="43" s="1"/>
  <c r="AK18" i="43"/>
  <c r="AJ18" i="43"/>
  <c r="AD18" i="43"/>
  <c r="U18" i="43"/>
  <c r="AE17" i="43"/>
  <c r="Y17" i="43"/>
  <c r="AQ17" i="43" s="1"/>
  <c r="V17" i="43"/>
  <c r="AA17" i="43" s="1"/>
  <c r="AX16" i="43"/>
  <c r="AE16" i="43"/>
  <c r="AU16" i="43" s="1"/>
  <c r="Y16" i="43"/>
  <c r="AQ16" i="43" s="1"/>
  <c r="V16" i="43"/>
  <c r="AA16" i="43" s="1"/>
  <c r="AE14" i="43"/>
  <c r="Y14" i="43"/>
  <c r="AQ14" i="43" s="1"/>
  <c r="V14" i="43"/>
  <c r="AA14" i="43" s="1"/>
  <c r="AK13" i="43"/>
  <c r="AJ13" i="43"/>
  <c r="AD13" i="43"/>
  <c r="U13" i="43"/>
  <c r="AM13" i="43"/>
  <c r="AE12" i="43"/>
  <c r="Y12" i="43"/>
  <c r="V29" i="45" l="1"/>
  <c r="V30" i="45"/>
  <c r="M28" i="45"/>
  <c r="M29" i="45"/>
  <c r="M30" i="45"/>
  <c r="T31" i="45"/>
  <c r="T32" i="45"/>
  <c r="M33" i="45"/>
  <c r="M34" i="45"/>
  <c r="M35" i="45"/>
  <c r="M36" i="45"/>
  <c r="AC28" i="45"/>
  <c r="AC29" i="45"/>
  <c r="AC30" i="45"/>
  <c r="AC31" i="45"/>
  <c r="AG31" i="45"/>
  <c r="AP31" i="45"/>
  <c r="AA307" i="43"/>
  <c r="F27" i="45"/>
  <c r="Q28" i="45"/>
  <c r="AA28" i="45"/>
  <c r="Q29" i="45"/>
  <c r="AA29" i="45"/>
  <c r="Q30" i="45"/>
  <c r="AA30" i="45"/>
  <c r="AA31" i="45"/>
  <c r="AA32" i="45"/>
  <c r="Q33" i="45"/>
  <c r="AA33" i="45"/>
  <c r="Q34" i="45"/>
  <c r="AA34" i="45"/>
  <c r="Q35" i="45"/>
  <c r="AA35" i="45"/>
  <c r="Q36" i="45"/>
  <c r="AA36" i="45"/>
  <c r="AA105" i="43"/>
  <c r="Q31" i="45"/>
  <c r="Q32" i="45"/>
  <c r="Z28" i="45"/>
  <c r="Z29" i="45"/>
  <c r="Z30" i="45"/>
  <c r="Z31" i="45"/>
  <c r="Z32" i="45"/>
  <c r="Z33" i="45"/>
  <c r="Z34" i="45"/>
  <c r="Z35" i="45"/>
  <c r="Z36" i="45"/>
  <c r="B28" i="45"/>
  <c r="G28" i="45"/>
  <c r="K28" i="45"/>
  <c r="B29" i="45"/>
  <c r="G29" i="45"/>
  <c r="K29" i="45"/>
  <c r="B30" i="45"/>
  <c r="G30" i="45"/>
  <c r="K30" i="45"/>
  <c r="B31" i="45"/>
  <c r="G31" i="45"/>
  <c r="K31" i="45"/>
  <c r="B32" i="45"/>
  <c r="G32" i="45"/>
  <c r="K32" i="45"/>
  <c r="B33" i="45"/>
  <c r="G33" i="45"/>
  <c r="K33" i="45"/>
  <c r="B34" i="45"/>
  <c r="G34" i="45"/>
  <c r="K34" i="45"/>
  <c r="B35" i="45"/>
  <c r="G35" i="45"/>
  <c r="K35" i="45"/>
  <c r="B36" i="45"/>
  <c r="G36" i="45"/>
  <c r="K36" i="45"/>
  <c r="W28" i="45"/>
  <c r="W29" i="45"/>
  <c r="W31" i="45"/>
  <c r="AN31" i="45"/>
  <c r="W32" i="45"/>
  <c r="AN32" i="45"/>
  <c r="N30" i="45"/>
  <c r="J27" i="45"/>
  <c r="P27" i="45"/>
  <c r="Z27" i="45"/>
  <c r="AD27" i="45"/>
  <c r="D27" i="45"/>
  <c r="I27" i="45"/>
  <c r="N27" i="45"/>
  <c r="W27" i="45"/>
  <c r="AC27" i="45"/>
  <c r="AE31" i="45"/>
  <c r="AE32" i="45"/>
  <c r="AB31" i="45"/>
  <c r="AB28" i="45"/>
  <c r="AB29" i="45"/>
  <c r="AB30" i="45"/>
  <c r="V28" i="45"/>
  <c r="N28" i="45"/>
  <c r="N29" i="45"/>
  <c r="U31" i="45"/>
  <c r="M31" i="45"/>
  <c r="O31" i="45"/>
  <c r="S31" i="45"/>
  <c r="AI31" i="45"/>
  <c r="O32" i="45"/>
  <c r="S32" i="45"/>
  <c r="AI32" i="45"/>
  <c r="C28" i="45"/>
  <c r="H28" i="45"/>
  <c r="C29" i="45"/>
  <c r="H29" i="45"/>
  <c r="C30" i="45"/>
  <c r="H30" i="45"/>
  <c r="C31" i="45"/>
  <c r="H31" i="45"/>
  <c r="AJ31" i="45"/>
  <c r="AO31" i="45"/>
  <c r="C32" i="45"/>
  <c r="H32" i="45"/>
  <c r="AJ32" i="45"/>
  <c r="AO32" i="45"/>
  <c r="C33" i="45"/>
  <c r="H33" i="45"/>
  <c r="C34" i="45"/>
  <c r="H34" i="45"/>
  <c r="C35" i="45"/>
  <c r="H35" i="45"/>
  <c r="C36" i="45"/>
  <c r="H36" i="45"/>
  <c r="C14" i="45"/>
  <c r="C23" i="45" s="1"/>
  <c r="AB27" i="45"/>
  <c r="C27" i="45"/>
  <c r="H27" i="45"/>
  <c r="M27" i="45"/>
  <c r="V27" i="45"/>
  <c r="G27" i="45"/>
  <c r="K27" i="45"/>
  <c r="Q27" i="45"/>
  <c r="AA27" i="45"/>
  <c r="B27" i="45"/>
  <c r="AA278" i="43"/>
  <c r="AA326" i="43"/>
  <c r="AA57" i="43"/>
  <c r="AA195" i="43"/>
  <c r="AA214" i="43"/>
  <c r="AA343" i="43"/>
  <c r="AA392" i="43"/>
  <c r="AA443" i="43"/>
  <c r="AA311" i="43"/>
  <c r="AA355" i="43"/>
  <c r="AA27" i="43"/>
  <c r="AA257" i="43"/>
  <c r="AA182" i="43"/>
  <c r="AA381" i="43"/>
  <c r="AA201" i="43"/>
  <c r="AA83" i="43"/>
  <c r="AA109" i="43"/>
  <c r="AA238" i="43"/>
  <c r="AA18" i="43"/>
  <c r="AA40" i="43"/>
  <c r="AA53" i="43"/>
  <c r="AA61" i="43"/>
  <c r="AA169" i="43"/>
  <c r="AA189" i="43"/>
  <c r="AA208" i="43"/>
  <c r="AA251" i="43"/>
  <c r="AA22" i="43"/>
  <c r="AA98" i="43"/>
  <c r="AA134" i="43"/>
  <c r="AA157" i="43"/>
  <c r="AA271" i="43"/>
  <c r="AA399" i="43"/>
  <c r="AA318" i="43"/>
  <c r="AA319" i="43" s="1"/>
  <c r="Z318" i="43"/>
  <c r="Z319" i="43" s="1"/>
  <c r="AB17" i="43"/>
  <c r="AT17" i="43" s="1"/>
  <c r="AB25" i="43"/>
  <c r="AT25" i="43" s="1"/>
  <c r="AS25" i="43"/>
  <c r="AB186" i="43"/>
  <c r="AT186" i="43" s="1"/>
  <c r="AB190" i="43"/>
  <c r="AT190" i="43" s="1"/>
  <c r="AB192" i="43"/>
  <c r="AT192" i="43" s="1"/>
  <c r="AB211" i="43"/>
  <c r="AT211" i="43" s="1"/>
  <c r="AS211" i="43"/>
  <c r="AB228" i="43"/>
  <c r="AT228" i="43" s="1"/>
  <c r="AS228" i="43"/>
  <c r="AB236" i="43"/>
  <c r="AT236" i="43" s="1"/>
  <c r="AS236" i="43"/>
  <c r="AB240" i="43"/>
  <c r="AT240" i="43" s="1"/>
  <c r="AB259" i="43"/>
  <c r="AT259" i="43" s="1"/>
  <c r="AS259" i="43"/>
  <c r="AB321" i="43"/>
  <c r="AT321" i="43" s="1"/>
  <c r="AS371" i="43"/>
  <c r="AB14" i="43"/>
  <c r="AB29" i="43"/>
  <c r="AB59" i="43"/>
  <c r="AT59" i="43" s="1"/>
  <c r="AB99" i="43"/>
  <c r="AT99" i="43" s="1"/>
  <c r="AP113" i="43"/>
  <c r="AB153" i="43"/>
  <c r="AT153" i="43" s="1"/>
  <c r="AB165" i="43"/>
  <c r="AT165" i="43" s="1"/>
  <c r="AB167" i="43"/>
  <c r="AT167" i="43" s="1"/>
  <c r="AS167" i="43"/>
  <c r="AB187" i="43"/>
  <c r="AT187" i="43" s="1"/>
  <c r="AB193" i="43"/>
  <c r="AT193" i="43" s="1"/>
  <c r="AB213" i="43"/>
  <c r="AT213" i="43" s="1"/>
  <c r="AS223" i="43"/>
  <c r="AB296" i="43"/>
  <c r="AT296" i="43" s="1"/>
  <c r="AS296" i="43"/>
  <c r="AP297" i="43"/>
  <c r="AS297" i="43"/>
  <c r="AS299" i="43"/>
  <c r="AP325" i="43"/>
  <c r="AS325" i="43"/>
  <c r="AB388" i="43"/>
  <c r="AT388" i="43" s="1"/>
  <c r="AB420" i="43"/>
  <c r="AT420" i="43" s="1"/>
  <c r="AS420" i="43"/>
  <c r="AP446" i="43"/>
  <c r="AS446" i="43"/>
  <c r="AS447" i="43"/>
  <c r="AP448" i="43"/>
  <c r="AS448" i="43"/>
  <c r="AB33" i="43"/>
  <c r="AT33" i="43" s="1"/>
  <c r="AS33" i="43"/>
  <c r="AB43" i="43"/>
  <c r="AT43" i="43" s="1"/>
  <c r="AS43" i="43"/>
  <c r="AB52" i="43"/>
  <c r="AT52" i="43" s="1"/>
  <c r="AS52" i="43"/>
  <c r="AB71" i="43"/>
  <c r="AT71" i="43" s="1"/>
  <c r="AS107" i="43"/>
  <c r="AB131" i="43"/>
  <c r="AT131" i="43" s="1"/>
  <c r="AB155" i="43"/>
  <c r="AT155" i="43" s="1"/>
  <c r="AS155" i="43"/>
  <c r="AB168" i="43"/>
  <c r="AT168" i="43" s="1"/>
  <c r="AB188" i="43"/>
  <c r="AT188" i="43" s="1"/>
  <c r="AB194" i="43"/>
  <c r="AT194" i="43" s="1"/>
  <c r="AB302" i="43"/>
  <c r="AT302" i="43" s="1"/>
  <c r="AS302" i="43"/>
  <c r="AB304" i="43"/>
  <c r="AT304" i="43" s="1"/>
  <c r="AB310" i="43"/>
  <c r="AT310" i="43" s="1"/>
  <c r="AS310" i="43"/>
  <c r="AS394" i="43"/>
  <c r="AB405" i="43"/>
  <c r="AT405" i="43" s="1"/>
  <c r="AS405" i="43"/>
  <c r="AB411" i="43"/>
  <c r="AT411" i="43" s="1"/>
  <c r="AB437" i="43"/>
  <c r="AP444" i="43"/>
  <c r="AS444" i="43"/>
  <c r="AB16" i="43"/>
  <c r="AT16" i="43" s="1"/>
  <c r="AB23" i="43"/>
  <c r="AT23" i="43" s="1"/>
  <c r="AB24" i="43"/>
  <c r="AT24" i="43" s="1"/>
  <c r="AS24" i="43"/>
  <c r="AB26" i="43"/>
  <c r="AT26" i="43" s="1"/>
  <c r="AS26" i="43"/>
  <c r="AB81" i="43"/>
  <c r="AT81" i="43" s="1"/>
  <c r="AB89" i="43"/>
  <c r="AT89" i="43" s="1"/>
  <c r="AS89" i="43"/>
  <c r="AS142" i="43"/>
  <c r="AS145" i="43"/>
  <c r="AB149" i="43"/>
  <c r="AT149" i="43" s="1"/>
  <c r="AS149" i="43"/>
  <c r="AP150" i="43"/>
  <c r="AB183" i="43"/>
  <c r="AT183" i="43" s="1"/>
  <c r="AB185" i="43"/>
  <c r="AT185" i="43" s="1"/>
  <c r="AP230" i="43"/>
  <c r="AS230" i="43"/>
  <c r="AB260" i="43"/>
  <c r="AT260" i="43" s="1"/>
  <c r="AB323" i="43"/>
  <c r="AT323" i="43" s="1"/>
  <c r="AB352" i="43"/>
  <c r="AT352" i="43" s="1"/>
  <c r="AB372" i="43"/>
  <c r="AT372" i="43" s="1"/>
  <c r="AB28" i="43"/>
  <c r="AT28" i="43" s="1"/>
  <c r="AB58" i="43"/>
  <c r="AT58" i="43" s="1"/>
  <c r="AB67" i="43"/>
  <c r="AT67" i="43" s="1"/>
  <c r="AB95" i="43"/>
  <c r="AT95" i="43" s="1"/>
  <c r="AB100" i="43"/>
  <c r="AT100" i="43" s="1"/>
  <c r="AB129" i="43"/>
  <c r="AT129" i="43" s="1"/>
  <c r="AS129" i="43"/>
  <c r="AB164" i="43"/>
  <c r="AT164" i="43" s="1"/>
  <c r="AB166" i="43"/>
  <c r="AT166" i="43" s="1"/>
  <c r="AS166" i="43"/>
  <c r="AS222" i="43"/>
  <c r="AB242" i="43"/>
  <c r="AT242" i="43" s="1"/>
  <c r="AS242" i="43"/>
  <c r="AB282" i="43"/>
  <c r="AT282" i="43" s="1"/>
  <c r="AS295" i="43"/>
  <c r="AB351" i="43"/>
  <c r="AT351" i="43" s="1"/>
  <c r="AB32" i="43"/>
  <c r="AT32" i="43" s="1"/>
  <c r="AS32" i="43"/>
  <c r="AP39" i="43"/>
  <c r="AS39" i="43"/>
  <c r="AB46" i="43"/>
  <c r="AT46" i="43" s="1"/>
  <c r="AB60" i="43"/>
  <c r="AT60" i="43" s="1"/>
  <c r="AS60" i="43"/>
  <c r="AB102" i="43"/>
  <c r="AT102" i="43" s="1"/>
  <c r="AB116" i="43"/>
  <c r="AT116" i="43" s="1"/>
  <c r="AB206" i="43"/>
  <c r="AT206" i="43" s="1"/>
  <c r="AB301" i="43"/>
  <c r="AT301" i="43" s="1"/>
  <c r="AB303" i="43"/>
  <c r="AT303" i="43" s="1"/>
  <c r="AB305" i="43"/>
  <c r="AT305" i="43" s="1"/>
  <c r="AS305" i="43"/>
  <c r="AB309" i="43"/>
  <c r="AT309" i="43" s="1"/>
  <c r="AS309" i="43"/>
  <c r="AB339" i="43"/>
  <c r="AT339" i="43" s="1"/>
  <c r="AS339" i="43"/>
  <c r="AB410" i="43"/>
  <c r="AT410" i="43" s="1"/>
  <c r="AB38" i="43"/>
  <c r="AT38" i="43" s="1"/>
  <c r="AB51" i="43"/>
  <c r="AT51" i="43" s="1"/>
  <c r="AB54" i="43"/>
  <c r="AT54" i="43" s="1"/>
  <c r="AB75" i="43"/>
  <c r="AT75" i="43" s="1"/>
  <c r="AS75" i="43"/>
  <c r="AB76" i="43"/>
  <c r="AT76" i="43" s="1"/>
  <c r="AS76" i="43"/>
  <c r="AB82" i="43"/>
  <c r="AT82" i="43" s="1"/>
  <c r="AS82" i="43"/>
  <c r="AB86" i="43"/>
  <c r="AT86" i="43" s="1"/>
  <c r="AS86" i="43"/>
  <c r="AS108" i="43"/>
  <c r="AP133" i="43"/>
  <c r="AB176" i="43"/>
  <c r="AT176" i="43" s="1"/>
  <c r="AP177" i="43"/>
  <c r="AS177" i="43"/>
  <c r="AP179" i="43"/>
  <c r="AP181" i="43"/>
  <c r="AS181" i="43"/>
  <c r="AB191" i="43"/>
  <c r="AT191" i="43" s="1"/>
  <c r="AS191" i="43"/>
  <c r="AB209" i="43"/>
  <c r="AT209" i="43" s="1"/>
  <c r="AB210" i="43"/>
  <c r="AT210" i="43" s="1"/>
  <c r="AB308" i="43"/>
  <c r="AT308" i="43" s="1"/>
  <c r="V319" i="43"/>
  <c r="AB341" i="43"/>
  <c r="AT341" i="43" s="1"/>
  <c r="AS341" i="43"/>
  <c r="AB345" i="43"/>
  <c r="AT345" i="43" s="1"/>
  <c r="AB348" i="43"/>
  <c r="AT348" i="43" s="1"/>
  <c r="AS348" i="43"/>
  <c r="AB382" i="43"/>
  <c r="AT382" i="43" s="1"/>
  <c r="AS398" i="43"/>
  <c r="I131" i="44"/>
  <c r="AP113" i="44"/>
  <c r="AP114" i="44" s="1"/>
  <c r="U456" i="43"/>
  <c r="N13" i="45" s="1"/>
  <c r="AD456" i="43"/>
  <c r="W13" i="45" s="1"/>
  <c r="AJ456" i="43"/>
  <c r="AC13" i="45" s="1"/>
  <c r="T456" i="43"/>
  <c r="M13" i="45" s="1"/>
  <c r="X456" i="43"/>
  <c r="Q13" i="45" s="1"/>
  <c r="AH456" i="43"/>
  <c r="AA13" i="45" s="1"/>
  <c r="W456" i="43"/>
  <c r="P13" i="45" s="1"/>
  <c r="AG456" i="43"/>
  <c r="Z13" i="45" s="1"/>
  <c r="AK456" i="43"/>
  <c r="AD13" i="45" s="1"/>
  <c r="AC456" i="43"/>
  <c r="V13" i="45" s="1"/>
  <c r="AI456" i="43"/>
  <c r="AB13" i="45" s="1"/>
  <c r="P131" i="44"/>
  <c r="AE129" i="44"/>
  <c r="Y34" i="44"/>
  <c r="AE34" i="44"/>
  <c r="AM136" i="44"/>
  <c r="AN73" i="44"/>
  <c r="AV73" i="44" s="1"/>
  <c r="AN119" i="44"/>
  <c r="AV119" i="44" s="1"/>
  <c r="AA35" i="44"/>
  <c r="AS35" i="44" s="1"/>
  <c r="AN117" i="44"/>
  <c r="AV117" i="44" s="1"/>
  <c r="AN15" i="44"/>
  <c r="AV15" i="44" s="1"/>
  <c r="AN70" i="44"/>
  <c r="AV70" i="44" s="1"/>
  <c r="AN46" i="44"/>
  <c r="AV46" i="44" s="1"/>
  <c r="AA65" i="44"/>
  <c r="AS65" i="44" s="1"/>
  <c r="AL104" i="44"/>
  <c r="AA64" i="44"/>
  <c r="AS64" i="44" s="1"/>
  <c r="AN75" i="44"/>
  <c r="AV75" i="44" s="1"/>
  <c r="V114" i="44"/>
  <c r="AN106" i="43"/>
  <c r="AV106" i="43" s="1"/>
  <c r="AU112" i="43"/>
  <c r="AM30" i="43"/>
  <c r="AN29" i="43"/>
  <c r="AV29" i="43" s="1"/>
  <c r="AN107" i="43"/>
  <c r="AV107" i="43" s="1"/>
  <c r="Z386" i="43"/>
  <c r="AU77" i="43"/>
  <c r="AX106" i="43"/>
  <c r="AX109" i="43" s="1"/>
  <c r="AL44" i="43"/>
  <c r="AN55" i="43"/>
  <c r="AV55" i="43" s="1"/>
  <c r="AN391" i="43"/>
  <c r="AV391" i="43" s="1"/>
  <c r="AP82" i="43"/>
  <c r="AN111" i="43"/>
  <c r="AV111" i="43" s="1"/>
  <c r="AN359" i="43"/>
  <c r="AV359" i="43" s="1"/>
  <c r="AN58" i="43"/>
  <c r="AV58" i="43" s="1"/>
  <c r="AN72" i="43"/>
  <c r="AV72" i="43" s="1"/>
  <c r="AN256" i="43"/>
  <c r="AV256" i="43" s="1"/>
  <c r="AN405" i="43"/>
  <c r="AV405" i="43" s="1"/>
  <c r="AN216" i="43"/>
  <c r="AV216" i="43" s="1"/>
  <c r="AN46" i="43"/>
  <c r="AV46" i="43" s="1"/>
  <c r="AN110" i="43"/>
  <c r="Y329" i="43"/>
  <c r="AL22" i="43"/>
  <c r="AP26" i="43"/>
  <c r="AX28" i="43"/>
  <c r="AX30" i="43" s="1"/>
  <c r="Z38" i="43"/>
  <c r="AL90" i="43"/>
  <c r="AE94" i="43"/>
  <c r="AN113" i="43"/>
  <c r="AV113" i="43" s="1"/>
  <c r="AN135" i="43"/>
  <c r="AV135" i="43" s="1"/>
  <c r="AS179" i="43"/>
  <c r="AP206" i="43"/>
  <c r="AX318" i="43"/>
  <c r="AX319" i="43" s="1"/>
  <c r="AN16" i="43"/>
  <c r="AV16" i="43" s="1"/>
  <c r="AE37" i="43"/>
  <c r="AE40" i="43"/>
  <c r="AE68" i="43"/>
  <c r="V88" i="43"/>
  <c r="AA88" i="43" s="1"/>
  <c r="AA90" i="43" s="1"/>
  <c r="AX90" i="43"/>
  <c r="AN133" i="43"/>
  <c r="AV133" i="43" s="1"/>
  <c r="AN186" i="43"/>
  <c r="AV186" i="43" s="1"/>
  <c r="AN218" i="43"/>
  <c r="AV218" i="43" s="1"/>
  <c r="AN394" i="43"/>
  <c r="AV394" i="43" s="1"/>
  <c r="AN32" i="43"/>
  <c r="AV32" i="43" s="1"/>
  <c r="AL37" i="43"/>
  <c r="AM53" i="43"/>
  <c r="AS67" i="43"/>
  <c r="AP67" i="43"/>
  <c r="AM83" i="43"/>
  <c r="AW88" i="43"/>
  <c r="AW90" i="43" s="1"/>
  <c r="AL101" i="43"/>
  <c r="V115" i="43"/>
  <c r="Z176" i="43"/>
  <c r="AP176" i="43"/>
  <c r="AN187" i="43"/>
  <c r="AV187" i="43" s="1"/>
  <c r="AP228" i="43"/>
  <c r="AN323" i="43"/>
  <c r="AV323" i="43" s="1"/>
  <c r="AM337" i="43"/>
  <c r="AN364" i="43"/>
  <c r="AV364" i="43" s="1"/>
  <c r="AW29" i="43"/>
  <c r="AW30" i="43" s="1"/>
  <c r="AX51" i="43"/>
  <c r="AX53" i="43" s="1"/>
  <c r="AM68" i="43"/>
  <c r="V120" i="43"/>
  <c r="AP149" i="43"/>
  <c r="AW162" i="43"/>
  <c r="AP236" i="43"/>
  <c r="Z256" i="43"/>
  <c r="AI459" i="43"/>
  <c r="AL18" i="43"/>
  <c r="AN31" i="43"/>
  <c r="AV31" i="43" s="1"/>
  <c r="Y50" i="43"/>
  <c r="Z63" i="43"/>
  <c r="Z144" i="43"/>
  <c r="AL157" i="43"/>
  <c r="AN185" i="43"/>
  <c r="AV185" i="43" s="1"/>
  <c r="AN378" i="43"/>
  <c r="AV378" i="43" s="1"/>
  <c r="AP388" i="43"/>
  <c r="Z401" i="43"/>
  <c r="Z423" i="43"/>
  <c r="AC459" i="43"/>
  <c r="AX120" i="43"/>
  <c r="Q459" i="43"/>
  <c r="AU120" i="43"/>
  <c r="AU317" i="43"/>
  <c r="AU34" i="43"/>
  <c r="M459" i="43"/>
  <c r="AN16" i="44"/>
  <c r="AV16" i="44" s="1"/>
  <c r="AN45" i="44"/>
  <c r="AV45" i="44" s="1"/>
  <c r="AX55" i="44"/>
  <c r="Z75" i="44"/>
  <c r="AN98" i="44"/>
  <c r="AV98" i="44" s="1"/>
  <c r="AN99" i="44"/>
  <c r="AV99" i="44" s="1"/>
  <c r="AN115" i="44"/>
  <c r="AV115" i="44" s="1"/>
  <c r="AX14" i="44"/>
  <c r="AX136" i="44" s="1"/>
  <c r="AE27" i="44"/>
  <c r="AN71" i="44"/>
  <c r="AV71" i="44" s="1"/>
  <c r="AN102" i="44"/>
  <c r="AV102" i="44" s="1"/>
  <c r="AA63" i="44"/>
  <c r="AS63" i="44" s="1"/>
  <c r="AL76" i="44"/>
  <c r="AL136" i="44"/>
  <c r="AW16" i="44"/>
  <c r="AW18" i="44" s="1"/>
  <c r="AA40" i="44"/>
  <c r="AS40" i="44" s="1"/>
  <c r="AB75" i="44"/>
  <c r="AT75" i="44" s="1"/>
  <c r="Y94" i="44"/>
  <c r="AP91" i="44"/>
  <c r="AL100" i="44"/>
  <c r="AN97" i="44"/>
  <c r="AV97" i="44" s="1"/>
  <c r="AU104" i="44"/>
  <c r="AN122" i="44"/>
  <c r="AV122" i="44" s="1"/>
  <c r="Y143" i="44"/>
  <c r="Z91" i="44"/>
  <c r="AQ91" i="44"/>
  <c r="AQ94" i="44" s="1"/>
  <c r="Y112" i="44"/>
  <c r="AQ107" i="44"/>
  <c r="AQ112" i="44" s="1"/>
  <c r="Z128" i="44"/>
  <c r="Z36" i="44"/>
  <c r="Y55" i="44"/>
  <c r="AQ26" i="44"/>
  <c r="AQ64" i="44"/>
  <c r="AQ69" i="44" s="1"/>
  <c r="Z64" i="44"/>
  <c r="AQ113" i="44"/>
  <c r="AQ114" i="44" s="1"/>
  <c r="Z113" i="44"/>
  <c r="Z114" i="44" s="1"/>
  <c r="Y114" i="44"/>
  <c r="AW121" i="44"/>
  <c r="AN121" i="44"/>
  <c r="AV121" i="44" s="1"/>
  <c r="AM41" i="44"/>
  <c r="AB37" i="44"/>
  <c r="AT37" i="44" s="1"/>
  <c r="AA37" i="44"/>
  <c r="AS37" i="44" s="1"/>
  <c r="Z37" i="44"/>
  <c r="AE94" i="44"/>
  <c r="AU91" i="44"/>
  <c r="AU94" i="44" s="1"/>
  <c r="AB119" i="44"/>
  <c r="AT119" i="44" s="1"/>
  <c r="AA119" i="44"/>
  <c r="AS119" i="44" s="1"/>
  <c r="Y13" i="44"/>
  <c r="S136" i="44"/>
  <c r="AN17" i="44"/>
  <c r="AV17" i="44" s="1"/>
  <c r="AL18" i="44"/>
  <c r="AL27" i="44"/>
  <c r="AQ25" i="44"/>
  <c r="Y142" i="44"/>
  <c r="AN25" i="44"/>
  <c r="AV25" i="44" s="1"/>
  <c r="AP37" i="44"/>
  <c r="V42" i="44"/>
  <c r="AB42" i="44" s="1"/>
  <c r="AB48" i="44" s="1"/>
  <c r="AM48" i="44"/>
  <c r="AW49" i="44"/>
  <c r="AW55" i="44" s="1"/>
  <c r="AL55" i="44"/>
  <c r="AB68" i="44"/>
  <c r="AT68" i="44" s="1"/>
  <c r="AA68" i="44"/>
  <c r="AS68" i="44" s="1"/>
  <c r="Z68" i="44"/>
  <c r="Y69" i="44"/>
  <c r="AM69" i="44"/>
  <c r="AU70" i="44"/>
  <c r="AU76" i="44" s="1"/>
  <c r="AE76" i="44"/>
  <c r="AB87" i="44"/>
  <c r="AT87" i="44" s="1"/>
  <c r="AP87" i="44"/>
  <c r="Z87" i="44"/>
  <c r="Z116" i="44"/>
  <c r="AM129" i="44"/>
  <c r="AU69" i="44"/>
  <c r="AB67" i="44"/>
  <c r="AT67" i="44" s="1"/>
  <c r="AA67" i="44"/>
  <c r="AS67" i="44" s="1"/>
  <c r="AM100" i="44"/>
  <c r="AX95" i="44"/>
  <c r="AX100" i="44" s="1"/>
  <c r="V101" i="44"/>
  <c r="AA101" i="44" s="1"/>
  <c r="AA111" i="44"/>
  <c r="AS111" i="44" s="1"/>
  <c r="AP111" i="44"/>
  <c r="Z111" i="44"/>
  <c r="AB118" i="44"/>
  <c r="AT118" i="44" s="1"/>
  <c r="AP118" i="44"/>
  <c r="Z118" i="44"/>
  <c r="AB127" i="44"/>
  <c r="AT127" i="44" s="1"/>
  <c r="Z127" i="44"/>
  <c r="AN21" i="44"/>
  <c r="AV21" i="44" s="1"/>
  <c r="AW42" i="44"/>
  <c r="AL48" i="44"/>
  <c r="AN42" i="44"/>
  <c r="AV42" i="44" s="1"/>
  <c r="AW82" i="44"/>
  <c r="AN82" i="44"/>
  <c r="AV82" i="44" s="1"/>
  <c r="AN14" i="44"/>
  <c r="AV14" i="44" s="1"/>
  <c r="S143" i="44"/>
  <c r="V26" i="44"/>
  <c r="AP26" i="44" s="1"/>
  <c r="AU28" i="44"/>
  <c r="AU34" i="44" s="1"/>
  <c r="AX48" i="44"/>
  <c r="AN44" i="44"/>
  <c r="AV44" i="44" s="1"/>
  <c r="AW45" i="44"/>
  <c r="V49" i="44"/>
  <c r="V55" i="44" s="1"/>
  <c r="Y62" i="44"/>
  <c r="AQ56" i="44"/>
  <c r="AQ62" i="44" s="1"/>
  <c r="AW72" i="44"/>
  <c r="AN72" i="44"/>
  <c r="AV72" i="44" s="1"/>
  <c r="AB80" i="44"/>
  <c r="AT80" i="44" s="1"/>
  <c r="AA80" i="44"/>
  <c r="AS80" i="44" s="1"/>
  <c r="AX94" i="44"/>
  <c r="AA92" i="44"/>
  <c r="AS92" i="44" s="1"/>
  <c r="AP92" i="44"/>
  <c r="AB92" i="44"/>
  <c r="AT92" i="44" s="1"/>
  <c r="Z92" i="44"/>
  <c r="AX113" i="44"/>
  <c r="AX114" i="44" s="1"/>
  <c r="AN113" i="44"/>
  <c r="AV113" i="44" s="1"/>
  <c r="AV114" i="44" s="1"/>
  <c r="Z124" i="44"/>
  <c r="AP124" i="44"/>
  <c r="AN22" i="44"/>
  <c r="AV22" i="44" s="1"/>
  <c r="AE41" i="44"/>
  <c r="AX35" i="44"/>
  <c r="AX41" i="44" s="1"/>
  <c r="AA36" i="44"/>
  <c r="AS36" i="44" s="1"/>
  <c r="AA39" i="44"/>
  <c r="AS39" i="44" s="1"/>
  <c r="Z40" i="44"/>
  <c r="AW43" i="44"/>
  <c r="AN47" i="44"/>
  <c r="AV47" i="44" s="1"/>
  <c r="AE62" i="44"/>
  <c r="AU56" i="44"/>
  <c r="AU62" i="44" s="1"/>
  <c r="AP65" i="44"/>
  <c r="AW73" i="44"/>
  <c r="AN74" i="44"/>
  <c r="AV74" i="44" s="1"/>
  <c r="AN78" i="44"/>
  <c r="AV78" i="44" s="1"/>
  <c r="AE90" i="44"/>
  <c r="AU84" i="44"/>
  <c r="AU90" i="44" s="1"/>
  <c r="AN95" i="44"/>
  <c r="AV95" i="44" s="1"/>
  <c r="AN96" i="44"/>
  <c r="AV96" i="44" s="1"/>
  <c r="AW102" i="44"/>
  <c r="AW104" i="44" s="1"/>
  <c r="AQ105" i="44"/>
  <c r="AQ106" i="44" s="1"/>
  <c r="AE112" i="44"/>
  <c r="AU107" i="44"/>
  <c r="AU112" i="44" s="1"/>
  <c r="AN126" i="44"/>
  <c r="AV126" i="44" s="1"/>
  <c r="AC133" i="44"/>
  <c r="AQ29" i="44"/>
  <c r="AQ34" i="44" s="1"/>
  <c r="AQ49" i="44"/>
  <c r="AQ55" i="44" s="1"/>
  <c r="AM55" i="44"/>
  <c r="AE69" i="44"/>
  <c r="V76" i="44"/>
  <c r="Y83" i="44"/>
  <c r="AE83" i="44"/>
  <c r="AE100" i="44"/>
  <c r="AU124" i="44"/>
  <c r="AU129" i="44" s="1"/>
  <c r="AN23" i="44"/>
  <c r="AV23" i="44" s="1"/>
  <c r="Y41" i="44"/>
  <c r="Z65" i="44"/>
  <c r="AN105" i="44"/>
  <c r="AV105" i="44" s="1"/>
  <c r="AV106" i="44" s="1"/>
  <c r="AL106" i="44"/>
  <c r="AN120" i="44"/>
  <c r="AV120" i="44" s="1"/>
  <c r="AW122" i="44"/>
  <c r="AB69" i="43"/>
  <c r="AT69" i="43" s="1"/>
  <c r="Z69" i="43"/>
  <c r="AN71" i="43"/>
  <c r="AV71" i="43" s="1"/>
  <c r="AX71" i="43"/>
  <c r="AX73" i="43" s="1"/>
  <c r="AQ410" i="43"/>
  <c r="Z410" i="43"/>
  <c r="AL469" i="43"/>
  <c r="AN12" i="43"/>
  <c r="AV12" i="43" s="1"/>
  <c r="AL13" i="43"/>
  <c r="AL47" i="43"/>
  <c r="AN45" i="43"/>
  <c r="AW243" i="43"/>
  <c r="AN243" i="43"/>
  <c r="AV243" i="43" s="1"/>
  <c r="AW41" i="43"/>
  <c r="AW44" i="43" s="1"/>
  <c r="AN41" i="43"/>
  <c r="AV41" i="43" s="1"/>
  <c r="AX45" i="43"/>
  <c r="AX47" i="43" s="1"/>
  <c r="AM47" i="43"/>
  <c r="AW136" i="43"/>
  <c r="AN136" i="43"/>
  <c r="AV136" i="43" s="1"/>
  <c r="AW165" i="43"/>
  <c r="AL169" i="43"/>
  <c r="AW335" i="43"/>
  <c r="AN335" i="43"/>
  <c r="AV335" i="43" s="1"/>
  <c r="AP353" i="43"/>
  <c r="AS353" i="43"/>
  <c r="AX363" i="43"/>
  <c r="AX366" i="43" s="1"/>
  <c r="AN363" i="43"/>
  <c r="AV363" i="43" s="1"/>
  <c r="AB406" i="43"/>
  <c r="AT406" i="43" s="1"/>
  <c r="AP406" i="43"/>
  <c r="AS406" i="43"/>
  <c r="AW12" i="43"/>
  <c r="AW13" i="43" s="1"/>
  <c r="AN14" i="43"/>
  <c r="AV14" i="43" s="1"/>
  <c r="AW32" i="43"/>
  <c r="AW34" i="43" s="1"/>
  <c r="V35" i="43"/>
  <c r="AA35" i="43" s="1"/>
  <c r="AA37" i="43" s="1"/>
  <c r="AN60" i="43"/>
  <c r="AV60" i="43" s="1"/>
  <c r="AE65" i="43"/>
  <c r="V74" i="43"/>
  <c r="AA74" i="43" s="1"/>
  <c r="AA77" i="43" s="1"/>
  <c r="AX77" i="43"/>
  <c r="AU80" i="43"/>
  <c r="AX81" i="43"/>
  <c r="AX83" i="43" s="1"/>
  <c r="AW100" i="43"/>
  <c r="AW101" i="43" s="1"/>
  <c r="AN100" i="43"/>
  <c r="AV100" i="43" s="1"/>
  <c r="AB124" i="43"/>
  <c r="AT124" i="43" s="1"/>
  <c r="AP124" i="43"/>
  <c r="AS124" i="43"/>
  <c r="Z124" i="43"/>
  <c r="AE146" i="43"/>
  <c r="AE201" i="43"/>
  <c r="AU196" i="43"/>
  <c r="AU201" i="43" s="1"/>
  <c r="AW220" i="43"/>
  <c r="AN306" i="43"/>
  <c r="AV306" i="43" s="1"/>
  <c r="AX306" i="43"/>
  <c r="V320" i="43"/>
  <c r="AA320" i="43" s="1"/>
  <c r="AA322" i="43" s="1"/>
  <c r="Y355" i="43"/>
  <c r="AQ351" i="43"/>
  <c r="AQ355" i="43" s="1"/>
  <c r="AW361" i="43"/>
  <c r="AW362" i="43" s="1"/>
  <c r="AN361" i="43"/>
  <c r="AV361" i="43" s="1"/>
  <c r="AX375" i="43"/>
  <c r="AE408" i="43"/>
  <c r="AN85" i="43"/>
  <c r="AV85" i="43" s="1"/>
  <c r="AW85" i="43"/>
  <c r="AB96" i="43"/>
  <c r="AT96" i="43" s="1"/>
  <c r="AP96" i="43"/>
  <c r="AS96" i="43"/>
  <c r="AW139" i="43"/>
  <c r="AN139" i="43"/>
  <c r="AV139" i="43" s="1"/>
  <c r="AW69" i="43"/>
  <c r="AN69" i="43"/>
  <c r="AV69" i="43" s="1"/>
  <c r="AL77" i="43"/>
  <c r="AW74" i="43"/>
  <c r="AN240" i="43"/>
  <c r="AV240" i="43" s="1"/>
  <c r="AW75" i="43"/>
  <c r="AN75" i="43"/>
  <c r="AV75" i="43" s="1"/>
  <c r="AM140" i="43"/>
  <c r="AN155" i="43"/>
  <c r="AV155" i="43" s="1"/>
  <c r="AB235" i="43"/>
  <c r="AT235" i="43" s="1"/>
  <c r="AP235" i="43"/>
  <c r="AS235" i="43"/>
  <c r="AN259" i="43"/>
  <c r="AV259" i="43" s="1"/>
  <c r="AW259" i="43"/>
  <c r="AX304" i="43"/>
  <c r="AN304" i="43"/>
  <c r="AV304" i="43" s="1"/>
  <c r="AE319" i="43"/>
  <c r="AU318" i="43"/>
  <c r="AU319" i="43" s="1"/>
  <c r="AW340" i="43"/>
  <c r="AN340" i="43"/>
  <c r="AV340" i="43" s="1"/>
  <c r="AX349" i="43"/>
  <c r="AN349" i="43"/>
  <c r="AV349" i="43" s="1"/>
  <c r="AE375" i="43"/>
  <c r="AU369" i="43"/>
  <c r="AU375" i="43" s="1"/>
  <c r="AX412" i="43"/>
  <c r="AN412" i="43"/>
  <c r="AV412" i="43" s="1"/>
  <c r="AN407" i="43"/>
  <c r="AV407" i="43" s="1"/>
  <c r="AW407" i="43"/>
  <c r="AB370" i="43"/>
  <c r="AT370" i="43" s="1"/>
  <c r="AP370" i="43"/>
  <c r="AM469" i="43"/>
  <c r="AQ18" i="43"/>
  <c r="AE50" i="43"/>
  <c r="AM57" i="43"/>
  <c r="AU66" i="43"/>
  <c r="AU68" i="43" s="1"/>
  <c r="AE80" i="43"/>
  <c r="AU90" i="43"/>
  <c r="AN121" i="43"/>
  <c r="AV121" i="43" s="1"/>
  <c r="AN209" i="43"/>
  <c r="AV209" i="43" s="1"/>
  <c r="V215" i="43"/>
  <c r="AP233" i="43"/>
  <c r="AS233" i="43"/>
  <c r="AM238" i="43"/>
  <c r="AM257" i="43"/>
  <c r="AX254" i="43"/>
  <c r="AX257" i="43" s="1"/>
  <c r="AB318" i="43"/>
  <c r="AB319" i="43" s="1"/>
  <c r="AP318" i="43"/>
  <c r="AP319" i="43" s="1"/>
  <c r="AM322" i="43"/>
  <c r="AX330" i="43"/>
  <c r="Z372" i="43"/>
  <c r="AP372" i="43"/>
  <c r="AW379" i="43"/>
  <c r="AN379" i="43"/>
  <c r="AV379" i="43" s="1"/>
  <c r="AB404" i="43"/>
  <c r="AT404" i="43" s="1"/>
  <c r="AP404" i="43"/>
  <c r="AS404" i="43"/>
  <c r="AQ452" i="43"/>
  <c r="AN17" i="43"/>
  <c r="AV17" i="43" s="1"/>
  <c r="Z20" i="43"/>
  <c r="AU44" i="43"/>
  <c r="AL50" i="43"/>
  <c r="Y61" i="43"/>
  <c r="AN70" i="43"/>
  <c r="AV70" i="43" s="1"/>
  <c r="AL80" i="43"/>
  <c r="AL112" i="43"/>
  <c r="AX115" i="43"/>
  <c r="AL175" i="43"/>
  <c r="AX182" i="43"/>
  <c r="AM189" i="43"/>
  <c r="AN184" i="43"/>
  <c r="AV184" i="43" s="1"/>
  <c r="AU195" i="43"/>
  <c r="AN192" i="43"/>
  <c r="AV192" i="43" s="1"/>
  <c r="AM214" i="43"/>
  <c r="Z225" i="43"/>
  <c r="AN239" i="43"/>
  <c r="AW242" i="43"/>
  <c r="AN242" i="43"/>
  <c r="AV242" i="43" s="1"/>
  <c r="AQ271" i="43"/>
  <c r="AN272" i="43"/>
  <c r="AV272" i="43" s="1"/>
  <c r="AX321" i="43"/>
  <c r="AX322" i="43" s="1"/>
  <c r="AN324" i="43"/>
  <c r="AV324" i="43" s="1"/>
  <c r="AN325" i="43"/>
  <c r="AV325" i="43" s="1"/>
  <c r="AN348" i="43"/>
  <c r="AV348" i="43" s="1"/>
  <c r="AL355" i="43"/>
  <c r="AL366" i="43"/>
  <c r="AP405" i="43"/>
  <c r="AN420" i="43"/>
  <c r="AV420" i="43" s="1"/>
  <c r="AW447" i="43"/>
  <c r="AN447" i="43"/>
  <c r="AV447" i="43" s="1"/>
  <c r="AN448" i="43"/>
  <c r="AV448" i="43" s="1"/>
  <c r="AE452" i="43"/>
  <c r="AN156" i="43"/>
  <c r="AV156" i="43" s="1"/>
  <c r="AU163" i="43"/>
  <c r="Y201" i="43"/>
  <c r="Z242" i="43"/>
  <c r="AL251" i="43"/>
  <c r="AU261" i="43"/>
  <c r="AL267" i="43"/>
  <c r="AL343" i="43"/>
  <c r="AU350" i="43"/>
  <c r="AE355" i="43"/>
  <c r="AN358" i="43"/>
  <c r="AV358" i="43" s="1"/>
  <c r="AN388" i="43"/>
  <c r="AV388" i="43" s="1"/>
  <c r="AX399" i="43"/>
  <c r="Y83" i="43"/>
  <c r="Y53" i="43"/>
  <c r="Z186" i="43"/>
  <c r="Z359" i="43"/>
  <c r="Y452" i="43"/>
  <c r="Y94" i="43"/>
  <c r="Y175" i="43"/>
  <c r="AQ372" i="43"/>
  <c r="Y65" i="43"/>
  <c r="Z228" i="43"/>
  <c r="Z236" i="43"/>
  <c r="Z370" i="43"/>
  <c r="AQ402" i="43"/>
  <c r="Z25" i="43"/>
  <c r="AQ48" i="43"/>
  <c r="AQ50" i="43" s="1"/>
  <c r="Y140" i="43"/>
  <c r="Y146" i="43"/>
  <c r="Y226" i="43"/>
  <c r="Y291" i="43"/>
  <c r="Z378" i="43"/>
  <c r="Y402" i="43"/>
  <c r="Y22" i="43"/>
  <c r="Y37" i="43"/>
  <c r="Z49" i="43"/>
  <c r="Z64" i="43"/>
  <c r="Z79" i="43"/>
  <c r="Y90" i="43"/>
  <c r="Z92" i="43"/>
  <c r="Y127" i="43"/>
  <c r="Z206" i="43"/>
  <c r="Z276" i="43"/>
  <c r="Z304" i="43"/>
  <c r="Y317" i="43"/>
  <c r="AQ343" i="43"/>
  <c r="Y366" i="43"/>
  <c r="Z377" i="43"/>
  <c r="Z412" i="43"/>
  <c r="Z427" i="43"/>
  <c r="AB72" i="43"/>
  <c r="AT72" i="43" s="1"/>
  <c r="Z72" i="43"/>
  <c r="AX27" i="43"/>
  <c r="AB70" i="43"/>
  <c r="AT70" i="43" s="1"/>
  <c r="Z70" i="43"/>
  <c r="AB55" i="43"/>
  <c r="AT55" i="43" s="1"/>
  <c r="Z55" i="43"/>
  <c r="Z21" i="43"/>
  <c r="AS21" i="43"/>
  <c r="AQ80" i="43"/>
  <c r="AU175" i="43"/>
  <c r="AB85" i="43"/>
  <c r="AT85" i="43" s="1"/>
  <c r="Z85" i="43"/>
  <c r="AW16" i="43"/>
  <c r="AM18" i="43"/>
  <c r="AM34" i="43"/>
  <c r="AU48" i="43"/>
  <c r="AU50" i="43" s="1"/>
  <c r="AB56" i="43"/>
  <c r="AT56" i="43" s="1"/>
  <c r="Z56" i="43"/>
  <c r="V66" i="43"/>
  <c r="AA66" i="43" s="1"/>
  <c r="AA68" i="43" s="1"/>
  <c r="AQ106" i="43"/>
  <c r="AQ109" i="43" s="1"/>
  <c r="Y109" i="43"/>
  <c r="AB128" i="43"/>
  <c r="AT128" i="43" s="1"/>
  <c r="Z128" i="43"/>
  <c r="AN138" i="43"/>
  <c r="AV138" i="43" s="1"/>
  <c r="AW138" i="43"/>
  <c r="AE163" i="43"/>
  <c r="AQ202" i="43"/>
  <c r="AQ208" i="43" s="1"/>
  <c r="Y208" i="43"/>
  <c r="AB270" i="43"/>
  <c r="AT270" i="43" s="1"/>
  <c r="AP270" i="43"/>
  <c r="Z270" i="43"/>
  <c r="AN309" i="43"/>
  <c r="AV309" i="43" s="1"/>
  <c r="AW309" i="43"/>
  <c r="AL311" i="43"/>
  <c r="AB354" i="43"/>
  <c r="AT354" i="43" s="1"/>
  <c r="AP354" i="43"/>
  <c r="Z354" i="43"/>
  <c r="AQ388" i="43"/>
  <c r="Z388" i="43"/>
  <c r="AN33" i="43"/>
  <c r="AV33" i="43" s="1"/>
  <c r="Z43" i="43"/>
  <c r="V48" i="43"/>
  <c r="AA48" i="43" s="1"/>
  <c r="AA50" i="43" s="1"/>
  <c r="AL57" i="43"/>
  <c r="AW54" i="43"/>
  <c r="AW57" i="43" s="1"/>
  <c r="AQ66" i="43"/>
  <c r="AQ68" i="43" s="1"/>
  <c r="Y68" i="43"/>
  <c r="V83" i="43"/>
  <c r="AN84" i="43"/>
  <c r="Z86" i="43"/>
  <c r="AM87" i="43"/>
  <c r="AQ91" i="43"/>
  <c r="AQ94" i="43" s="1"/>
  <c r="AQ95" i="43"/>
  <c r="AQ98" i="43" s="1"/>
  <c r="Y98" i="43"/>
  <c r="Y105" i="43"/>
  <c r="AQ102" i="43"/>
  <c r="AQ105" i="43" s="1"/>
  <c r="AN129" i="43"/>
  <c r="AV129" i="43" s="1"/>
  <c r="AX153" i="43"/>
  <c r="AX157" i="43" s="1"/>
  <c r="AN153" i="43"/>
  <c r="AV153" i="43" s="1"/>
  <c r="AN166" i="43"/>
  <c r="AV166" i="43" s="1"/>
  <c r="AW166" i="43"/>
  <c r="AW213" i="43"/>
  <c r="AW214" i="43" s="1"/>
  <c r="AN213" i="43"/>
  <c r="AV213" i="43" s="1"/>
  <c r="AN217" i="43"/>
  <c r="AV217" i="43" s="1"/>
  <c r="AM220" i="43"/>
  <c r="AQ223" i="43"/>
  <c r="AQ226" i="43" s="1"/>
  <c r="V239" i="43"/>
  <c r="AA239" i="43" s="1"/>
  <c r="AA244" i="43" s="1"/>
  <c r="V252" i="43"/>
  <c r="AA252" i="43" s="1"/>
  <c r="AA253" i="43" s="1"/>
  <c r="AL261" i="43"/>
  <c r="AW258" i="43"/>
  <c r="AN276" i="43"/>
  <c r="AV276" i="43" s="1"/>
  <c r="AW276" i="43"/>
  <c r="AX302" i="43"/>
  <c r="AN302" i="43"/>
  <c r="AV302" i="43" s="1"/>
  <c r="AW331" i="43"/>
  <c r="AN331" i="43"/>
  <c r="AV331" i="43" s="1"/>
  <c r="AW365" i="43"/>
  <c r="AW366" i="43" s="1"/>
  <c r="AN365" i="43"/>
  <c r="AV365" i="43" s="1"/>
  <c r="V367" i="43"/>
  <c r="AA367" i="43" s="1"/>
  <c r="AA368" i="43" s="1"/>
  <c r="AB374" i="43"/>
  <c r="AT374" i="43" s="1"/>
  <c r="AP374" i="43"/>
  <c r="Z374" i="43"/>
  <c r="AB387" i="43"/>
  <c r="AT387" i="43" s="1"/>
  <c r="AP387" i="43"/>
  <c r="AS387" i="43"/>
  <c r="Z387" i="43"/>
  <c r="AW393" i="43"/>
  <c r="AN393" i="43"/>
  <c r="AV393" i="43" s="1"/>
  <c r="AE436" i="43"/>
  <c r="AU430" i="43"/>
  <c r="AU436" i="43" s="1"/>
  <c r="AX431" i="43"/>
  <c r="AM436" i="43"/>
  <c r="AX434" i="43"/>
  <c r="AN434" i="43"/>
  <c r="AV434" i="43" s="1"/>
  <c r="AU35" i="43"/>
  <c r="AU37" i="43" s="1"/>
  <c r="AB42" i="43"/>
  <c r="AT42" i="43" s="1"/>
  <c r="Z42" i="43"/>
  <c r="AM61" i="43"/>
  <c r="AL73" i="43"/>
  <c r="Y120" i="43"/>
  <c r="AQ116" i="43"/>
  <c r="AQ120" i="43" s="1"/>
  <c r="AM134" i="43"/>
  <c r="AX128" i="43"/>
  <c r="AB130" i="43"/>
  <c r="AT130" i="43" s="1"/>
  <c r="Z130" i="43"/>
  <c r="AX131" i="43"/>
  <c r="AN131" i="43"/>
  <c r="AV131" i="43" s="1"/>
  <c r="AU141" i="43"/>
  <c r="AU146" i="43" s="1"/>
  <c r="AM163" i="43"/>
  <c r="AQ171" i="43"/>
  <c r="AQ175" i="43" s="1"/>
  <c r="AU184" i="43"/>
  <c r="AU189" i="43" s="1"/>
  <c r="AE189" i="43"/>
  <c r="AW194" i="43"/>
  <c r="AN194" i="43"/>
  <c r="AV194" i="43" s="1"/>
  <c r="AP198" i="43"/>
  <c r="AB198" i="43"/>
  <c r="AT198" i="43" s="1"/>
  <c r="AQ227" i="43"/>
  <c r="AQ232" i="43" s="1"/>
  <c r="Y232" i="43"/>
  <c r="AB268" i="43"/>
  <c r="AT268" i="43" s="1"/>
  <c r="AP268" i="43"/>
  <c r="Z268" i="43"/>
  <c r="V284" i="43"/>
  <c r="AA284" i="43" s="1"/>
  <c r="AA291" i="43" s="1"/>
  <c r="AQ295" i="43"/>
  <c r="Y300" i="43"/>
  <c r="AW321" i="43"/>
  <c r="AW322" i="43" s="1"/>
  <c r="AN321" i="43"/>
  <c r="AV321" i="43" s="1"/>
  <c r="AQ328" i="43"/>
  <c r="AQ329" i="43" s="1"/>
  <c r="AM362" i="43"/>
  <c r="AX356" i="43"/>
  <c r="AX362" i="43" s="1"/>
  <c r="AN356" i="43"/>
  <c r="AV356" i="43" s="1"/>
  <c r="AB390" i="43"/>
  <c r="AT390" i="43" s="1"/>
  <c r="Z390" i="43"/>
  <c r="AP390" i="43"/>
  <c r="AS390" i="43"/>
  <c r="AB407" i="43"/>
  <c r="AT407" i="43" s="1"/>
  <c r="AP407" i="43"/>
  <c r="AS407" i="43"/>
  <c r="V409" i="43"/>
  <c r="AA409" i="43" s="1"/>
  <c r="AA415" i="43" s="1"/>
  <c r="AU413" i="43"/>
  <c r="AU415" i="43" s="1"/>
  <c r="AE415" i="43"/>
  <c r="AW431" i="43"/>
  <c r="AN431" i="43"/>
  <c r="AV431" i="43" s="1"/>
  <c r="AW17" i="43"/>
  <c r="AB39" i="43"/>
  <c r="AT39" i="43" s="1"/>
  <c r="AN43" i="43"/>
  <c r="AV43" i="43" s="1"/>
  <c r="AX61" i="43"/>
  <c r="AM73" i="43"/>
  <c r="AM77" i="43"/>
  <c r="AQ135" i="43"/>
  <c r="AQ140" i="43" s="1"/>
  <c r="AL163" i="43"/>
  <c r="AW158" i="43"/>
  <c r="AN168" i="43"/>
  <c r="AV168" i="43" s="1"/>
  <c r="AX183" i="43"/>
  <c r="AX189" i="43" s="1"/>
  <c r="AL189" i="43"/>
  <c r="AE226" i="43"/>
  <c r="AU221" i="43"/>
  <c r="AU226" i="43" s="1"/>
  <c r="AQ235" i="43"/>
  <c r="AQ238" i="43" s="1"/>
  <c r="Z235" i="43"/>
  <c r="Z241" i="43"/>
  <c r="AB241" i="43"/>
  <c r="AT241" i="43" s="1"/>
  <c r="AM253" i="43"/>
  <c r="AX252" i="43"/>
  <c r="AX253" i="43" s="1"/>
  <c r="AN274" i="43"/>
  <c r="AV274" i="43" s="1"/>
  <c r="AW274" i="43"/>
  <c r="AX282" i="43"/>
  <c r="AN282" i="43"/>
  <c r="AV282" i="43" s="1"/>
  <c r="AX12" i="43"/>
  <c r="AX13" i="43" s="1"/>
  <c r="AE18" i="43"/>
  <c r="AE22" i="43"/>
  <c r="AU19" i="43"/>
  <c r="AU22" i="43" s="1"/>
  <c r="AS20" i="43"/>
  <c r="Z24" i="43"/>
  <c r="Y27" i="43"/>
  <c r="AM27" i="43"/>
  <c r="Z28" i="43"/>
  <c r="AN28" i="43"/>
  <c r="AL30" i="43"/>
  <c r="V31" i="43"/>
  <c r="AA31" i="43" s="1"/>
  <c r="AA34" i="43" s="1"/>
  <c r="Z36" i="43"/>
  <c r="AQ38" i="43"/>
  <c r="AQ40" i="43" s="1"/>
  <c r="Y40" i="43"/>
  <c r="AM40" i="43"/>
  <c r="AX38" i="43"/>
  <c r="AX40" i="43" s="1"/>
  <c r="V41" i="43"/>
  <c r="AA41" i="43" s="1"/>
  <c r="AA44" i="43" s="1"/>
  <c r="AU47" i="43"/>
  <c r="AW45" i="43"/>
  <c r="AW47" i="43" s="1"/>
  <c r="Z52" i="43"/>
  <c r="AX56" i="43"/>
  <c r="AX57" i="43" s="1"/>
  <c r="V62" i="43"/>
  <c r="AA62" i="43" s="1"/>
  <c r="AA65" i="43" s="1"/>
  <c r="AX66" i="43"/>
  <c r="AX68" i="43" s="1"/>
  <c r="AW70" i="43"/>
  <c r="Z71" i="43"/>
  <c r="V78" i="43"/>
  <c r="AA78" i="43" s="1"/>
  <c r="AA80" i="43" s="1"/>
  <c r="Y80" i="43"/>
  <c r="Z81" i="43"/>
  <c r="AU87" i="43"/>
  <c r="AN88" i="43"/>
  <c r="AV88" i="43" s="1"/>
  <c r="AN89" i="43"/>
  <c r="AV89" i="43" s="1"/>
  <c r="AM90" i="43"/>
  <c r="AU91" i="43"/>
  <c r="AU94" i="43" s="1"/>
  <c r="AS92" i="43"/>
  <c r="AB97" i="43"/>
  <c r="AT97" i="43" s="1"/>
  <c r="Z97" i="43"/>
  <c r="AN99" i="43"/>
  <c r="Z102" i="43"/>
  <c r="AP102" i="43"/>
  <c r="AL109" i="43"/>
  <c r="AE120" i="43"/>
  <c r="AN132" i="43"/>
  <c r="AV132" i="43" s="1"/>
  <c r="Z142" i="43"/>
  <c r="Z143" i="43"/>
  <c r="AS143" i="43"/>
  <c r="AS144" i="43"/>
  <c r="Z148" i="43"/>
  <c r="Z149" i="43"/>
  <c r="V158" i="43"/>
  <c r="AA158" i="43" s="1"/>
  <c r="AA163" i="43" s="1"/>
  <c r="AB180" i="43"/>
  <c r="AT180" i="43" s="1"/>
  <c r="AP180" i="43"/>
  <c r="Z180" i="43"/>
  <c r="AB184" i="43"/>
  <c r="AT184" i="43" s="1"/>
  <c r="Z184" i="43"/>
  <c r="AW185" i="43"/>
  <c r="Z188" i="43"/>
  <c r="AN188" i="43"/>
  <c r="AV188" i="43" s="1"/>
  <c r="AW190" i="43"/>
  <c r="AN190" i="43"/>
  <c r="AV190" i="43" s="1"/>
  <c r="AB205" i="43"/>
  <c r="AT205" i="43" s="1"/>
  <c r="Z205" i="43"/>
  <c r="AP205" i="43"/>
  <c r="AS205" i="43"/>
  <c r="Z210" i="43"/>
  <c r="AN210" i="43"/>
  <c r="AV210" i="43" s="1"/>
  <c r="AN211" i="43"/>
  <c r="AV211" i="43" s="1"/>
  <c r="AX220" i="43"/>
  <c r="V221" i="43"/>
  <c r="AA221" i="43" s="1"/>
  <c r="AA226" i="43" s="1"/>
  <c r="AQ252" i="43"/>
  <c r="AQ253" i="43" s="1"/>
  <c r="Y253" i="43"/>
  <c r="AN255" i="43"/>
  <c r="AV255" i="43" s="1"/>
  <c r="AW255" i="43"/>
  <c r="AW256" i="43"/>
  <c r="V258" i="43"/>
  <c r="AA258" i="43" s="1"/>
  <c r="AA261" i="43" s="1"/>
  <c r="AL283" i="43"/>
  <c r="AW279" i="43"/>
  <c r="AW283" i="43" s="1"/>
  <c r="Y293" i="43"/>
  <c r="AM300" i="43"/>
  <c r="AX294" i="43"/>
  <c r="AX300" i="43" s="1"/>
  <c r="AQ302" i="43"/>
  <c r="Z302" i="43"/>
  <c r="Z339" i="43"/>
  <c r="AN339" i="43"/>
  <c r="AV339" i="43" s="1"/>
  <c r="AU351" i="43"/>
  <c r="AU355" i="43" s="1"/>
  <c r="Z360" i="43"/>
  <c r="AN360" i="43"/>
  <c r="AV360" i="43" s="1"/>
  <c r="AQ363" i="43"/>
  <c r="AQ366" i="43" s="1"/>
  <c r="AN377" i="43"/>
  <c r="AV377" i="43" s="1"/>
  <c r="AW377" i="43"/>
  <c r="AW380" i="43"/>
  <c r="AN380" i="43"/>
  <c r="AV380" i="43" s="1"/>
  <c r="AB384" i="43"/>
  <c r="AT384" i="43" s="1"/>
  <c r="Z384" i="43"/>
  <c r="AB391" i="43"/>
  <c r="AT391" i="43" s="1"/>
  <c r="AP391" i="43"/>
  <c r="AS391" i="43"/>
  <c r="Z391" i="43"/>
  <c r="AM408" i="43"/>
  <c r="AX403" i="43"/>
  <c r="AX408" i="43" s="1"/>
  <c r="AL415" i="43"/>
  <c r="AB426" i="43"/>
  <c r="AT426" i="43" s="1"/>
  <c r="Z426" i="43"/>
  <c r="AS426" i="43"/>
  <c r="AL436" i="43"/>
  <c r="AN430" i="43"/>
  <c r="AV430" i="43" s="1"/>
  <c r="Z439" i="43"/>
  <c r="AB439" i="43"/>
  <c r="AT439" i="43" s="1"/>
  <c r="AL443" i="43"/>
  <c r="AU38" i="43"/>
  <c r="AU40" i="43" s="1"/>
  <c r="V45" i="43"/>
  <c r="AA45" i="43" s="1"/>
  <c r="AA47" i="43" s="1"/>
  <c r="AL61" i="43"/>
  <c r="AW58" i="43"/>
  <c r="AW61" i="43" s="1"/>
  <c r="Z93" i="43"/>
  <c r="AS93" i="43"/>
  <c r="AX95" i="43"/>
  <c r="AX98" i="43" s="1"/>
  <c r="AM98" i="43"/>
  <c r="AB154" i="43"/>
  <c r="AT154" i="43" s="1"/>
  <c r="Z154" i="43"/>
  <c r="AE261" i="43"/>
  <c r="AQ296" i="43"/>
  <c r="Z296" i="43"/>
  <c r="AQ371" i="43"/>
  <c r="Y375" i="43"/>
  <c r="AQ19" i="43"/>
  <c r="AQ22" i="43" s="1"/>
  <c r="Y47" i="43"/>
  <c r="AL65" i="43"/>
  <c r="Y77" i="43"/>
  <c r="AN76" i="43"/>
  <c r="AV76" i="43" s="1"/>
  <c r="AN86" i="43"/>
  <c r="AV86" i="43" s="1"/>
  <c r="AW108" i="43"/>
  <c r="AN108" i="43"/>
  <c r="AV108" i="43" s="1"/>
  <c r="AM157" i="43"/>
  <c r="AW14" i="43"/>
  <c r="Z19" i="43"/>
  <c r="AE27" i="43"/>
  <c r="AP24" i="43"/>
  <c r="Z29" i="43"/>
  <c r="AL34" i="43"/>
  <c r="AQ35" i="43"/>
  <c r="AQ37" i="43" s="1"/>
  <c r="Z39" i="43"/>
  <c r="AM44" i="43"/>
  <c r="AN42" i="43"/>
  <c r="AV42" i="43" s="1"/>
  <c r="AS49" i="43"/>
  <c r="AE53" i="43"/>
  <c r="AP52" i="43"/>
  <c r="Z54" i="43"/>
  <c r="AN54" i="43"/>
  <c r="AN56" i="43"/>
  <c r="AV56" i="43" s="1"/>
  <c r="AN59" i="43"/>
  <c r="AV59" i="43" s="1"/>
  <c r="AU62" i="43"/>
  <c r="AU65" i="43" s="1"/>
  <c r="AN74" i="43"/>
  <c r="AV74" i="43" s="1"/>
  <c r="AE83" i="43"/>
  <c r="AU81" i="43"/>
  <c r="AU83" i="43" s="1"/>
  <c r="V84" i="43"/>
  <c r="AA84" i="43" s="1"/>
  <c r="AA87" i="43" s="1"/>
  <c r="AL87" i="43"/>
  <c r="V91" i="43"/>
  <c r="AA91" i="43" s="1"/>
  <c r="AA94" i="43" s="1"/>
  <c r="AL94" i="43"/>
  <c r="AM101" i="43"/>
  <c r="AX99" i="43"/>
  <c r="AX101" i="43" s="1"/>
  <c r="AM112" i="43"/>
  <c r="AB114" i="43"/>
  <c r="AT114" i="43" s="1"/>
  <c r="AS114" i="43"/>
  <c r="AB117" i="43"/>
  <c r="AT117" i="43" s="1"/>
  <c r="AP117" i="43"/>
  <c r="Z117" i="43"/>
  <c r="AN130" i="43"/>
  <c r="AV130" i="43" s="1"/>
  <c r="AW130" i="43"/>
  <c r="AW134" i="43" s="1"/>
  <c r="AB132" i="43"/>
  <c r="AT132" i="43" s="1"/>
  <c r="Z132" i="43"/>
  <c r="V135" i="43"/>
  <c r="AA135" i="43" s="1"/>
  <c r="AA140" i="43" s="1"/>
  <c r="AN137" i="43"/>
  <c r="AV137" i="43" s="1"/>
  <c r="AL140" i="43"/>
  <c r="AQ146" i="43"/>
  <c r="Y152" i="43"/>
  <c r="AM152" i="43"/>
  <c r="AN154" i="43"/>
  <c r="AV154" i="43" s="1"/>
  <c r="AB156" i="43"/>
  <c r="AT156" i="43" s="1"/>
  <c r="Z156" i="43"/>
  <c r="AE175" i="43"/>
  <c r="AW183" i="43"/>
  <c r="AN183" i="43"/>
  <c r="AV183" i="43" s="1"/>
  <c r="AL195" i="43"/>
  <c r="AL201" i="43"/>
  <c r="AB202" i="43"/>
  <c r="AT202" i="43" s="1"/>
  <c r="AP202" i="43"/>
  <c r="Z202" i="43"/>
  <c r="AM208" i="43"/>
  <c r="AX202" i="43"/>
  <c r="AX208" i="43" s="1"/>
  <c r="AB212" i="43"/>
  <c r="AT212" i="43" s="1"/>
  <c r="Z212" i="43"/>
  <c r="AX212" i="43"/>
  <c r="AN212" i="43"/>
  <c r="AV212" i="43" s="1"/>
  <c r="AQ220" i="43"/>
  <c r="AS225" i="43"/>
  <c r="AM232" i="43"/>
  <c r="AX227" i="43"/>
  <c r="AX232" i="43" s="1"/>
  <c r="AB229" i="43"/>
  <c r="AT229" i="43" s="1"/>
  <c r="AP229" i="43"/>
  <c r="Z229" i="43"/>
  <c r="AB234" i="43"/>
  <c r="AT234" i="43" s="1"/>
  <c r="AP234" i="43"/>
  <c r="AS234" i="43"/>
  <c r="Z234" i="43"/>
  <c r="AP263" i="43"/>
  <c r="AB263" i="43"/>
  <c r="AT263" i="43" s="1"/>
  <c r="AP265" i="43"/>
  <c r="AB265" i="43"/>
  <c r="AT265" i="43" s="1"/>
  <c r="AN277" i="43"/>
  <c r="AV277" i="43" s="1"/>
  <c r="AW277" i="43"/>
  <c r="V279" i="43"/>
  <c r="AA279" i="43" s="1"/>
  <c r="AA283" i="43" s="1"/>
  <c r="AL291" i="43"/>
  <c r="AW284" i="43"/>
  <c r="AW291" i="43" s="1"/>
  <c r="AM307" i="43"/>
  <c r="AX301" i="43"/>
  <c r="AN303" i="43"/>
  <c r="AV303" i="43" s="1"/>
  <c r="AW303" i="43"/>
  <c r="AL337" i="43"/>
  <c r="AN330" i="43"/>
  <c r="AW332" i="43"/>
  <c r="AN332" i="43"/>
  <c r="AV332" i="43" s="1"/>
  <c r="AX334" i="43"/>
  <c r="AN334" i="43"/>
  <c r="AV334" i="43" s="1"/>
  <c r="Z338" i="43"/>
  <c r="AB338" i="43"/>
  <c r="AT338" i="43" s="1"/>
  <c r="AW396" i="43"/>
  <c r="AN396" i="43"/>
  <c r="AV396" i="43" s="1"/>
  <c r="AM402" i="43"/>
  <c r="AX400" i="43"/>
  <c r="AX402" i="43" s="1"/>
  <c r="AQ437" i="43"/>
  <c r="AQ443" i="43" s="1"/>
  <c r="Z437" i="43"/>
  <c r="AU105" i="43"/>
  <c r="AM109" i="43"/>
  <c r="V110" i="43"/>
  <c r="AA110" i="43" s="1"/>
  <c r="AA112" i="43" s="1"/>
  <c r="AW112" i="43"/>
  <c r="AM127" i="43"/>
  <c r="AX121" i="43"/>
  <c r="AX127" i="43" s="1"/>
  <c r="AL134" i="43"/>
  <c r="AN128" i="43"/>
  <c r="AV128" i="43" s="1"/>
  <c r="AM468" i="43"/>
  <c r="AX133" i="43"/>
  <c r="V141" i="43"/>
  <c r="AA141" i="43" s="1"/>
  <c r="AA146" i="43" s="1"/>
  <c r="Z145" i="43"/>
  <c r="AB148" i="43"/>
  <c r="AT148" i="43" s="1"/>
  <c r="AP148" i="43"/>
  <c r="AS148" i="43"/>
  <c r="AU169" i="43"/>
  <c r="AE169" i="43"/>
  <c r="AQ176" i="43"/>
  <c r="AQ182" i="43" s="1"/>
  <c r="Y182" i="43"/>
  <c r="AM182" i="43"/>
  <c r="AE208" i="43"/>
  <c r="AU202" i="43"/>
  <c r="AU208" i="43" s="1"/>
  <c r="AL214" i="43"/>
  <c r="AX209" i="43"/>
  <c r="Z222" i="43"/>
  <c r="AE232" i="43"/>
  <c r="AB237" i="43"/>
  <c r="AT237" i="43" s="1"/>
  <c r="Z237" i="43"/>
  <c r="AP237" i="43"/>
  <c r="AS237" i="43"/>
  <c r="AU251" i="43"/>
  <c r="AU252" i="43"/>
  <c r="AU253" i="43" s="1"/>
  <c r="AE271" i="43"/>
  <c r="AU268" i="43"/>
  <c r="AU271" i="43" s="1"/>
  <c r="Y271" i="43"/>
  <c r="AX272" i="43"/>
  <c r="AX278" i="43" s="1"/>
  <c r="AM278" i="43"/>
  <c r="AP273" i="43"/>
  <c r="Z273" i="43"/>
  <c r="AX284" i="43"/>
  <c r="AX291" i="43" s="1"/>
  <c r="AM291" i="43"/>
  <c r="AB306" i="43"/>
  <c r="AT306" i="43" s="1"/>
  <c r="Z306" i="43"/>
  <c r="AW308" i="43"/>
  <c r="AN308" i="43"/>
  <c r="AV308" i="43" s="1"/>
  <c r="AE317" i="43"/>
  <c r="AL322" i="43"/>
  <c r="AN320" i="43"/>
  <c r="AE329" i="43"/>
  <c r="AU327" i="43"/>
  <c r="AU329" i="43" s="1"/>
  <c r="AW336" i="43"/>
  <c r="AN336" i="43"/>
  <c r="AV336" i="43" s="1"/>
  <c r="AB342" i="43"/>
  <c r="AT342" i="43" s="1"/>
  <c r="Z342" i="43"/>
  <c r="AN342" i="43"/>
  <c r="AV342" i="43" s="1"/>
  <c r="AB347" i="43"/>
  <c r="AT347" i="43" s="1"/>
  <c r="AS347" i="43"/>
  <c r="Y422" i="43"/>
  <c r="AB179" i="43"/>
  <c r="AT179" i="43" s="1"/>
  <c r="Z179" i="43"/>
  <c r="AE195" i="43"/>
  <c r="AQ196" i="43"/>
  <c r="AQ201" i="43" s="1"/>
  <c r="AL220" i="43"/>
  <c r="AN215" i="43"/>
  <c r="AV215" i="43" s="1"/>
  <c r="AN219" i="43"/>
  <c r="AV219" i="43" s="1"/>
  <c r="Z223" i="43"/>
  <c r="Z224" i="43"/>
  <c r="AS224" i="43"/>
  <c r="AE238" i="43"/>
  <c r="AU233" i="43"/>
  <c r="AU238" i="43" s="1"/>
  <c r="AL244" i="43"/>
  <c r="Y267" i="43"/>
  <c r="AQ262" i="43"/>
  <c r="AQ267" i="43" s="1"/>
  <c r="AN275" i="43"/>
  <c r="AV275" i="43" s="1"/>
  <c r="AW275" i="43"/>
  <c r="AB299" i="43"/>
  <c r="AT299" i="43" s="1"/>
  <c r="Z299" i="43"/>
  <c r="AN305" i="43"/>
  <c r="AV305" i="43" s="1"/>
  <c r="AW305" i="43"/>
  <c r="AL317" i="43"/>
  <c r="AQ313" i="43"/>
  <c r="AQ317" i="43" s="1"/>
  <c r="AQ318" i="43"/>
  <c r="AQ319" i="43" s="1"/>
  <c r="Y319" i="43"/>
  <c r="V327" i="43"/>
  <c r="AA327" i="43" s="1"/>
  <c r="AA329" i="43" s="1"/>
  <c r="AW333" i="43"/>
  <c r="AN333" i="43"/>
  <c r="AV333" i="43" s="1"/>
  <c r="AE368" i="43"/>
  <c r="AU367" i="43"/>
  <c r="AU368" i="43" s="1"/>
  <c r="AM381" i="43"/>
  <c r="AQ386" i="43"/>
  <c r="Y392" i="43"/>
  <c r="AM392" i="43"/>
  <c r="AX386" i="43"/>
  <c r="AX392" i="43" s="1"/>
  <c r="AB389" i="43"/>
  <c r="AT389" i="43" s="1"/>
  <c r="AP389" i="43"/>
  <c r="AS389" i="43"/>
  <c r="Z389" i="43"/>
  <c r="AE402" i="43"/>
  <c r="AU400" i="43"/>
  <c r="AU402" i="43" s="1"/>
  <c r="AU405" i="43"/>
  <c r="AU408" i="43" s="1"/>
  <c r="AW410" i="43"/>
  <c r="AW415" i="43" s="1"/>
  <c r="AN410" i="43"/>
  <c r="AV410" i="43" s="1"/>
  <c r="AW433" i="43"/>
  <c r="AN433" i="43"/>
  <c r="AV433" i="43" s="1"/>
  <c r="AX435" i="43"/>
  <c r="AN435" i="43"/>
  <c r="AV435" i="43" s="1"/>
  <c r="AX444" i="43"/>
  <c r="AX449" i="43" s="1"/>
  <c r="AM449" i="43"/>
  <c r="AN444" i="43"/>
  <c r="AV444" i="43" s="1"/>
  <c r="J459" i="43"/>
  <c r="O459" i="43"/>
  <c r="T459" i="43"/>
  <c r="X459" i="43"/>
  <c r="AU30" i="43"/>
  <c r="Y34" i="43"/>
  <c r="AX34" i="43"/>
  <c r="V40" i="43"/>
  <c r="AX41" i="43"/>
  <c r="AX44" i="43" s="1"/>
  <c r="AU57" i="43"/>
  <c r="AU61" i="43"/>
  <c r="AQ62" i="43"/>
  <c r="AQ65" i="43" s="1"/>
  <c r="AW84" i="43"/>
  <c r="AE98" i="43"/>
  <c r="AE105" i="43"/>
  <c r="AQ115" i="43"/>
  <c r="AE127" i="43"/>
  <c r="S468" i="43"/>
  <c r="AX140" i="43"/>
  <c r="AE152" i="43"/>
  <c r="AE182" i="43"/>
  <c r="V208" i="43"/>
  <c r="Y220" i="43"/>
  <c r="AB233" i="43"/>
  <c r="Z233" i="43"/>
  <c r="AL257" i="43"/>
  <c r="AN254" i="43"/>
  <c r="AV254" i="43" s="1"/>
  <c r="S463" i="43"/>
  <c r="AN273" i="43"/>
  <c r="AV273" i="43" s="1"/>
  <c r="AE300" i="43"/>
  <c r="AU294" i="43"/>
  <c r="AU300" i="43" s="1"/>
  <c r="AB295" i="43"/>
  <c r="AT295" i="43" s="1"/>
  <c r="Z295" i="43"/>
  <c r="AL307" i="43"/>
  <c r="AN301" i="43"/>
  <c r="AV301" i="43" s="1"/>
  <c r="AE311" i="43"/>
  <c r="AN341" i="43"/>
  <c r="AV341" i="43" s="1"/>
  <c r="AW341" i="43"/>
  <c r="AW345" i="43"/>
  <c r="AN345" i="43"/>
  <c r="AV345" i="43" s="1"/>
  <c r="V363" i="43"/>
  <c r="AA363" i="43" s="1"/>
  <c r="AA366" i="43" s="1"/>
  <c r="Y368" i="43"/>
  <c r="AQ367" i="43"/>
  <c r="AQ368" i="43" s="1"/>
  <c r="AL381" i="43"/>
  <c r="AW376" i="43"/>
  <c r="AN376" i="43"/>
  <c r="AB386" i="43"/>
  <c r="AP386" i="43"/>
  <c r="AS386" i="43"/>
  <c r="AN389" i="43"/>
  <c r="AV389" i="43" s="1"/>
  <c r="AN414" i="43"/>
  <c r="AV414" i="43" s="1"/>
  <c r="AX414" i="43"/>
  <c r="AQ423" i="43"/>
  <c r="AQ429" i="43" s="1"/>
  <c r="Y429" i="43"/>
  <c r="AU429" i="43"/>
  <c r="AW432" i="43"/>
  <c r="AN432" i="43"/>
  <c r="AV432" i="43" s="1"/>
  <c r="AU450" i="43"/>
  <c r="AU452" i="43" s="1"/>
  <c r="AG459" i="43"/>
  <c r="AK459" i="43"/>
  <c r="AX233" i="43"/>
  <c r="AX238" i="43" s="1"/>
  <c r="AN241" i="43"/>
  <c r="AV241" i="43" s="1"/>
  <c r="AN258" i="43"/>
  <c r="AV258" i="43" s="1"/>
  <c r="AE267" i="43"/>
  <c r="AU262" i="43"/>
  <c r="AU267" i="43" s="1"/>
  <c r="AM271" i="43"/>
  <c r="AX268" i="43"/>
  <c r="AX271" i="43" s="1"/>
  <c r="AL278" i="43"/>
  <c r="AQ284" i="43"/>
  <c r="AQ291" i="43" s="1"/>
  <c r="AU292" i="43"/>
  <c r="AU293" i="43" s="1"/>
  <c r="AP296" i="43"/>
  <c r="AU311" i="43"/>
  <c r="AX329" i="43"/>
  <c r="AL362" i="43"/>
  <c r="AN357" i="43"/>
  <c r="AV357" i="43" s="1"/>
  <c r="V383" i="43"/>
  <c r="AA383" i="43" s="1"/>
  <c r="AA385" i="43" s="1"/>
  <c r="AE392" i="43"/>
  <c r="AW405" i="43"/>
  <c r="AN413" i="43"/>
  <c r="AV413" i="43" s="1"/>
  <c r="AE429" i="43"/>
  <c r="AN438" i="43"/>
  <c r="AV438" i="43" s="1"/>
  <c r="AX438" i="43"/>
  <c r="AN442" i="43"/>
  <c r="AV442" i="43" s="1"/>
  <c r="AX452" i="43"/>
  <c r="AM366" i="43"/>
  <c r="AM375" i="43"/>
  <c r="AU381" i="43"/>
  <c r="AE381" i="43"/>
  <c r="AN387" i="43"/>
  <c r="AV387" i="43" s="1"/>
  <c r="AN390" i="43"/>
  <c r="AV390" i="43" s="1"/>
  <c r="Z411" i="43"/>
  <c r="AN411" i="43"/>
  <c r="AV411" i="43" s="1"/>
  <c r="AN440" i="43"/>
  <c r="AV440" i="43" s="1"/>
  <c r="AD459" i="43"/>
  <c r="AJ459" i="43"/>
  <c r="P133" i="44"/>
  <c r="T133" i="44"/>
  <c r="AD133" i="44"/>
  <c r="AH133" i="44"/>
  <c r="M133" i="44"/>
  <c r="X133" i="44"/>
  <c r="AI133" i="44"/>
  <c r="AH459" i="43"/>
  <c r="K459" i="43"/>
  <c r="P459" i="43"/>
  <c r="AB12" i="44"/>
  <c r="V13" i="44"/>
  <c r="AP12" i="44"/>
  <c r="AA12" i="44"/>
  <c r="V140" i="44"/>
  <c r="Y18" i="44"/>
  <c r="AQ14" i="44"/>
  <c r="Y136" i="44"/>
  <c r="AB15" i="44"/>
  <c r="AT15" i="44" s="1"/>
  <c r="AP15" i="44"/>
  <c r="AA15" i="44"/>
  <c r="AS15" i="44" s="1"/>
  <c r="Z15" i="44"/>
  <c r="AX24" i="44"/>
  <c r="AN24" i="44"/>
  <c r="AV24" i="44" s="1"/>
  <c r="AL137" i="44"/>
  <c r="AW29" i="44"/>
  <c r="AN29" i="44"/>
  <c r="AQ43" i="44"/>
  <c r="Z43" i="44"/>
  <c r="AU49" i="44"/>
  <c r="AU55" i="44" s="1"/>
  <c r="AE55" i="44"/>
  <c r="AW56" i="44"/>
  <c r="AN56" i="44"/>
  <c r="AL62" i="44"/>
  <c r="AE136" i="44"/>
  <c r="AE18" i="44"/>
  <c r="AU14" i="44"/>
  <c r="Y140" i="44"/>
  <c r="AW28" i="44"/>
  <c r="AN28" i="44"/>
  <c r="AL34" i="44"/>
  <c r="AW32" i="44"/>
  <c r="AN32" i="44"/>
  <c r="AV32" i="44" s="1"/>
  <c r="Z33" i="44"/>
  <c r="AA33" i="44"/>
  <c r="AS33" i="44" s="1"/>
  <c r="AP33" i="44"/>
  <c r="AB33" i="44"/>
  <c r="AT33" i="44" s="1"/>
  <c r="AW36" i="44"/>
  <c r="AN36" i="44"/>
  <c r="AV36" i="44" s="1"/>
  <c r="Z56" i="44"/>
  <c r="AA56" i="44"/>
  <c r="V62" i="44"/>
  <c r="AP56" i="44"/>
  <c r="AB56" i="44"/>
  <c r="AW59" i="44"/>
  <c r="AN59" i="44"/>
  <c r="AV59" i="44" s="1"/>
  <c r="Z60" i="44"/>
  <c r="AA60" i="44"/>
  <c r="AS60" i="44" s="1"/>
  <c r="AP60" i="44"/>
  <c r="AB60" i="44"/>
  <c r="AT60" i="44" s="1"/>
  <c r="AB66" i="44"/>
  <c r="AA66" i="44"/>
  <c r="AS66" i="44" s="1"/>
  <c r="Z66" i="44"/>
  <c r="AP66" i="44"/>
  <c r="AN79" i="44"/>
  <c r="AV79" i="44" s="1"/>
  <c r="AW79" i="44"/>
  <c r="AS95" i="44"/>
  <c r="AN101" i="44"/>
  <c r="AM104" i="44"/>
  <c r="AX101" i="44"/>
  <c r="AX104" i="44" s="1"/>
  <c r="V123" i="44"/>
  <c r="AP115" i="44"/>
  <c r="AA115" i="44"/>
  <c r="AB115" i="44"/>
  <c r="Z115" i="44"/>
  <c r="Y134" i="44"/>
  <c r="Y27" i="44"/>
  <c r="AM135" i="44"/>
  <c r="AX20" i="44"/>
  <c r="AN20" i="44"/>
  <c r="Z22" i="44"/>
  <c r="AB22" i="44"/>
  <c r="AT22" i="44" s="1"/>
  <c r="AA22" i="44"/>
  <c r="AS22" i="44" s="1"/>
  <c r="AU42" i="44"/>
  <c r="AU48" i="44" s="1"/>
  <c r="AE48" i="44"/>
  <c r="AQ47" i="44"/>
  <c r="Z47" i="44"/>
  <c r="AW60" i="44"/>
  <c r="AN60" i="44"/>
  <c r="AV60" i="44" s="1"/>
  <c r="AW64" i="44"/>
  <c r="AN64" i="44"/>
  <c r="AV64" i="44" s="1"/>
  <c r="Z12" i="44"/>
  <c r="AW136" i="44"/>
  <c r="Y141" i="44"/>
  <c r="AQ16" i="44"/>
  <c r="AP17" i="44"/>
  <c r="AA17" i="44"/>
  <c r="AS17" i="44" s="1"/>
  <c r="AB17" i="44"/>
  <c r="AT17" i="44" s="1"/>
  <c r="Z17" i="44"/>
  <c r="AL134" i="44"/>
  <c r="AN19" i="44"/>
  <c r="AW19" i="44"/>
  <c r="AW23" i="44"/>
  <c r="AU142" i="44"/>
  <c r="AE143" i="44"/>
  <c r="AU26" i="44"/>
  <c r="Z28" i="44"/>
  <c r="AA28" i="44"/>
  <c r="AP28" i="44"/>
  <c r="AB28" i="44"/>
  <c r="AW31" i="44"/>
  <c r="AN31" i="44"/>
  <c r="AV31" i="44" s="1"/>
  <c r="Z32" i="44"/>
  <c r="AP32" i="44"/>
  <c r="AB32" i="44"/>
  <c r="AT32" i="44" s="1"/>
  <c r="AA32" i="44"/>
  <c r="AS32" i="44" s="1"/>
  <c r="AU41" i="44"/>
  <c r="AB38" i="44"/>
  <c r="AA38" i="44"/>
  <c r="AS38" i="44" s="1"/>
  <c r="Z38" i="44"/>
  <c r="AP38" i="44"/>
  <c r="AW58" i="44"/>
  <c r="AN58" i="44"/>
  <c r="AV58" i="44" s="1"/>
  <c r="Z59" i="44"/>
  <c r="AP59" i="44"/>
  <c r="AB59" i="44"/>
  <c r="AT59" i="44" s="1"/>
  <c r="AA59" i="44"/>
  <c r="AS59" i="44" s="1"/>
  <c r="AX69" i="44"/>
  <c r="AW68" i="44"/>
  <c r="AN68" i="44"/>
  <c r="AV68" i="44" s="1"/>
  <c r="Z78" i="44"/>
  <c r="AA78" i="44"/>
  <c r="AS78" i="44" s="1"/>
  <c r="AP78" i="44"/>
  <c r="Z82" i="44"/>
  <c r="AA82" i="44"/>
  <c r="AS82" i="44" s="1"/>
  <c r="AB82" i="44"/>
  <c r="AT82" i="44" s="1"/>
  <c r="AP82" i="44"/>
  <c r="AP85" i="44"/>
  <c r="Z85" i="44"/>
  <c r="AA85" i="44"/>
  <c r="AS85" i="44" s="1"/>
  <c r="AB86" i="44"/>
  <c r="AT86" i="44" s="1"/>
  <c r="AA86" i="44"/>
  <c r="AS86" i="44" s="1"/>
  <c r="Z86" i="44"/>
  <c r="AP93" i="44"/>
  <c r="Z93" i="44"/>
  <c r="AA93" i="44"/>
  <c r="AS93" i="44" s="1"/>
  <c r="V94" i="44"/>
  <c r="AB93" i="44"/>
  <c r="AT93" i="44" s="1"/>
  <c r="AW108" i="44"/>
  <c r="AN108" i="44"/>
  <c r="AV108" i="44" s="1"/>
  <c r="AW109" i="44"/>
  <c r="AN109" i="44"/>
  <c r="AV109" i="44" s="1"/>
  <c r="AE114" i="44"/>
  <c r="Z30" i="44"/>
  <c r="AA30" i="44"/>
  <c r="AS30" i="44" s="1"/>
  <c r="AP30" i="44"/>
  <c r="AB30" i="44"/>
  <c r="AT30" i="44" s="1"/>
  <c r="AW33" i="44"/>
  <c r="AN33" i="44"/>
  <c r="AV33" i="44" s="1"/>
  <c r="AQ45" i="44"/>
  <c r="Z45" i="44"/>
  <c r="Z57" i="44"/>
  <c r="AP57" i="44"/>
  <c r="AB57" i="44"/>
  <c r="AT57" i="44" s="1"/>
  <c r="AA57" i="44"/>
  <c r="AS57" i="44" s="1"/>
  <c r="Z61" i="44"/>
  <c r="AP61" i="44"/>
  <c r="AB61" i="44"/>
  <c r="AT61" i="44" s="1"/>
  <c r="AA61" i="44"/>
  <c r="AS61" i="44" s="1"/>
  <c r="AW91" i="44"/>
  <c r="AN91" i="44"/>
  <c r="AL94" i="44"/>
  <c r="AX140" i="44"/>
  <c r="AX13" i="44"/>
  <c r="AE141" i="44"/>
  <c r="AU16" i="44"/>
  <c r="AU141" i="44" s="1"/>
  <c r="Z21" i="44"/>
  <c r="AA21" i="44"/>
  <c r="AS21" i="44" s="1"/>
  <c r="AP21" i="44"/>
  <c r="Z23" i="44"/>
  <c r="AP23" i="44"/>
  <c r="AB23" i="44"/>
  <c r="AT23" i="44" s="1"/>
  <c r="AA23" i="44"/>
  <c r="AS23" i="44" s="1"/>
  <c r="Z24" i="44"/>
  <c r="AP24" i="44"/>
  <c r="AB24" i="44"/>
  <c r="AT24" i="44" s="1"/>
  <c r="S142" i="44"/>
  <c r="V25" i="44"/>
  <c r="AW30" i="44"/>
  <c r="AN30" i="44"/>
  <c r="AV30" i="44" s="1"/>
  <c r="Z31" i="44"/>
  <c r="AP31" i="44"/>
  <c r="AB31" i="44"/>
  <c r="AT31" i="44" s="1"/>
  <c r="AA31" i="44"/>
  <c r="AS31" i="44" s="1"/>
  <c r="AW40" i="44"/>
  <c r="AN40" i="44"/>
  <c r="AV40" i="44" s="1"/>
  <c r="AW57" i="44"/>
  <c r="AN57" i="44"/>
  <c r="AV57" i="44" s="1"/>
  <c r="Z58" i="44"/>
  <c r="AA58" i="44"/>
  <c r="AS58" i="44" s="1"/>
  <c r="AP58" i="44"/>
  <c r="AB58" i="44"/>
  <c r="AT58" i="44" s="1"/>
  <c r="AW61" i="44"/>
  <c r="AN61" i="44"/>
  <c r="AV61" i="44" s="1"/>
  <c r="AQ71" i="44"/>
  <c r="Z71" i="44"/>
  <c r="AQ73" i="44"/>
  <c r="Z73" i="44"/>
  <c r="Z81" i="44"/>
  <c r="AP81" i="44"/>
  <c r="AB81" i="44"/>
  <c r="AT81" i="44" s="1"/>
  <c r="AA81" i="44"/>
  <c r="AS81" i="44" s="1"/>
  <c r="AT84" i="44"/>
  <c r="AM90" i="44"/>
  <c r="AB98" i="44"/>
  <c r="AT98" i="44" s="1"/>
  <c r="AP98" i="44"/>
  <c r="Z98" i="44"/>
  <c r="AA98" i="44"/>
  <c r="AS98" i="44" s="1"/>
  <c r="AC130" i="44"/>
  <c r="V14" i="45" s="1"/>
  <c r="AT107" i="44"/>
  <c r="Z109" i="44"/>
  <c r="AP109" i="44"/>
  <c r="AB109" i="44"/>
  <c r="AT109" i="44" s="1"/>
  <c r="AA109" i="44"/>
  <c r="AS109" i="44" s="1"/>
  <c r="AS124" i="44"/>
  <c r="I133" i="44"/>
  <c r="N133" i="44"/>
  <c r="R133" i="44"/>
  <c r="AL140" i="44"/>
  <c r="AM134" i="44"/>
  <c r="AX19" i="44"/>
  <c r="S135" i="44"/>
  <c r="AQ22" i="44"/>
  <c r="AW22" i="44"/>
  <c r="AX28" i="44"/>
  <c r="AM34" i="44"/>
  <c r="AW37" i="44"/>
  <c r="AN37" i="44"/>
  <c r="AV37" i="44" s="1"/>
  <c r="AP50" i="44"/>
  <c r="AA50" i="44"/>
  <c r="AS50" i="44" s="1"/>
  <c r="Z50" i="44"/>
  <c r="AX56" i="44"/>
  <c r="AX62" i="44" s="1"/>
  <c r="AM62" i="44"/>
  <c r="AW65" i="44"/>
  <c r="AN65" i="44"/>
  <c r="AV65" i="44" s="1"/>
  <c r="AN89" i="44"/>
  <c r="AV89" i="44" s="1"/>
  <c r="AW89" i="44"/>
  <c r="AP102" i="44"/>
  <c r="AA102" i="44"/>
  <c r="AS102" i="44" s="1"/>
  <c r="AB102" i="44"/>
  <c r="AT102" i="44" s="1"/>
  <c r="Z102" i="44"/>
  <c r="AE106" i="44"/>
  <c r="AU105" i="44"/>
  <c r="AU106" i="44" s="1"/>
  <c r="AB110" i="44"/>
  <c r="AT110" i="44" s="1"/>
  <c r="AA110" i="44"/>
  <c r="AS110" i="44" s="1"/>
  <c r="Z110" i="44"/>
  <c r="T130" i="44"/>
  <c r="M14" i="45" s="1"/>
  <c r="S140" i="44"/>
  <c r="AE142" i="44"/>
  <c r="AP51" i="44"/>
  <c r="AA51" i="44"/>
  <c r="AS51" i="44" s="1"/>
  <c r="Z51" i="44"/>
  <c r="AP53" i="44"/>
  <c r="AA53" i="44"/>
  <c r="AS53" i="44" s="1"/>
  <c r="Z53" i="44"/>
  <c r="AX77" i="44"/>
  <c r="AX83" i="44" s="1"/>
  <c r="AM83" i="44"/>
  <c r="Z79" i="44"/>
  <c r="AB79" i="44"/>
  <c r="AT79" i="44" s="1"/>
  <c r="AA79" i="44"/>
  <c r="AS79" i="44" s="1"/>
  <c r="AH130" i="44"/>
  <c r="AA14" i="45" s="1"/>
  <c r="AP108" i="44"/>
  <c r="Z108" i="44"/>
  <c r="AB108" i="44"/>
  <c r="AT108" i="44" s="1"/>
  <c r="AA108" i="44"/>
  <c r="AS108" i="44" s="1"/>
  <c r="V112" i="44"/>
  <c r="AN116" i="44"/>
  <c r="AV116" i="44" s="1"/>
  <c r="AX116" i="44"/>
  <c r="AX123" i="44" s="1"/>
  <c r="AM140" i="44"/>
  <c r="AL13" i="44"/>
  <c r="S141" i="44"/>
  <c r="AL141" i="44"/>
  <c r="AX17" i="44"/>
  <c r="AM18" i="44"/>
  <c r="S134" i="44"/>
  <c r="V20" i="44"/>
  <c r="AE135" i="44"/>
  <c r="AW25" i="44"/>
  <c r="AM143" i="44"/>
  <c r="AX26" i="44"/>
  <c r="AX143" i="44" s="1"/>
  <c r="S137" i="44"/>
  <c r="AQ41" i="44"/>
  <c r="AP35" i="44"/>
  <c r="AW38" i="44"/>
  <c r="AN38" i="44"/>
  <c r="AV38" i="44" s="1"/>
  <c r="AP39" i="44"/>
  <c r="AQ42" i="44"/>
  <c r="Y48" i="44"/>
  <c r="AP63" i="44"/>
  <c r="AW66" i="44"/>
  <c r="AN66" i="44"/>
  <c r="AV66" i="44" s="1"/>
  <c r="AP67" i="44"/>
  <c r="Y76" i="44"/>
  <c r="AQ70" i="44"/>
  <c r="AN77" i="44"/>
  <c r="AU78" i="44"/>
  <c r="AU83" i="44" s="1"/>
  <c r="AP79" i="44"/>
  <c r="V90" i="44"/>
  <c r="AA84" i="44"/>
  <c r="AP84" i="44"/>
  <c r="Z84" i="44"/>
  <c r="AW85" i="44"/>
  <c r="AN85" i="44"/>
  <c r="AV85" i="44" s="1"/>
  <c r="AW86" i="44"/>
  <c r="AN86" i="44"/>
  <c r="AV86" i="44" s="1"/>
  <c r="Z89" i="44"/>
  <c r="AB89" i="44"/>
  <c r="AT89" i="44" s="1"/>
  <c r="AP89" i="44"/>
  <c r="AA89" i="44"/>
  <c r="AS89" i="44" s="1"/>
  <c r="AU95" i="44"/>
  <c r="AU100" i="44" s="1"/>
  <c r="AB97" i="44"/>
  <c r="AT97" i="44" s="1"/>
  <c r="AP97" i="44"/>
  <c r="Z97" i="44"/>
  <c r="AA97" i="44"/>
  <c r="AS97" i="44" s="1"/>
  <c r="AN103" i="44"/>
  <c r="AV103" i="44" s="1"/>
  <c r="AW105" i="44"/>
  <c r="AW106" i="44" s="1"/>
  <c r="AA107" i="44"/>
  <c r="Z107" i="44"/>
  <c r="AP107" i="44"/>
  <c r="AE123" i="44"/>
  <c r="AU115" i="44"/>
  <c r="AU123" i="44" s="1"/>
  <c r="AQ123" i="44"/>
  <c r="AB117" i="44"/>
  <c r="AT117" i="44" s="1"/>
  <c r="AP117" i="44"/>
  <c r="AA117" i="44"/>
  <c r="AS117" i="44" s="1"/>
  <c r="Z117" i="44"/>
  <c r="Z120" i="44"/>
  <c r="AP120" i="44"/>
  <c r="AA120" i="44"/>
  <c r="AS120" i="44" s="1"/>
  <c r="Z121" i="44"/>
  <c r="AA121" i="44"/>
  <c r="AS121" i="44" s="1"/>
  <c r="AB121" i="44"/>
  <c r="AT121" i="44" s="1"/>
  <c r="AU140" i="44"/>
  <c r="AM27" i="44"/>
  <c r="AM137" i="44"/>
  <c r="AX29" i="44"/>
  <c r="AX137" i="44" s="1"/>
  <c r="AP52" i="44"/>
  <c r="AA52" i="44"/>
  <c r="AS52" i="44" s="1"/>
  <c r="Z52" i="44"/>
  <c r="AP54" i="44"/>
  <c r="AA54" i="44"/>
  <c r="AS54" i="44" s="1"/>
  <c r="Z54" i="44"/>
  <c r="AX75" i="44"/>
  <c r="AX76" i="44" s="1"/>
  <c r="AE140" i="44"/>
  <c r="AN12" i="44"/>
  <c r="AW12" i="44"/>
  <c r="AE13" i="44"/>
  <c r="AM13" i="44"/>
  <c r="AQ13" i="44"/>
  <c r="V14" i="44"/>
  <c r="V16" i="44"/>
  <c r="AM141" i="44"/>
  <c r="V19" i="44"/>
  <c r="AE134" i="44"/>
  <c r="Y135" i="44"/>
  <c r="AL135" i="44"/>
  <c r="AQ20" i="44"/>
  <c r="AW20" i="44"/>
  <c r="AM142" i="44"/>
  <c r="AX25" i="44"/>
  <c r="AN26" i="44"/>
  <c r="V29" i="44"/>
  <c r="V34" i="44" s="1"/>
  <c r="Z35" i="44"/>
  <c r="AW35" i="44"/>
  <c r="AN35" i="44"/>
  <c r="AL41" i="44"/>
  <c r="AP36" i="44"/>
  <c r="Z39" i="44"/>
  <c r="AW39" i="44"/>
  <c r="AN39" i="44"/>
  <c r="AV39" i="44" s="1"/>
  <c r="AP40" i="44"/>
  <c r="V41" i="44"/>
  <c r="Z44" i="44"/>
  <c r="Z46" i="44"/>
  <c r="AN49" i="44"/>
  <c r="AB50" i="44"/>
  <c r="AT50" i="44" s="1"/>
  <c r="AN50" i="44"/>
  <c r="AV50" i="44" s="1"/>
  <c r="AB51" i="44"/>
  <c r="AT51" i="44" s="1"/>
  <c r="AN51" i="44"/>
  <c r="AV51" i="44" s="1"/>
  <c r="AB52" i="44"/>
  <c r="AT52" i="44" s="1"/>
  <c r="AN52" i="44"/>
  <c r="AV52" i="44" s="1"/>
  <c r="AB53" i="44"/>
  <c r="AT53" i="44" s="1"/>
  <c r="AN53" i="44"/>
  <c r="AV53" i="44" s="1"/>
  <c r="AB54" i="44"/>
  <c r="AT54" i="44" s="1"/>
  <c r="AN54" i="44"/>
  <c r="AV54" i="44" s="1"/>
  <c r="Z63" i="44"/>
  <c r="AW63" i="44"/>
  <c r="AN63" i="44"/>
  <c r="AL69" i="44"/>
  <c r="AP64" i="44"/>
  <c r="Z67" i="44"/>
  <c r="AW67" i="44"/>
  <c r="AN67" i="44"/>
  <c r="AV67" i="44" s="1"/>
  <c r="AP68" i="44"/>
  <c r="V69" i="44"/>
  <c r="Z70" i="44"/>
  <c r="Z72" i="44"/>
  <c r="Z74" i="44"/>
  <c r="AM76" i="44"/>
  <c r="V77" i="44"/>
  <c r="AN80" i="44"/>
  <c r="AV80" i="44" s="1"/>
  <c r="AW80" i="44"/>
  <c r="AN81" i="44"/>
  <c r="AV81" i="44" s="1"/>
  <c r="AX90" i="44"/>
  <c r="AA88" i="44"/>
  <c r="AS88" i="44" s="1"/>
  <c r="AP88" i="44"/>
  <c r="Z88" i="44"/>
  <c r="Y90" i="44"/>
  <c r="AQ89" i="44"/>
  <c r="AQ90" i="44" s="1"/>
  <c r="AL90" i="44"/>
  <c r="AQ100" i="44"/>
  <c r="V105" i="44"/>
  <c r="AM112" i="44"/>
  <c r="AX107" i="44"/>
  <c r="AX112" i="44" s="1"/>
  <c r="Z122" i="44"/>
  <c r="AB122" i="44"/>
  <c r="AT122" i="44" s="1"/>
  <c r="AA122" i="44"/>
  <c r="AS122" i="44" s="1"/>
  <c r="AP122" i="44"/>
  <c r="U130" i="44"/>
  <c r="N14" i="45" s="1"/>
  <c r="Y137" i="44"/>
  <c r="AE137" i="44"/>
  <c r="AA43" i="44"/>
  <c r="AS43" i="44" s="1"/>
  <c r="AP43" i="44"/>
  <c r="AA44" i="44"/>
  <c r="AS44" i="44" s="1"/>
  <c r="AP44" i="44"/>
  <c r="AA45" i="44"/>
  <c r="AS45" i="44" s="1"/>
  <c r="AP45" i="44"/>
  <c r="AA46" i="44"/>
  <c r="AS46" i="44" s="1"/>
  <c r="AP46" i="44"/>
  <c r="AA47" i="44"/>
  <c r="AS47" i="44" s="1"/>
  <c r="AP47" i="44"/>
  <c r="AA70" i="44"/>
  <c r="AP70" i="44"/>
  <c r="AA71" i="44"/>
  <c r="AS71" i="44" s="1"/>
  <c r="AP71" i="44"/>
  <c r="AA72" i="44"/>
  <c r="AS72" i="44" s="1"/>
  <c r="AP72" i="44"/>
  <c r="AA73" i="44"/>
  <c r="AS73" i="44" s="1"/>
  <c r="AP73" i="44"/>
  <c r="AA74" i="44"/>
  <c r="AS74" i="44" s="1"/>
  <c r="AP74" i="44"/>
  <c r="AP75" i="44"/>
  <c r="AA75" i="44"/>
  <c r="AS75" i="44" s="1"/>
  <c r="AL83" i="44"/>
  <c r="AA87" i="44"/>
  <c r="AS87" i="44" s="1"/>
  <c r="AW87" i="44"/>
  <c r="AN87" i="44"/>
  <c r="AV87" i="44" s="1"/>
  <c r="AA91" i="44"/>
  <c r="AW93" i="44"/>
  <c r="AN93" i="44"/>
  <c r="AV93" i="44" s="1"/>
  <c r="AB95" i="44"/>
  <c r="AP95" i="44"/>
  <c r="Z95" i="44"/>
  <c r="AB99" i="44"/>
  <c r="AT99" i="44" s="1"/>
  <c r="AP99" i="44"/>
  <c r="Z99" i="44"/>
  <c r="Y104" i="44"/>
  <c r="AQ101" i="44"/>
  <c r="AQ104" i="44" s="1"/>
  <c r="AP103" i="44"/>
  <c r="AA103" i="44"/>
  <c r="AS103" i="44" s="1"/>
  <c r="Z103" i="44"/>
  <c r="AE104" i="44"/>
  <c r="AW110" i="44"/>
  <c r="AN110" i="44"/>
  <c r="AV110" i="44" s="1"/>
  <c r="AB111" i="44"/>
  <c r="AT111" i="44" s="1"/>
  <c r="AB113" i="44"/>
  <c r="AW113" i="44"/>
  <c r="AW114" i="44" s="1"/>
  <c r="AJ130" i="44"/>
  <c r="AC14" i="45" s="1"/>
  <c r="AM123" i="44"/>
  <c r="AP126" i="44"/>
  <c r="AA126" i="44"/>
  <c r="AS126" i="44" s="1"/>
  <c r="Z126" i="44"/>
  <c r="AB126" i="44"/>
  <c r="AT126" i="44" s="1"/>
  <c r="AL143" i="44"/>
  <c r="AB70" i="44"/>
  <c r="AQ77" i="44"/>
  <c r="AQ83" i="44" s="1"/>
  <c r="Z80" i="44"/>
  <c r="AP80" i="44"/>
  <c r="AW84" i="44"/>
  <c r="AN84" i="44"/>
  <c r="AN88" i="44"/>
  <c r="AV88" i="44" s="1"/>
  <c r="AT91" i="44"/>
  <c r="AB96" i="44"/>
  <c r="AT96" i="44" s="1"/>
  <c r="AP96" i="44"/>
  <c r="Z96" i="44"/>
  <c r="V100" i="44"/>
  <c r="Y100" i="44"/>
  <c r="AN118" i="44"/>
  <c r="AV118" i="44" s="1"/>
  <c r="AL123" i="44"/>
  <c r="AW118" i="44"/>
  <c r="AG130" i="44"/>
  <c r="Z14" i="45" s="1"/>
  <c r="AK130" i="44"/>
  <c r="AD14" i="45" s="1"/>
  <c r="AQ129" i="44"/>
  <c r="AA125" i="44"/>
  <c r="AS125" i="44" s="1"/>
  <c r="AP125" i="44"/>
  <c r="Z125" i="44"/>
  <c r="AX127" i="44"/>
  <c r="AN127" i="44"/>
  <c r="AV127" i="44" s="1"/>
  <c r="AN128" i="44"/>
  <c r="AV128" i="44" s="1"/>
  <c r="AX128" i="44"/>
  <c r="AD130" i="44"/>
  <c r="W14" i="45" s="1"/>
  <c r="AI130" i="44"/>
  <c r="AB14" i="45" s="1"/>
  <c r="Q133" i="44"/>
  <c r="AM94" i="44"/>
  <c r="AW92" i="44"/>
  <c r="AN92" i="44"/>
  <c r="AV92" i="44" s="1"/>
  <c r="AW95" i="44"/>
  <c r="AW100" i="44" s="1"/>
  <c r="AM106" i="44"/>
  <c r="AW107" i="44"/>
  <c r="AN107" i="44"/>
  <c r="AW111" i="44"/>
  <c r="AN111" i="44"/>
  <c r="AV111" i="44" s="1"/>
  <c r="AL112" i="44"/>
  <c r="Y123" i="44"/>
  <c r="AP116" i="44"/>
  <c r="AA116" i="44"/>
  <c r="AS116" i="44" s="1"/>
  <c r="W133" i="44"/>
  <c r="AA118" i="44"/>
  <c r="AS118" i="44" s="1"/>
  <c r="AW124" i="44"/>
  <c r="AW129" i="44" s="1"/>
  <c r="AN124" i="44"/>
  <c r="W130" i="44"/>
  <c r="P14" i="45" s="1"/>
  <c r="U133" i="44"/>
  <c r="AJ133" i="44"/>
  <c r="Z119" i="44"/>
  <c r="AP119" i="44"/>
  <c r="V129" i="44"/>
  <c r="AB124" i="44"/>
  <c r="AN125" i="44"/>
  <c r="AV125" i="44" s="1"/>
  <c r="AP127" i="44"/>
  <c r="AA127" i="44"/>
  <c r="AS127" i="44" s="1"/>
  <c r="AL129" i="44"/>
  <c r="J133" i="44"/>
  <c r="O133" i="44"/>
  <c r="K133" i="44"/>
  <c r="Y129" i="44"/>
  <c r="AP128" i="44"/>
  <c r="AA128" i="44"/>
  <c r="AS128" i="44" s="1"/>
  <c r="X130" i="44"/>
  <c r="Q14" i="45" s="1"/>
  <c r="AG133" i="44"/>
  <c r="AK133" i="44"/>
  <c r="R459" i="43"/>
  <c r="N459" i="43"/>
  <c r="W459" i="43"/>
  <c r="I459" i="43"/>
  <c r="Z196" i="43"/>
  <c r="V201" i="43"/>
  <c r="AP196" i="43"/>
  <c r="AB196" i="43"/>
  <c r="AX105" i="43"/>
  <c r="Z174" i="43"/>
  <c r="AS174" i="43"/>
  <c r="AP174" i="43"/>
  <c r="AB174" i="43"/>
  <c r="AT174" i="43" s="1"/>
  <c r="Z199" i="43"/>
  <c r="AS199" i="43"/>
  <c r="AP199" i="43"/>
  <c r="AB199" i="43"/>
  <c r="AT199" i="43" s="1"/>
  <c r="Z172" i="43"/>
  <c r="AS172" i="43"/>
  <c r="AB172" i="43"/>
  <c r="AT172" i="43" s="1"/>
  <c r="AP172" i="43"/>
  <c r="Z197" i="43"/>
  <c r="AS197" i="43"/>
  <c r="AP197" i="43"/>
  <c r="AB197" i="43"/>
  <c r="AT197" i="43" s="1"/>
  <c r="Z200" i="43"/>
  <c r="AS200" i="43"/>
  <c r="AP200" i="43"/>
  <c r="AB200" i="43"/>
  <c r="AT200" i="43" s="1"/>
  <c r="AX19" i="43"/>
  <c r="AX22" i="43" s="1"/>
  <c r="AM22" i="43"/>
  <c r="AW66" i="43"/>
  <c r="AN66" i="43"/>
  <c r="AL68" i="43"/>
  <c r="AX91" i="43"/>
  <c r="AX94" i="43" s="1"/>
  <c r="AM94" i="43"/>
  <c r="Y115" i="43"/>
  <c r="AB126" i="43"/>
  <c r="AT126" i="43" s="1"/>
  <c r="AS126" i="43"/>
  <c r="Z126" i="43"/>
  <c r="AP136" i="43"/>
  <c r="AS136" i="43"/>
  <c r="Z136" i="43"/>
  <c r="AB136" i="43"/>
  <c r="AT136" i="43" s="1"/>
  <c r="AP138" i="43"/>
  <c r="AS138" i="43"/>
  <c r="Z138" i="43"/>
  <c r="AB138" i="43"/>
  <c r="AT138" i="43" s="1"/>
  <c r="Z171" i="43"/>
  <c r="AS171" i="43"/>
  <c r="AB178" i="43"/>
  <c r="AT178" i="43" s="1"/>
  <c r="Z178" i="43"/>
  <c r="AP178" i="43"/>
  <c r="AB231" i="43"/>
  <c r="AT231" i="43" s="1"/>
  <c r="Z231" i="43"/>
  <c r="AP231" i="43"/>
  <c r="AE469" i="43"/>
  <c r="AU12" i="43"/>
  <c r="AE13" i="43"/>
  <c r="Y460" i="43"/>
  <c r="Y18" i="43"/>
  <c r="AM460" i="43"/>
  <c r="AX14" i="43"/>
  <c r="Y466" i="43"/>
  <c r="R33" i="45" s="1"/>
  <c r="AM466" i="43"/>
  <c r="AF33" i="45" s="1"/>
  <c r="AX17" i="43"/>
  <c r="AB19" i="43"/>
  <c r="AP19" i="43"/>
  <c r="AB20" i="43"/>
  <c r="AT20" i="43" s="1"/>
  <c r="AP20" i="43"/>
  <c r="AB21" i="43"/>
  <c r="AT21" i="43" s="1"/>
  <c r="AP21" i="43"/>
  <c r="V22" i="43"/>
  <c r="AQ27" i="43"/>
  <c r="AP23" i="43"/>
  <c r="Z26" i="43"/>
  <c r="AW26" i="43"/>
  <c r="AN26" i="43"/>
  <c r="AV26" i="43" s="1"/>
  <c r="AQ31" i="43"/>
  <c r="AQ34" i="43" s="1"/>
  <c r="AW35" i="43"/>
  <c r="AN35" i="43"/>
  <c r="AW36" i="43"/>
  <c r="AN36" i="43"/>
  <c r="AV36" i="43" s="1"/>
  <c r="AW39" i="43"/>
  <c r="AN39" i="43"/>
  <c r="AV39" i="43" s="1"/>
  <c r="AE44" i="43"/>
  <c r="AE47" i="43"/>
  <c r="AB49" i="43"/>
  <c r="AT49" i="43" s="1"/>
  <c r="AP49" i="43"/>
  <c r="AQ53" i="43"/>
  <c r="AP51" i="43"/>
  <c r="AQ54" i="43"/>
  <c r="Y57" i="43"/>
  <c r="AQ58" i="43"/>
  <c r="AQ61" i="43" s="1"/>
  <c r="AW62" i="43"/>
  <c r="AN62" i="43"/>
  <c r="AW63" i="43"/>
  <c r="AN63" i="43"/>
  <c r="AV63" i="43" s="1"/>
  <c r="AW64" i="43"/>
  <c r="AN64" i="43"/>
  <c r="AV64" i="43" s="1"/>
  <c r="Z67" i="43"/>
  <c r="AW67" i="43"/>
  <c r="AN67" i="43"/>
  <c r="AV67" i="43" s="1"/>
  <c r="AU73" i="43"/>
  <c r="AQ74" i="43"/>
  <c r="AQ77" i="43" s="1"/>
  <c r="AW78" i="43"/>
  <c r="AN78" i="43"/>
  <c r="AW79" i="43"/>
  <c r="AN79" i="43"/>
  <c r="AV79" i="43" s="1"/>
  <c r="Z82" i="43"/>
  <c r="AW82" i="43"/>
  <c r="AN82" i="43"/>
  <c r="AV82" i="43" s="1"/>
  <c r="AE87" i="43"/>
  <c r="AE90" i="43"/>
  <c r="AB92" i="43"/>
  <c r="AT92" i="43" s="1"/>
  <c r="AP92" i="43"/>
  <c r="AB93" i="43"/>
  <c r="AT93" i="43" s="1"/>
  <c r="AP93" i="43"/>
  <c r="AP95" i="43"/>
  <c r="AS97" i="43"/>
  <c r="Z100" i="43"/>
  <c r="AS103" i="43"/>
  <c r="AP103" i="43"/>
  <c r="Z103" i="43"/>
  <c r="AW104" i="43"/>
  <c r="AN104" i="43"/>
  <c r="AV104" i="43" s="1"/>
  <c r="Y112" i="43"/>
  <c r="AQ110" i="43"/>
  <c r="AQ112" i="43" s="1"/>
  <c r="AP111" i="43"/>
  <c r="AS111" i="43"/>
  <c r="AB111" i="43"/>
  <c r="AT111" i="43" s="1"/>
  <c r="Z111" i="43"/>
  <c r="Z113" i="43"/>
  <c r="AB113" i="43"/>
  <c r="AW113" i="43"/>
  <c r="AM115" i="43"/>
  <c r="AP116" i="43"/>
  <c r="AU121" i="43"/>
  <c r="AU127" i="43" s="1"/>
  <c r="AB123" i="43"/>
  <c r="AT123" i="43" s="1"/>
  <c r="Z123" i="43"/>
  <c r="AP123" i="43"/>
  <c r="Y468" i="43"/>
  <c r="AQ133" i="43"/>
  <c r="Z133" i="43"/>
  <c r="AW141" i="43"/>
  <c r="AN141" i="43"/>
  <c r="AL146" i="43"/>
  <c r="AW143" i="43"/>
  <c r="AN143" i="43"/>
  <c r="AV143" i="43" s="1"/>
  <c r="AW145" i="43"/>
  <c r="AN145" i="43"/>
  <c r="AV145" i="43" s="1"/>
  <c r="AW148" i="43"/>
  <c r="AN148" i="43"/>
  <c r="AV148" i="43" s="1"/>
  <c r="AQ153" i="43"/>
  <c r="Y157" i="43"/>
  <c r="Z153" i="43"/>
  <c r="AW157" i="43"/>
  <c r="AX158" i="43"/>
  <c r="AN158" i="43"/>
  <c r="AS162" i="43"/>
  <c r="AP162" i="43"/>
  <c r="Z162" i="43"/>
  <c r="AB162" i="43"/>
  <c r="AT162" i="43" s="1"/>
  <c r="AN165" i="43"/>
  <c r="AV165" i="43" s="1"/>
  <c r="AN167" i="43"/>
  <c r="AV167" i="43" s="1"/>
  <c r="AW180" i="43"/>
  <c r="AN180" i="43"/>
  <c r="AV180" i="43" s="1"/>
  <c r="V182" i="43"/>
  <c r="AQ183" i="43"/>
  <c r="AQ189" i="43" s="1"/>
  <c r="Y189" i="43"/>
  <c r="AW202" i="43"/>
  <c r="AN202" i="43"/>
  <c r="AL208" i="43"/>
  <c r="AB204" i="43"/>
  <c r="AT204" i="43" s="1"/>
  <c r="Z204" i="43"/>
  <c r="AP204" i="43"/>
  <c r="AW221" i="43"/>
  <c r="AN221" i="43"/>
  <c r="AL226" i="43"/>
  <c r="AW223" i="43"/>
  <c r="AN223" i="43"/>
  <c r="AV223" i="43" s="1"/>
  <c r="AW225" i="43"/>
  <c r="AN225" i="43"/>
  <c r="AV225" i="43" s="1"/>
  <c r="AW228" i="43"/>
  <c r="AN228" i="43"/>
  <c r="AV228" i="43" s="1"/>
  <c r="AN234" i="43"/>
  <c r="AV234" i="43" s="1"/>
  <c r="AW234" i="43"/>
  <c r="AU239" i="43"/>
  <c r="AU244" i="43" s="1"/>
  <c r="AE244" i="43"/>
  <c r="Z266" i="43"/>
  <c r="AS266" i="43"/>
  <c r="AP266" i="43"/>
  <c r="AB266" i="43"/>
  <c r="AT266" i="43" s="1"/>
  <c r="AB275" i="43"/>
  <c r="AT275" i="43" s="1"/>
  <c r="AP275" i="43"/>
  <c r="AS275" i="43"/>
  <c r="Z275" i="43"/>
  <c r="V313" i="43"/>
  <c r="AA313" i="43" s="1"/>
  <c r="AA317" i="43" s="1"/>
  <c r="AU363" i="43"/>
  <c r="AU366" i="43" s="1"/>
  <c r="AE366" i="43"/>
  <c r="AE101" i="43"/>
  <c r="AU99" i="43"/>
  <c r="AU101" i="43" s="1"/>
  <c r="AP104" i="43"/>
  <c r="Z104" i="43"/>
  <c r="AB106" i="43"/>
  <c r="AP106" i="43"/>
  <c r="Z106" i="43"/>
  <c r="AU135" i="43"/>
  <c r="AU140" i="43" s="1"/>
  <c r="AE140" i="43"/>
  <c r="AB151" i="43"/>
  <c r="AT151" i="43" s="1"/>
  <c r="Z151" i="43"/>
  <c r="AP151" i="43"/>
  <c r="AX161" i="43"/>
  <c r="AN161" i="43"/>
  <c r="AV161" i="43" s="1"/>
  <c r="Z173" i="43"/>
  <c r="AS173" i="43"/>
  <c r="AP216" i="43"/>
  <c r="AS216" i="43"/>
  <c r="Z216" i="43"/>
  <c r="AB216" i="43"/>
  <c r="AT216" i="43" s="1"/>
  <c r="AW229" i="43"/>
  <c r="AN229" i="43"/>
  <c r="AV229" i="43" s="1"/>
  <c r="V462" i="43"/>
  <c r="Z245" i="43"/>
  <c r="V251" i="43"/>
  <c r="AP245" i="43"/>
  <c r="AB245" i="43"/>
  <c r="Z23" i="43"/>
  <c r="AW23" i="43"/>
  <c r="AN23" i="43"/>
  <c r="AL27" i="43"/>
  <c r="AT29" i="43"/>
  <c r="AP32" i="43"/>
  <c r="Z32" i="43"/>
  <c r="AP33" i="43"/>
  <c r="Z33" i="43"/>
  <c r="AX35" i="43"/>
  <c r="AX37" i="43" s="1"/>
  <c r="AM37" i="43"/>
  <c r="AS36" i="43"/>
  <c r="Z51" i="43"/>
  <c r="AW51" i="43"/>
  <c r="AN51" i="43"/>
  <c r="AL53" i="43"/>
  <c r="V53" i="43"/>
  <c r="V61" i="43"/>
  <c r="AP58" i="43"/>
  <c r="Z58" i="43"/>
  <c r="AP59" i="43"/>
  <c r="AS59" i="43"/>
  <c r="Z59" i="43"/>
  <c r="AP60" i="43"/>
  <c r="Z60" i="43"/>
  <c r="AX62" i="43"/>
  <c r="AX65" i="43" s="1"/>
  <c r="AM65" i="43"/>
  <c r="AS63" i="43"/>
  <c r="AS64" i="43"/>
  <c r="AP75" i="43"/>
  <c r="Z75" i="43"/>
  <c r="AP76" i="43"/>
  <c r="Z76" i="43"/>
  <c r="AX78" i="43"/>
  <c r="AX80" i="43" s="1"/>
  <c r="AM80" i="43"/>
  <c r="AS79" i="43"/>
  <c r="AX87" i="43"/>
  <c r="Z95" i="43"/>
  <c r="AW95" i="43"/>
  <c r="AN95" i="43"/>
  <c r="AL98" i="43"/>
  <c r="AQ99" i="43"/>
  <c r="AQ101" i="43" s="1"/>
  <c r="Y101" i="43"/>
  <c r="AS104" i="43"/>
  <c r="AB107" i="43"/>
  <c r="AT107" i="43" s="1"/>
  <c r="AP107" i="43"/>
  <c r="Z107" i="43"/>
  <c r="V109" i="43"/>
  <c r="AB119" i="43"/>
  <c r="AT119" i="43" s="1"/>
  <c r="AL467" i="43"/>
  <c r="AW125" i="43"/>
  <c r="AN125" i="43"/>
  <c r="AU128" i="43"/>
  <c r="AE134" i="43"/>
  <c r="AQ131" i="43"/>
  <c r="Z131" i="43"/>
  <c r="AP137" i="43"/>
  <c r="AS137" i="43"/>
  <c r="Z137" i="43"/>
  <c r="AB137" i="43"/>
  <c r="AT137" i="43" s="1"/>
  <c r="AP139" i="43"/>
  <c r="AS139" i="43"/>
  <c r="Z139" i="43"/>
  <c r="AB139" i="43"/>
  <c r="AT139" i="43" s="1"/>
  <c r="AX141" i="43"/>
  <c r="AX146" i="43" s="1"/>
  <c r="AM146" i="43"/>
  <c r="AU152" i="43"/>
  <c r="AB150" i="43"/>
  <c r="AT150" i="43" s="1"/>
  <c r="AS150" i="43"/>
  <c r="Z150" i="43"/>
  <c r="AS151" i="43"/>
  <c r="AE157" i="43"/>
  <c r="Y163" i="43"/>
  <c r="AQ158" i="43"/>
  <c r="AQ163" i="43" s="1"/>
  <c r="AP159" i="43"/>
  <c r="AS159" i="43"/>
  <c r="Z159" i="43"/>
  <c r="AB159" i="43"/>
  <c r="AT159" i="43" s="1"/>
  <c r="AX159" i="43"/>
  <c r="AN159" i="43"/>
  <c r="AV159" i="43" s="1"/>
  <c r="Y169" i="43"/>
  <c r="AQ164" i="43"/>
  <c r="AQ169" i="43" s="1"/>
  <c r="AX164" i="43"/>
  <c r="AX169" i="43" s="1"/>
  <c r="AM169" i="43"/>
  <c r="V170" i="43"/>
  <c r="AA170" i="43" s="1"/>
  <c r="AA175" i="43" s="1"/>
  <c r="AB171" i="43"/>
  <c r="AT171" i="43" s="1"/>
  <c r="AP171" i="43"/>
  <c r="AB173" i="43"/>
  <c r="AT173" i="43" s="1"/>
  <c r="AP173" i="43"/>
  <c r="AB177" i="43"/>
  <c r="AT177" i="43" s="1"/>
  <c r="Z177" i="43"/>
  <c r="AS178" i="43"/>
  <c r="AW179" i="43"/>
  <c r="AN179" i="43"/>
  <c r="AV179" i="43" s="1"/>
  <c r="Z183" i="43"/>
  <c r="Z185" i="43"/>
  <c r="Z187" i="43"/>
  <c r="AN191" i="43"/>
  <c r="AV191" i="43" s="1"/>
  <c r="AN193" i="43"/>
  <c r="AV193" i="43" s="1"/>
  <c r="AP203" i="43"/>
  <c r="AW206" i="43"/>
  <c r="AN206" i="43"/>
  <c r="AV206" i="43" s="1"/>
  <c r="AQ209" i="43"/>
  <c r="AQ214" i="43" s="1"/>
  <c r="Y214" i="43"/>
  <c r="AP217" i="43"/>
  <c r="AS217" i="43"/>
  <c r="Z217" i="43"/>
  <c r="AB217" i="43"/>
  <c r="AT217" i="43" s="1"/>
  <c r="AP219" i="43"/>
  <c r="AS219" i="43"/>
  <c r="Z219" i="43"/>
  <c r="AB219" i="43"/>
  <c r="AT219" i="43" s="1"/>
  <c r="AX221" i="43"/>
  <c r="AX226" i="43" s="1"/>
  <c r="AM226" i="43"/>
  <c r="AU232" i="43"/>
  <c r="AB230" i="43"/>
  <c r="AT230" i="43" s="1"/>
  <c r="Z230" i="43"/>
  <c r="AS231" i="43"/>
  <c r="AL238" i="43"/>
  <c r="AN233" i="43"/>
  <c r="AW233" i="43"/>
  <c r="AN237" i="43"/>
  <c r="AV237" i="43" s="1"/>
  <c r="AW237" i="43"/>
  <c r="AQ242" i="43"/>
  <c r="AP243" i="43"/>
  <c r="AS243" i="43"/>
  <c r="AB243" i="43"/>
  <c r="AT243" i="43" s="1"/>
  <c r="Z243" i="43"/>
  <c r="AB255" i="43"/>
  <c r="AT255" i="43" s="1"/>
  <c r="AP255" i="43"/>
  <c r="AS255" i="43"/>
  <c r="Z255" i="43"/>
  <c r="AM283" i="43"/>
  <c r="AX279" i="43"/>
  <c r="AN279" i="43"/>
  <c r="AM355" i="43"/>
  <c r="AX351" i="43"/>
  <c r="AX355" i="43" s="1"/>
  <c r="V18" i="43"/>
  <c r="AP14" i="43"/>
  <c r="Z14" i="43"/>
  <c r="AP16" i="43"/>
  <c r="AS16" i="43"/>
  <c r="Z16" i="43"/>
  <c r="AP17" i="43"/>
  <c r="Z17" i="43"/>
  <c r="AS19" i="43"/>
  <c r="AW25" i="43"/>
  <c r="AN25" i="43"/>
  <c r="AV25" i="43" s="1"/>
  <c r="V27" i="43"/>
  <c r="AW38" i="43"/>
  <c r="AN38" i="43"/>
  <c r="AL40" i="43"/>
  <c r="AP46" i="43"/>
  <c r="AS46" i="43"/>
  <c r="Z46" i="43"/>
  <c r="AX48" i="43"/>
  <c r="AX50" i="43" s="1"/>
  <c r="AM50" i="43"/>
  <c r="AW81" i="43"/>
  <c r="AN81" i="43"/>
  <c r="AL83" i="43"/>
  <c r="AP89" i="43"/>
  <c r="Z89" i="43"/>
  <c r="AW97" i="43"/>
  <c r="AN97" i="43"/>
  <c r="AV97" i="43" s="1"/>
  <c r="AB108" i="43"/>
  <c r="AT108" i="43" s="1"/>
  <c r="AP108" i="43"/>
  <c r="Z108" i="43"/>
  <c r="AL115" i="43"/>
  <c r="AS119" i="43"/>
  <c r="AP119" i="43"/>
  <c r="Z119" i="43"/>
  <c r="AB121" i="43"/>
  <c r="AP121" i="43"/>
  <c r="Z121" i="43"/>
  <c r="Y461" i="43"/>
  <c r="AQ122" i="43"/>
  <c r="AQ127" i="43" s="1"/>
  <c r="AW149" i="43"/>
  <c r="AN149" i="43"/>
  <c r="AV149" i="43" s="1"/>
  <c r="AQ155" i="43"/>
  <c r="Z155" i="43"/>
  <c r="AP161" i="43"/>
  <c r="AS161" i="43"/>
  <c r="Z161" i="43"/>
  <c r="AB161" i="43"/>
  <c r="AT161" i="43" s="1"/>
  <c r="AW176" i="43"/>
  <c r="AN176" i="43"/>
  <c r="AL182" i="43"/>
  <c r="AB207" i="43"/>
  <c r="AT207" i="43" s="1"/>
  <c r="AS207" i="43"/>
  <c r="Z207" i="43"/>
  <c r="AU215" i="43"/>
  <c r="AU220" i="43" s="1"/>
  <c r="AE220" i="43"/>
  <c r="AP218" i="43"/>
  <c r="AS218" i="43"/>
  <c r="Z218" i="43"/>
  <c r="AB218" i="43"/>
  <c r="AT218" i="43" s="1"/>
  <c r="AN235" i="43"/>
  <c r="AV235" i="43" s="1"/>
  <c r="AW235" i="43"/>
  <c r="Z264" i="43"/>
  <c r="AS264" i="43"/>
  <c r="AP264" i="43"/>
  <c r="AB264" i="43"/>
  <c r="AT264" i="43" s="1"/>
  <c r="AU304" i="43"/>
  <c r="AU307" i="43" s="1"/>
  <c r="AE307" i="43"/>
  <c r="AB335" i="43"/>
  <c r="AT335" i="43" s="1"/>
  <c r="AS335" i="43"/>
  <c r="AP335" i="43"/>
  <c r="Z335" i="43"/>
  <c r="Y469" i="43"/>
  <c r="R36" i="45" s="1"/>
  <c r="AQ12" i="43"/>
  <c r="Y13" i="43"/>
  <c r="AE460" i="43"/>
  <c r="AU14" i="43"/>
  <c r="AE466" i="43"/>
  <c r="AU17" i="43"/>
  <c r="AW19" i="43"/>
  <c r="AN19" i="43"/>
  <c r="AW20" i="43"/>
  <c r="AN20" i="43"/>
  <c r="AV20" i="43" s="1"/>
  <c r="AW21" i="43"/>
  <c r="AN21" i="43"/>
  <c r="AV21" i="43" s="1"/>
  <c r="AU27" i="43"/>
  <c r="AW24" i="43"/>
  <c r="AN24" i="43"/>
  <c r="AV24" i="43" s="1"/>
  <c r="AP25" i="43"/>
  <c r="AQ28" i="43"/>
  <c r="AQ30" i="43" s="1"/>
  <c r="Y30" i="43"/>
  <c r="AE30" i="43"/>
  <c r="AE34" i="43"/>
  <c r="AB36" i="43"/>
  <c r="AT36" i="43" s="1"/>
  <c r="AP36" i="43"/>
  <c r="AP38" i="43"/>
  <c r="AQ41" i="43"/>
  <c r="AQ44" i="43" s="1"/>
  <c r="Y44" i="43"/>
  <c r="AQ45" i="43"/>
  <c r="AQ47" i="43" s="1"/>
  <c r="AW48" i="43"/>
  <c r="AN48" i="43"/>
  <c r="AW49" i="43"/>
  <c r="AN49" i="43"/>
  <c r="AV49" i="43" s="1"/>
  <c r="AU53" i="43"/>
  <c r="AW52" i="43"/>
  <c r="AN52" i="43"/>
  <c r="AV52" i="43" s="1"/>
  <c r="AE57" i="43"/>
  <c r="AE61" i="43"/>
  <c r="AB63" i="43"/>
  <c r="AT63" i="43" s="1"/>
  <c r="AP63" i="43"/>
  <c r="AB64" i="43"/>
  <c r="AT64" i="43" s="1"/>
  <c r="AP64" i="43"/>
  <c r="AQ69" i="43"/>
  <c r="AQ73" i="43" s="1"/>
  <c r="Y73" i="43"/>
  <c r="AE73" i="43"/>
  <c r="AE77" i="43"/>
  <c r="AB79" i="43"/>
  <c r="AT79" i="43" s="1"/>
  <c r="AP79" i="43"/>
  <c r="AQ83" i="43"/>
  <c r="AP81" i="43"/>
  <c r="AQ84" i="43"/>
  <c r="AQ87" i="43" s="1"/>
  <c r="Y87" i="43"/>
  <c r="AQ88" i="43"/>
  <c r="AQ90" i="43" s="1"/>
  <c r="AW91" i="43"/>
  <c r="AN91" i="43"/>
  <c r="AW92" i="43"/>
  <c r="AN92" i="43"/>
  <c r="AV92" i="43" s="1"/>
  <c r="AW93" i="43"/>
  <c r="AN93" i="43"/>
  <c r="AV93" i="43" s="1"/>
  <c r="AU98" i="43"/>
  <c r="Z96" i="43"/>
  <c r="AW96" i="43"/>
  <c r="AN96" i="43"/>
  <c r="AV96" i="43" s="1"/>
  <c r="AP97" i="43"/>
  <c r="V98" i="43"/>
  <c r="Z99" i="43"/>
  <c r="AB103" i="43"/>
  <c r="AT103" i="43" s="1"/>
  <c r="AB104" i="43"/>
  <c r="AT104" i="43" s="1"/>
  <c r="V105" i="43"/>
  <c r="AL105" i="43"/>
  <c r="AE109" i="43"/>
  <c r="AU106" i="43"/>
  <c r="AU109" i="43" s="1"/>
  <c r="AU113" i="43"/>
  <c r="AU115" i="43" s="1"/>
  <c r="AE115" i="43"/>
  <c r="AN114" i="43"/>
  <c r="AV114" i="43" s="1"/>
  <c r="AW114" i="43"/>
  <c r="Z116" i="43"/>
  <c r="AW116" i="43"/>
  <c r="AN116" i="43"/>
  <c r="AL120" i="43"/>
  <c r="S461" i="43"/>
  <c r="L28" i="45" s="1"/>
  <c r="V122" i="43"/>
  <c r="AA122" i="43" s="1"/>
  <c r="AS123" i="43"/>
  <c r="AW124" i="43"/>
  <c r="AN124" i="43"/>
  <c r="AV124" i="43" s="1"/>
  <c r="AP126" i="43"/>
  <c r="AQ129" i="43"/>
  <c r="Z129" i="43"/>
  <c r="AW142" i="43"/>
  <c r="AN142" i="43"/>
  <c r="AV142" i="43" s="1"/>
  <c r="AW144" i="43"/>
  <c r="AN144" i="43"/>
  <c r="AV144" i="43" s="1"/>
  <c r="V147" i="43"/>
  <c r="AA147" i="43" s="1"/>
  <c r="AA152" i="43" s="1"/>
  <c r="AX152" i="43"/>
  <c r="AP160" i="43"/>
  <c r="AS160" i="43"/>
  <c r="Z160" i="43"/>
  <c r="AB160" i="43"/>
  <c r="AT160" i="43" s="1"/>
  <c r="AX160" i="43"/>
  <c r="AN160" i="43"/>
  <c r="AV160" i="43" s="1"/>
  <c r="AN164" i="43"/>
  <c r="AB181" i="43"/>
  <c r="AT181" i="43" s="1"/>
  <c r="Z181" i="43"/>
  <c r="Y195" i="43"/>
  <c r="AQ190" i="43"/>
  <c r="AQ195" i="43" s="1"/>
  <c r="AX190" i="43"/>
  <c r="AX195" i="43" s="1"/>
  <c r="AM195" i="43"/>
  <c r="Z198" i="43"/>
  <c r="AS198" i="43"/>
  <c r="AB203" i="43"/>
  <c r="AT203" i="43" s="1"/>
  <c r="AS203" i="43"/>
  <c r="Z203" i="43"/>
  <c r="AS204" i="43"/>
  <c r="AW205" i="43"/>
  <c r="AN205" i="43"/>
  <c r="AV205" i="43" s="1"/>
  <c r="AP207" i="43"/>
  <c r="Z209" i="43"/>
  <c r="Z211" i="43"/>
  <c r="Z213" i="43"/>
  <c r="AW222" i="43"/>
  <c r="AN222" i="43"/>
  <c r="AV222" i="43" s="1"/>
  <c r="AW224" i="43"/>
  <c r="AN224" i="43"/>
  <c r="AV224" i="43" s="1"/>
  <c r="V227" i="43"/>
  <c r="AA227" i="43" s="1"/>
  <c r="AA232" i="43" s="1"/>
  <c r="AN236" i="43"/>
  <c r="AV236" i="43" s="1"/>
  <c r="AW236" i="43"/>
  <c r="Z246" i="43"/>
  <c r="AP246" i="43"/>
  <c r="AB246" i="43"/>
  <c r="AT246" i="43" s="1"/>
  <c r="AS246" i="43"/>
  <c r="Z247" i="43"/>
  <c r="AP247" i="43"/>
  <c r="AB247" i="43"/>
  <c r="AT247" i="43" s="1"/>
  <c r="AS247" i="43"/>
  <c r="Z248" i="43"/>
  <c r="AP248" i="43"/>
  <c r="AB248" i="43"/>
  <c r="AT248" i="43" s="1"/>
  <c r="AS248" i="43"/>
  <c r="Z249" i="43"/>
  <c r="AP249" i="43"/>
  <c r="AB249" i="43"/>
  <c r="AT249" i="43" s="1"/>
  <c r="AS249" i="43"/>
  <c r="Z250" i="43"/>
  <c r="AP250" i="43"/>
  <c r="AB250" i="43"/>
  <c r="AT250" i="43" s="1"/>
  <c r="AS250" i="43"/>
  <c r="V262" i="43"/>
  <c r="AA262" i="43" s="1"/>
  <c r="AA267" i="43" s="1"/>
  <c r="AP289" i="43"/>
  <c r="AS289" i="43"/>
  <c r="Z289" i="43"/>
  <c r="AB289" i="43"/>
  <c r="AT289" i="43" s="1"/>
  <c r="AP290" i="43"/>
  <c r="AS290" i="43"/>
  <c r="Z290" i="43"/>
  <c r="AB290" i="43"/>
  <c r="AT290" i="43" s="1"/>
  <c r="AB298" i="43"/>
  <c r="AT298" i="43" s="1"/>
  <c r="Z298" i="43"/>
  <c r="AP298" i="43"/>
  <c r="AS298" i="43"/>
  <c r="AN347" i="43"/>
  <c r="AV347" i="43" s="1"/>
  <c r="AW347" i="43"/>
  <c r="S469" i="43"/>
  <c r="AP28" i="43"/>
  <c r="AP29" i="43"/>
  <c r="V30" i="43"/>
  <c r="AP42" i="43"/>
  <c r="AP43" i="43"/>
  <c r="AP54" i="43"/>
  <c r="AS55" i="43"/>
  <c r="AP55" i="43"/>
  <c r="AP56" i="43"/>
  <c r="V57" i="43"/>
  <c r="AP69" i="43"/>
  <c r="AP70" i="43"/>
  <c r="AP71" i="43"/>
  <c r="AP72" i="43"/>
  <c r="V73" i="43"/>
  <c r="AP85" i="43"/>
  <c r="AP86" i="43"/>
  <c r="AP99" i="43"/>
  <c r="AS100" i="43"/>
  <c r="AP100" i="43"/>
  <c r="V101" i="43"/>
  <c r="AW102" i="43"/>
  <c r="AN102" i="43"/>
  <c r="AM120" i="43"/>
  <c r="AS117" i="43"/>
  <c r="AW117" i="43"/>
  <c r="AN117" i="43"/>
  <c r="AV117" i="43" s="1"/>
  <c r="AL127" i="43"/>
  <c r="AW121" i="43"/>
  <c r="AL461" i="43"/>
  <c r="AW122" i="43"/>
  <c r="AN122" i="43"/>
  <c r="AW126" i="43"/>
  <c r="AN126" i="43"/>
  <c r="AV126" i="43" s="1"/>
  <c r="AB142" i="43"/>
  <c r="AT142" i="43" s="1"/>
  <c r="AP142" i="43"/>
  <c r="AB143" i="43"/>
  <c r="AT143" i="43" s="1"/>
  <c r="AP143" i="43"/>
  <c r="AB144" i="43"/>
  <c r="AT144" i="43" s="1"/>
  <c r="AP144" i="43"/>
  <c r="AB145" i="43"/>
  <c r="AT145" i="43" s="1"/>
  <c r="AP145" i="43"/>
  <c r="AQ152" i="43"/>
  <c r="AW150" i="43"/>
  <c r="AN150" i="43"/>
  <c r="AV150" i="43" s="1"/>
  <c r="AW170" i="43"/>
  <c r="AN170" i="43"/>
  <c r="AW171" i="43"/>
  <c r="AN171" i="43"/>
  <c r="AV171" i="43" s="1"/>
  <c r="AW172" i="43"/>
  <c r="AN172" i="43"/>
  <c r="AV172" i="43" s="1"/>
  <c r="AW173" i="43"/>
  <c r="AN173" i="43"/>
  <c r="AV173" i="43" s="1"/>
  <c r="AW174" i="43"/>
  <c r="AN174" i="43"/>
  <c r="AV174" i="43" s="1"/>
  <c r="AU182" i="43"/>
  <c r="AW177" i="43"/>
  <c r="AN177" i="43"/>
  <c r="AV177" i="43" s="1"/>
  <c r="AW181" i="43"/>
  <c r="AN181" i="43"/>
  <c r="AV181" i="43" s="1"/>
  <c r="AW196" i="43"/>
  <c r="AN196" i="43"/>
  <c r="AW197" i="43"/>
  <c r="AN197" i="43"/>
  <c r="AV197" i="43" s="1"/>
  <c r="AW198" i="43"/>
  <c r="AN198" i="43"/>
  <c r="AV198" i="43" s="1"/>
  <c r="AW199" i="43"/>
  <c r="AN199" i="43"/>
  <c r="AV199" i="43" s="1"/>
  <c r="AW200" i="43"/>
  <c r="AN200" i="43"/>
  <c r="AV200" i="43" s="1"/>
  <c r="AW203" i="43"/>
  <c r="AN203" i="43"/>
  <c r="AV203" i="43" s="1"/>
  <c r="AW207" i="43"/>
  <c r="AN207" i="43"/>
  <c r="AV207" i="43" s="1"/>
  <c r="AU214" i="43"/>
  <c r="AE214" i="43"/>
  <c r="AB222" i="43"/>
  <c r="AT222" i="43" s="1"/>
  <c r="AP222" i="43"/>
  <c r="AB223" i="43"/>
  <c r="AT223" i="43" s="1"/>
  <c r="AP223" i="43"/>
  <c r="AB224" i="43"/>
  <c r="AT224" i="43" s="1"/>
  <c r="AP224" i="43"/>
  <c r="AB225" i="43"/>
  <c r="AT225" i="43" s="1"/>
  <c r="AP225" i="43"/>
  <c r="AS229" i="43"/>
  <c r="AW230" i="43"/>
  <c r="AN230" i="43"/>
  <c r="AV230" i="43" s="1"/>
  <c r="AP240" i="43"/>
  <c r="AS240" i="43"/>
  <c r="Z240" i="43"/>
  <c r="AW252" i="43"/>
  <c r="AW253" i="43" s="1"/>
  <c r="AN252" i="43"/>
  <c r="AL253" i="43"/>
  <c r="AQ254" i="43"/>
  <c r="AQ257" i="43" s="1"/>
  <c r="Y257" i="43"/>
  <c r="AN260" i="43"/>
  <c r="AV260" i="43" s="1"/>
  <c r="Z277" i="43"/>
  <c r="AP281" i="43"/>
  <c r="AS281" i="43"/>
  <c r="Z281" i="43"/>
  <c r="AB281" i="43"/>
  <c r="AT281" i="43" s="1"/>
  <c r="AX281" i="43"/>
  <c r="AN281" i="43"/>
  <c r="AV281" i="43" s="1"/>
  <c r="AP285" i="43"/>
  <c r="AS285" i="43"/>
  <c r="Z285" i="43"/>
  <c r="AB285" i="43"/>
  <c r="AT285" i="43" s="1"/>
  <c r="AP286" i="43"/>
  <c r="AS286" i="43"/>
  <c r="Z286" i="43"/>
  <c r="AB286" i="43"/>
  <c r="AT286" i="43" s="1"/>
  <c r="AS292" i="43"/>
  <c r="AS293" i="43" s="1"/>
  <c r="AW296" i="43"/>
  <c r="AN296" i="43"/>
  <c r="AV296" i="43" s="1"/>
  <c r="Y311" i="43"/>
  <c r="AQ308" i="43"/>
  <c r="AQ311" i="43" s="1"/>
  <c r="AX308" i="43"/>
  <c r="AX311" i="43" s="1"/>
  <c r="AM311" i="43"/>
  <c r="AN310" i="43"/>
  <c r="AV310" i="43" s="1"/>
  <c r="Z314" i="43"/>
  <c r="AS314" i="43"/>
  <c r="AP314" i="43"/>
  <c r="AB314" i="43"/>
  <c r="AT314" i="43" s="1"/>
  <c r="AQ321" i="43"/>
  <c r="Z321" i="43"/>
  <c r="AB331" i="43"/>
  <c r="AT331" i="43" s="1"/>
  <c r="AS331" i="43"/>
  <c r="AP331" i="43"/>
  <c r="Z331" i="43"/>
  <c r="V344" i="43"/>
  <c r="AA344" i="43" s="1"/>
  <c r="AA350" i="43" s="1"/>
  <c r="AX241" i="43"/>
  <c r="Y462" i="43"/>
  <c r="Y251" i="43"/>
  <c r="AQ245" i="43"/>
  <c r="AB254" i="43"/>
  <c r="V257" i="43"/>
  <c r="AP254" i="43"/>
  <c r="Z254" i="43"/>
  <c r="AE257" i="43"/>
  <c r="Y261" i="43"/>
  <c r="AQ258" i="43"/>
  <c r="AQ261" i="43" s="1"/>
  <c r="AX258" i="43"/>
  <c r="AX261" i="43" s="1"/>
  <c r="AM261" i="43"/>
  <c r="AB269" i="43"/>
  <c r="AT269" i="43" s="1"/>
  <c r="Z269" i="43"/>
  <c r="AP269" i="43"/>
  <c r="AW270" i="43"/>
  <c r="AN270" i="43"/>
  <c r="AV270" i="43" s="1"/>
  <c r="AU272" i="43"/>
  <c r="AE278" i="43"/>
  <c r="AB274" i="43"/>
  <c r="AT274" i="43" s="1"/>
  <c r="AP274" i="43"/>
  <c r="AS274" i="43"/>
  <c r="Z274" i="43"/>
  <c r="Y283" i="43"/>
  <c r="AQ279" i="43"/>
  <c r="AP280" i="43"/>
  <c r="AS280" i="43"/>
  <c r="Z280" i="43"/>
  <c r="AB280" i="43"/>
  <c r="AT280" i="43" s="1"/>
  <c r="AX280" i="43"/>
  <c r="AN280" i="43"/>
  <c r="AV280" i="43" s="1"/>
  <c r="Z312" i="43"/>
  <c r="AP312" i="43"/>
  <c r="AB312" i="43"/>
  <c r="Z315" i="43"/>
  <c r="AS315" i="43"/>
  <c r="Z324" i="43"/>
  <c r="AS324" i="43"/>
  <c r="AP324" i="43"/>
  <c r="AB324" i="43"/>
  <c r="AT324" i="43" s="1"/>
  <c r="AW383" i="43"/>
  <c r="AN383" i="43"/>
  <c r="AV383" i="43" s="1"/>
  <c r="AL385" i="43"/>
  <c r="V12" i="43"/>
  <c r="S460" i="43"/>
  <c r="L27" i="45" s="1"/>
  <c r="AL460" i="43"/>
  <c r="S466" i="43"/>
  <c r="AL466" i="43"/>
  <c r="AM105" i="43"/>
  <c r="AW103" i="43"/>
  <c r="AN103" i="43"/>
  <c r="AV103" i="43" s="1"/>
  <c r="AW106" i="43"/>
  <c r="AX111" i="43"/>
  <c r="AX112" i="43" s="1"/>
  <c r="AE112" i="43"/>
  <c r="Z114" i="43"/>
  <c r="AP114" i="43"/>
  <c r="AW119" i="43"/>
  <c r="AN119" i="43"/>
  <c r="AV119" i="43" s="1"/>
  <c r="AW123" i="43"/>
  <c r="AN123" i="43"/>
  <c r="AV123" i="43" s="1"/>
  <c r="S467" i="43"/>
  <c r="L34" i="45" s="1"/>
  <c r="V125" i="43"/>
  <c r="AA125" i="43" s="1"/>
  <c r="AQ128" i="43"/>
  <c r="Y134" i="43"/>
  <c r="AE468" i="43"/>
  <c r="AU133" i="43"/>
  <c r="AW147" i="43"/>
  <c r="AN147" i="43"/>
  <c r="AL152" i="43"/>
  <c r="AW151" i="43"/>
  <c r="AN151" i="43"/>
  <c r="AV151" i="43" s="1"/>
  <c r="AU157" i="43"/>
  <c r="V169" i="43"/>
  <c r="AP164" i="43"/>
  <c r="Z164" i="43"/>
  <c r="AP165" i="43"/>
  <c r="AS165" i="43"/>
  <c r="Z165" i="43"/>
  <c r="AP166" i="43"/>
  <c r="Z166" i="43"/>
  <c r="AP167" i="43"/>
  <c r="Z167" i="43"/>
  <c r="AP168" i="43"/>
  <c r="AS168" i="43"/>
  <c r="Z168" i="43"/>
  <c r="AX170" i="43"/>
  <c r="AX175" i="43" s="1"/>
  <c r="AM175" i="43"/>
  <c r="AW178" i="43"/>
  <c r="AN178" i="43"/>
  <c r="AV178" i="43" s="1"/>
  <c r="V195" i="43"/>
  <c r="AP190" i="43"/>
  <c r="Z190" i="43"/>
  <c r="AP191" i="43"/>
  <c r="Z191" i="43"/>
  <c r="AP192" i="43"/>
  <c r="AS192" i="43"/>
  <c r="Z192" i="43"/>
  <c r="AP193" i="43"/>
  <c r="AS193" i="43"/>
  <c r="Z193" i="43"/>
  <c r="AP194" i="43"/>
  <c r="AS194" i="43"/>
  <c r="Z194" i="43"/>
  <c r="AX196" i="43"/>
  <c r="AX201" i="43" s="1"/>
  <c r="AM201" i="43"/>
  <c r="AW204" i="43"/>
  <c r="AN204" i="43"/>
  <c r="AV204" i="43" s="1"/>
  <c r="AW227" i="43"/>
  <c r="AN227" i="43"/>
  <c r="AW231" i="43"/>
  <c r="AN231" i="43"/>
  <c r="AV231" i="43" s="1"/>
  <c r="AL232" i="43"/>
  <c r="Y244" i="43"/>
  <c r="AQ239" i="43"/>
  <c r="AM244" i="43"/>
  <c r="AL462" i="43"/>
  <c r="AW245" i="43"/>
  <c r="AN245" i="43"/>
  <c r="AW246" i="43"/>
  <c r="AN246" i="43"/>
  <c r="AV246" i="43" s="1"/>
  <c r="AW247" i="43"/>
  <c r="AN247" i="43"/>
  <c r="AV247" i="43" s="1"/>
  <c r="AW248" i="43"/>
  <c r="AN248" i="43"/>
  <c r="AV248" i="43" s="1"/>
  <c r="AW249" i="43"/>
  <c r="AN249" i="43"/>
  <c r="AV249" i="43" s="1"/>
  <c r="AW250" i="43"/>
  <c r="AN250" i="43"/>
  <c r="AV250" i="43" s="1"/>
  <c r="Z263" i="43"/>
  <c r="AS263" i="43"/>
  <c r="Z265" i="43"/>
  <c r="AS265" i="43"/>
  <c r="AW268" i="43"/>
  <c r="AN268" i="43"/>
  <c r="AL271" i="43"/>
  <c r="AS269" i="43"/>
  <c r="V271" i="43"/>
  <c r="AB272" i="43"/>
  <c r="V278" i="43"/>
  <c r="AP272" i="43"/>
  <c r="Z272" i="43"/>
  <c r="Y463" i="43"/>
  <c r="R30" i="45" s="1"/>
  <c r="AQ273" i="43"/>
  <c r="AQ282" i="43"/>
  <c r="Z282" i="43"/>
  <c r="AU284" i="43"/>
  <c r="AU291" i="43" s="1"/>
  <c r="AE291" i="43"/>
  <c r="V294" i="43"/>
  <c r="AA294" i="43" s="1"/>
  <c r="AA300" i="43" s="1"/>
  <c r="AQ301" i="43"/>
  <c r="Y307" i="43"/>
  <c r="Z301" i="43"/>
  <c r="AB315" i="43"/>
  <c r="AT315" i="43" s="1"/>
  <c r="AP315" i="43"/>
  <c r="Z316" i="43"/>
  <c r="AS316" i="43"/>
  <c r="AP316" i="43"/>
  <c r="AB316" i="43"/>
  <c r="AT316" i="43" s="1"/>
  <c r="V330" i="43"/>
  <c r="AA330" i="43" s="1"/>
  <c r="AA337" i="43" s="1"/>
  <c r="AN338" i="43"/>
  <c r="AM343" i="43"/>
  <c r="Y350" i="43"/>
  <c r="Z349" i="43"/>
  <c r="AS349" i="43"/>
  <c r="AP349" i="43"/>
  <c r="AB349" i="43"/>
  <c r="AT349" i="43" s="1"/>
  <c r="AP352" i="43"/>
  <c r="Z352" i="43"/>
  <c r="AS352" i="43"/>
  <c r="AQ356" i="43"/>
  <c r="AQ362" i="43" s="1"/>
  <c r="Y362" i="43"/>
  <c r="AP364" i="43"/>
  <c r="AS364" i="43"/>
  <c r="Z364" i="43"/>
  <c r="AB364" i="43"/>
  <c r="AT364" i="43" s="1"/>
  <c r="AM461" i="43"/>
  <c r="AM467" i="43"/>
  <c r="AP128" i="43"/>
  <c r="AP129" i="43"/>
  <c r="AS130" i="43"/>
  <c r="AP130" i="43"/>
  <c r="AS131" i="43"/>
  <c r="AP131" i="43"/>
  <c r="AS132" i="43"/>
  <c r="AP132" i="43"/>
  <c r="AL468" i="43"/>
  <c r="AE35" i="45" s="1"/>
  <c r="V134" i="43"/>
  <c r="AP153" i="43"/>
  <c r="AS154" i="43"/>
  <c r="AP154" i="43"/>
  <c r="AP155" i="43"/>
  <c r="AS156" i="43"/>
  <c r="AP156" i="43"/>
  <c r="V157" i="43"/>
  <c r="AP183" i="43"/>
  <c r="AP184" i="43"/>
  <c r="AS185" i="43"/>
  <c r="AP185" i="43"/>
  <c r="AP186" i="43"/>
  <c r="AS187" i="43"/>
  <c r="AP187" i="43"/>
  <c r="AP188" i="43"/>
  <c r="V189" i="43"/>
  <c r="AP209" i="43"/>
  <c r="AP210" i="43"/>
  <c r="AP211" i="43"/>
  <c r="AP212" i="43"/>
  <c r="AS213" i="43"/>
  <c r="AP213" i="43"/>
  <c r="V214" i="43"/>
  <c r="V238" i="43"/>
  <c r="Y238" i="43"/>
  <c r="AP241" i="43"/>
  <c r="AS241" i="43"/>
  <c r="AM462" i="43"/>
  <c r="AF29" i="45" s="1"/>
  <c r="AX245" i="43"/>
  <c r="AM251" i="43"/>
  <c r="AB256" i="43"/>
  <c r="AT256" i="43" s="1"/>
  <c r="AP256" i="43"/>
  <c r="AS256" i="43"/>
  <c r="AW262" i="43"/>
  <c r="AN262" i="43"/>
  <c r="AW263" i="43"/>
  <c r="AN263" i="43"/>
  <c r="AV263" i="43" s="1"/>
  <c r="AW264" i="43"/>
  <c r="AN264" i="43"/>
  <c r="AV264" i="43" s="1"/>
  <c r="AW265" i="43"/>
  <c r="AN265" i="43"/>
  <c r="AV265" i="43" s="1"/>
  <c r="AW266" i="43"/>
  <c r="AN266" i="43"/>
  <c r="AV266" i="43" s="1"/>
  <c r="AQ272" i="43"/>
  <c r="Y278" i="43"/>
  <c r="AE463" i="43"/>
  <c r="AU273" i="43"/>
  <c r="AU463" i="43" s="1"/>
  <c r="AB276" i="43"/>
  <c r="AT276" i="43" s="1"/>
  <c r="AP276" i="43"/>
  <c r="AS276" i="43"/>
  <c r="AP287" i="43"/>
  <c r="AS287" i="43"/>
  <c r="Z287" i="43"/>
  <c r="AB287" i="43"/>
  <c r="AT287" i="43" s="1"/>
  <c r="Z292" i="43"/>
  <c r="V293" i="43"/>
  <c r="AP292" i="43"/>
  <c r="AP293" i="43" s="1"/>
  <c r="AB292" i="43"/>
  <c r="AW292" i="43"/>
  <c r="AW293" i="43" s="1"/>
  <c r="AN292" i="43"/>
  <c r="AL293" i="43"/>
  <c r="AW295" i="43"/>
  <c r="AN295" i="43"/>
  <c r="AV295" i="43" s="1"/>
  <c r="AQ305" i="43"/>
  <c r="Z305" i="43"/>
  <c r="AE326" i="43"/>
  <c r="AU323" i="43"/>
  <c r="AU326" i="43" s="1"/>
  <c r="AB334" i="43"/>
  <c r="AT334" i="43" s="1"/>
  <c r="AS334" i="43"/>
  <c r="AP334" i="43"/>
  <c r="Z334" i="43"/>
  <c r="AB361" i="43"/>
  <c r="AT361" i="43" s="1"/>
  <c r="AP361" i="43"/>
  <c r="AS361" i="43"/>
  <c r="Z361" i="43"/>
  <c r="V369" i="43"/>
  <c r="AA369" i="43" s="1"/>
  <c r="AA375" i="43" s="1"/>
  <c r="AB373" i="43"/>
  <c r="AT373" i="43" s="1"/>
  <c r="Z373" i="43"/>
  <c r="AP373" i="43"/>
  <c r="AS373" i="43"/>
  <c r="AB380" i="43"/>
  <c r="AT380" i="43" s="1"/>
  <c r="AP380" i="43"/>
  <c r="AS380" i="43"/>
  <c r="Z380" i="43"/>
  <c r="AW390" i="43"/>
  <c r="AQ393" i="43"/>
  <c r="AQ399" i="43" s="1"/>
  <c r="Y399" i="43"/>
  <c r="AN397" i="43"/>
  <c r="AV397" i="43" s="1"/>
  <c r="AW397" i="43"/>
  <c r="AL399" i="43"/>
  <c r="AQ406" i="43"/>
  <c r="Z406" i="43"/>
  <c r="AM443" i="43"/>
  <c r="AN437" i="43"/>
  <c r="AX437" i="43"/>
  <c r="AP442" i="43"/>
  <c r="AS442" i="43"/>
  <c r="AB442" i="43"/>
  <c r="AT442" i="43" s="1"/>
  <c r="Z442" i="43"/>
  <c r="AE461" i="43"/>
  <c r="Y467" i="43"/>
  <c r="AE467" i="43"/>
  <c r="AB133" i="43"/>
  <c r="AX239" i="43"/>
  <c r="AP242" i="43"/>
  <c r="S462" i="43"/>
  <c r="AU257" i="43"/>
  <c r="AP259" i="43"/>
  <c r="Z259" i="43"/>
  <c r="AP260" i="43"/>
  <c r="AS260" i="43"/>
  <c r="Z260" i="43"/>
  <c r="AX262" i="43"/>
  <c r="AX267" i="43" s="1"/>
  <c r="AM267" i="43"/>
  <c r="AW269" i="43"/>
  <c r="AN269" i="43"/>
  <c r="AV269" i="43" s="1"/>
  <c r="AB277" i="43"/>
  <c r="AT277" i="43" s="1"/>
  <c r="AP277" i="43"/>
  <c r="AS277" i="43"/>
  <c r="AE283" i="43"/>
  <c r="AU279" i="43"/>
  <c r="AU283" i="43" s="1"/>
  <c r="AP288" i="43"/>
  <c r="AS288" i="43"/>
  <c r="Z288" i="43"/>
  <c r="AB288" i="43"/>
  <c r="AT288" i="43" s="1"/>
  <c r="AX292" i="43"/>
  <c r="AX293" i="43" s="1"/>
  <c r="AM293" i="43"/>
  <c r="AB297" i="43"/>
  <c r="AT297" i="43" s="1"/>
  <c r="Z297" i="43"/>
  <c r="AW299" i="43"/>
  <c r="AN299" i="43"/>
  <c r="AV299" i="43" s="1"/>
  <c r="AQ303" i="43"/>
  <c r="Z303" i="43"/>
  <c r="AW318" i="43"/>
  <c r="AW319" i="43" s="1"/>
  <c r="AN318" i="43"/>
  <c r="AL319" i="43"/>
  <c r="AU320" i="43"/>
  <c r="AU322" i="43" s="1"/>
  <c r="AE322" i="43"/>
  <c r="AS328" i="43"/>
  <c r="AP328" i="43"/>
  <c r="Z328" i="43"/>
  <c r="AB328" i="43"/>
  <c r="AT328" i="43" s="1"/>
  <c r="AE337" i="43"/>
  <c r="AE343" i="43"/>
  <c r="Z345" i="43"/>
  <c r="AS345" i="43"/>
  <c r="AP345" i="43"/>
  <c r="AN346" i="43"/>
  <c r="AV346" i="43" s="1"/>
  <c r="AW346" i="43"/>
  <c r="Z348" i="43"/>
  <c r="AP348" i="43"/>
  <c r="AE350" i="43"/>
  <c r="AB353" i="43"/>
  <c r="AT353" i="43" s="1"/>
  <c r="Z353" i="43"/>
  <c r="AW370" i="43"/>
  <c r="AN370" i="43"/>
  <c r="AV370" i="43" s="1"/>
  <c r="AW374" i="43"/>
  <c r="AN374" i="43"/>
  <c r="AV374" i="43" s="1"/>
  <c r="AB379" i="43"/>
  <c r="AT379" i="43" s="1"/>
  <c r="AP379" i="43"/>
  <c r="AS379" i="43"/>
  <c r="Z379" i="43"/>
  <c r="AW389" i="43"/>
  <c r="AU393" i="43"/>
  <c r="AU399" i="43" s="1"/>
  <c r="AE399" i="43"/>
  <c r="Z396" i="43"/>
  <c r="AS396" i="43"/>
  <c r="AP396" i="43"/>
  <c r="AB396" i="43"/>
  <c r="AT396" i="43" s="1"/>
  <c r="Z417" i="43"/>
  <c r="AS417" i="43"/>
  <c r="AP417" i="43"/>
  <c r="AB417" i="43"/>
  <c r="AT417" i="43" s="1"/>
  <c r="AE462" i="43"/>
  <c r="AE251" i="43"/>
  <c r="AL463" i="43"/>
  <c r="AW297" i="43"/>
  <c r="AN297" i="43"/>
  <c r="AV297" i="43" s="1"/>
  <c r="AW312" i="43"/>
  <c r="AN312" i="43"/>
  <c r="AW313" i="43"/>
  <c r="AN313" i="43"/>
  <c r="AV313" i="43" s="1"/>
  <c r="AW314" i="43"/>
  <c r="AN314" i="43"/>
  <c r="AV314" i="43" s="1"/>
  <c r="AW315" i="43"/>
  <c r="AN315" i="43"/>
  <c r="AV315" i="43" s="1"/>
  <c r="AW316" i="43"/>
  <c r="AN316" i="43"/>
  <c r="AV316" i="43" s="1"/>
  <c r="V326" i="43"/>
  <c r="AP323" i="43"/>
  <c r="Z323" i="43"/>
  <c r="AL326" i="43"/>
  <c r="AQ337" i="43"/>
  <c r="AU337" i="43"/>
  <c r="AB333" i="43"/>
  <c r="AT333" i="43" s="1"/>
  <c r="AS333" i="43"/>
  <c r="AP333" i="43"/>
  <c r="Z333" i="43"/>
  <c r="Y337" i="43"/>
  <c r="AU343" i="43"/>
  <c r="AX342" i="43"/>
  <c r="AX343" i="43" s="1"/>
  <c r="AX344" i="43"/>
  <c r="AM350" i="43"/>
  <c r="Z346" i="43"/>
  <c r="AB346" i="43"/>
  <c r="AT346" i="43" s="1"/>
  <c r="AS346" i="43"/>
  <c r="AB358" i="43"/>
  <c r="AT358" i="43" s="1"/>
  <c r="AP358" i="43"/>
  <c r="AS358" i="43"/>
  <c r="Z358" i="43"/>
  <c r="AW367" i="43"/>
  <c r="AW368" i="43" s="1"/>
  <c r="AN367" i="43"/>
  <c r="AL368" i="43"/>
  <c r="AB371" i="43"/>
  <c r="AT371" i="43" s="1"/>
  <c r="Z371" i="43"/>
  <c r="AP371" i="43"/>
  <c r="AW372" i="43"/>
  <c r="AN372" i="43"/>
  <c r="AV372" i="43" s="1"/>
  <c r="AB376" i="43"/>
  <c r="V381" i="43"/>
  <c r="AP376" i="43"/>
  <c r="Z376" i="43"/>
  <c r="AW384" i="43"/>
  <c r="AN384" i="43"/>
  <c r="AV384" i="43" s="1"/>
  <c r="AP413" i="43"/>
  <c r="AS413" i="43"/>
  <c r="Z413" i="43"/>
  <c r="AB413" i="43"/>
  <c r="AT413" i="43" s="1"/>
  <c r="AP414" i="43"/>
  <c r="AS414" i="43"/>
  <c r="AB414" i="43"/>
  <c r="AT414" i="43" s="1"/>
  <c r="Z414" i="43"/>
  <c r="AS424" i="43"/>
  <c r="AP424" i="43"/>
  <c r="Z424" i="43"/>
  <c r="AB424" i="43"/>
  <c r="AT424" i="43" s="1"/>
  <c r="AP441" i="43"/>
  <c r="AS441" i="43"/>
  <c r="AB441" i="43"/>
  <c r="AT441" i="43" s="1"/>
  <c r="Z441" i="43"/>
  <c r="AB273" i="43"/>
  <c r="AM463" i="43"/>
  <c r="AP282" i="43"/>
  <c r="AS282" i="43"/>
  <c r="AN284" i="43"/>
  <c r="AN285" i="43"/>
  <c r="AV285" i="43" s="1"/>
  <c r="AN286" i="43"/>
  <c r="AV286" i="43" s="1"/>
  <c r="AN287" i="43"/>
  <c r="AV287" i="43" s="1"/>
  <c r="AN288" i="43"/>
  <c r="AV288" i="43" s="1"/>
  <c r="AN289" i="43"/>
  <c r="AV289" i="43" s="1"/>
  <c r="AN290" i="43"/>
  <c r="AV290" i="43" s="1"/>
  <c r="AW294" i="43"/>
  <c r="AN294" i="43"/>
  <c r="AL300" i="43"/>
  <c r="AP295" i="43"/>
  <c r="AW298" i="43"/>
  <c r="AN298" i="43"/>
  <c r="AV298" i="43" s="1"/>
  <c r="AP299" i="43"/>
  <c r="V311" i="43"/>
  <c r="AP308" i="43"/>
  <c r="Z308" i="43"/>
  <c r="AP309" i="43"/>
  <c r="Z309" i="43"/>
  <c r="AP310" i="43"/>
  <c r="Z310" i="43"/>
  <c r="AX312" i="43"/>
  <c r="AX317" i="43" s="1"/>
  <c r="AM317" i="43"/>
  <c r="AQ320" i="43"/>
  <c r="Y322" i="43"/>
  <c r="AQ323" i="43"/>
  <c r="AQ326" i="43" s="1"/>
  <c r="Y326" i="43"/>
  <c r="AX323" i="43"/>
  <c r="AX326" i="43" s="1"/>
  <c r="AM326" i="43"/>
  <c r="Z325" i="43"/>
  <c r="AB325" i="43"/>
  <c r="AT325" i="43" s="1"/>
  <c r="AW325" i="43"/>
  <c r="AW326" i="43" s="1"/>
  <c r="AB332" i="43"/>
  <c r="AT332" i="43" s="1"/>
  <c r="AS332" i="43"/>
  <c r="AP332" i="43"/>
  <c r="Z332" i="43"/>
  <c r="AB336" i="43"/>
  <c r="AT336" i="43" s="1"/>
  <c r="AS336" i="43"/>
  <c r="AP336" i="43"/>
  <c r="Z336" i="43"/>
  <c r="AP340" i="43"/>
  <c r="AS340" i="43"/>
  <c r="AB340" i="43"/>
  <c r="AT340" i="43" s="1"/>
  <c r="Z340" i="43"/>
  <c r="AP341" i="43"/>
  <c r="Z341" i="43"/>
  <c r="AN344" i="43"/>
  <c r="AP346" i="43"/>
  <c r="V355" i="43"/>
  <c r="AP351" i="43"/>
  <c r="Z351" i="43"/>
  <c r="AW352" i="43"/>
  <c r="AN352" i="43"/>
  <c r="AV352" i="43" s="1"/>
  <c r="AW353" i="43"/>
  <c r="AN353" i="43"/>
  <c r="AV353" i="43" s="1"/>
  <c r="AB357" i="43"/>
  <c r="AT357" i="43" s="1"/>
  <c r="AP357" i="43"/>
  <c r="AS357" i="43"/>
  <c r="Z357" i="43"/>
  <c r="AP365" i="43"/>
  <c r="AS365" i="43"/>
  <c r="Z365" i="43"/>
  <c r="AB365" i="43"/>
  <c r="AT365" i="43" s="1"/>
  <c r="AX367" i="43"/>
  <c r="AX368" i="43" s="1"/>
  <c r="AM368" i="43"/>
  <c r="AX381" i="43"/>
  <c r="AE385" i="43"/>
  <c r="AU382" i="43"/>
  <c r="AU385" i="43" s="1"/>
  <c r="AL392" i="43"/>
  <c r="AN386" i="43"/>
  <c r="AW386" i="43"/>
  <c r="V399" i="43"/>
  <c r="Y415" i="43"/>
  <c r="AQ409" i="43"/>
  <c r="AN409" i="43"/>
  <c r="AM415" i="43"/>
  <c r="AX409" i="43"/>
  <c r="AW417" i="43"/>
  <c r="AN417" i="43"/>
  <c r="AV417" i="43" s="1"/>
  <c r="Z418" i="43"/>
  <c r="AB418" i="43"/>
  <c r="AT418" i="43" s="1"/>
  <c r="AP418" i="43"/>
  <c r="AS418" i="43"/>
  <c r="AL422" i="43"/>
  <c r="AB434" i="43"/>
  <c r="AT434" i="43" s="1"/>
  <c r="AS434" i="43"/>
  <c r="AP434" i="43"/>
  <c r="Z434" i="43"/>
  <c r="AP301" i="43"/>
  <c r="AP302" i="43"/>
  <c r="AS303" i="43"/>
  <c r="AP303" i="43"/>
  <c r="AS304" i="43"/>
  <c r="AP304" i="43"/>
  <c r="AP305" i="43"/>
  <c r="AS306" i="43"/>
  <c r="AP306" i="43"/>
  <c r="V307" i="43"/>
  <c r="AS321" i="43"/>
  <c r="AP321" i="43"/>
  <c r="AW327" i="43"/>
  <c r="AN327" i="43"/>
  <c r="AW330" i="43"/>
  <c r="V343" i="43"/>
  <c r="AP338" i="43"/>
  <c r="AP342" i="43"/>
  <c r="AS342" i="43"/>
  <c r="AL350" i="43"/>
  <c r="AS354" i="43"/>
  <c r="AW354" i="43"/>
  <c r="AN354" i="43"/>
  <c r="AV354" i="43" s="1"/>
  <c r="AU362" i="43"/>
  <c r="AB359" i="43"/>
  <c r="AT359" i="43" s="1"/>
  <c r="AP359" i="43"/>
  <c r="AS359" i="43"/>
  <c r="AS370" i="43"/>
  <c r="AS374" i="43"/>
  <c r="AQ376" i="43"/>
  <c r="AQ381" i="43" s="1"/>
  <c r="Y381" i="43"/>
  <c r="AB377" i="43"/>
  <c r="AT377" i="43" s="1"/>
  <c r="AP377" i="43"/>
  <c r="AS377" i="43"/>
  <c r="AP382" i="43"/>
  <c r="Z382" i="43"/>
  <c r="AW388" i="43"/>
  <c r="Z395" i="43"/>
  <c r="AP395" i="43"/>
  <c r="AB395" i="43"/>
  <c r="AT395" i="43" s="1"/>
  <c r="AS395" i="43"/>
  <c r="AW400" i="43"/>
  <c r="AN400" i="43"/>
  <c r="AL402" i="43"/>
  <c r="AX416" i="43"/>
  <c r="AX422" i="43" s="1"/>
  <c r="AM422" i="43"/>
  <c r="AN416" i="43"/>
  <c r="Z419" i="43"/>
  <c r="AP419" i="43"/>
  <c r="AB419" i="43"/>
  <c r="AT419" i="43" s="1"/>
  <c r="AS419" i="43"/>
  <c r="AS451" i="43"/>
  <c r="AB451" i="43"/>
  <c r="AT451" i="43" s="1"/>
  <c r="Z451" i="43"/>
  <c r="V452" i="43"/>
  <c r="AP451" i="43"/>
  <c r="AM329" i="43"/>
  <c r="AW328" i="43"/>
  <c r="AN328" i="43"/>
  <c r="AV328" i="43" s="1"/>
  <c r="AL329" i="43"/>
  <c r="Y343" i="43"/>
  <c r="AP339" i="43"/>
  <c r="AQ344" i="43"/>
  <c r="AQ350" i="43" s="1"/>
  <c r="Z347" i="43"/>
  <c r="AP347" i="43"/>
  <c r="AW351" i="43"/>
  <c r="AN351" i="43"/>
  <c r="V356" i="43"/>
  <c r="AA356" i="43" s="1"/>
  <c r="AA362" i="43" s="1"/>
  <c r="AB360" i="43"/>
  <c r="AT360" i="43" s="1"/>
  <c r="AP360" i="43"/>
  <c r="AS360" i="43"/>
  <c r="AE362" i="43"/>
  <c r="AW369" i="43"/>
  <c r="AN369" i="43"/>
  <c r="AL375" i="43"/>
  <c r="AW371" i="43"/>
  <c r="AN371" i="43"/>
  <c r="AV371" i="43" s="1"/>
  <c r="AW373" i="43"/>
  <c r="AN373" i="43"/>
  <c r="AV373" i="43" s="1"/>
  <c r="AB378" i="43"/>
  <c r="AT378" i="43" s="1"/>
  <c r="AP378" i="43"/>
  <c r="AS378" i="43"/>
  <c r="AQ382" i="43"/>
  <c r="AQ385" i="43" s="1"/>
  <c r="Y385" i="43"/>
  <c r="AM385" i="43"/>
  <c r="AX382" i="43"/>
  <c r="AX385" i="43" s="1"/>
  <c r="AP384" i="43"/>
  <c r="AW387" i="43"/>
  <c r="AW391" i="43"/>
  <c r="AP393" i="43"/>
  <c r="AB393" i="43"/>
  <c r="Z393" i="43"/>
  <c r="AN418" i="43"/>
  <c r="AV418" i="43" s="1"/>
  <c r="AW418" i="43"/>
  <c r="AW425" i="43"/>
  <c r="AN425" i="43"/>
  <c r="AV425" i="43" s="1"/>
  <c r="V392" i="43"/>
  <c r="Z394" i="43"/>
  <c r="AP394" i="43"/>
  <c r="AB394" i="43"/>
  <c r="AT394" i="43" s="1"/>
  <c r="Z397" i="43"/>
  <c r="AB397" i="43"/>
  <c r="AT397" i="43" s="1"/>
  <c r="AS397" i="43"/>
  <c r="AM399" i="43"/>
  <c r="V400" i="43"/>
  <c r="AA400" i="43" s="1"/>
  <c r="AA402" i="43" s="1"/>
  <c r="Y408" i="43"/>
  <c r="AQ403" i="43"/>
  <c r="AL408" i="43"/>
  <c r="AN403" i="43"/>
  <c r="AN406" i="43"/>
  <c r="AV406" i="43" s="1"/>
  <c r="AW406" i="43"/>
  <c r="AW426" i="43"/>
  <c r="AN426" i="43"/>
  <c r="AV426" i="43" s="1"/>
  <c r="AS428" i="43"/>
  <c r="AP428" i="43"/>
  <c r="Z428" i="43"/>
  <c r="AB428" i="43"/>
  <c r="AT428" i="43" s="1"/>
  <c r="AB431" i="43"/>
  <c r="AT431" i="43" s="1"/>
  <c r="AS431" i="43"/>
  <c r="AP431" i="43"/>
  <c r="Z431" i="43"/>
  <c r="AW443" i="43"/>
  <c r="AW382" i="43"/>
  <c r="AN382" i="43"/>
  <c r="AU386" i="43"/>
  <c r="AU392" i="43" s="1"/>
  <c r="AW394" i="43"/>
  <c r="AN395" i="43"/>
  <c r="AV395" i="43" s="1"/>
  <c r="AP397" i="43"/>
  <c r="Z398" i="43"/>
  <c r="AP398" i="43"/>
  <c r="AB398" i="43"/>
  <c r="AT398" i="43" s="1"/>
  <c r="AN398" i="43"/>
  <c r="AV398" i="43" s="1"/>
  <c r="AB401" i="43"/>
  <c r="AT401" i="43" s="1"/>
  <c r="AS401" i="43"/>
  <c r="AP401" i="43"/>
  <c r="AW403" i="43"/>
  <c r="Z404" i="43"/>
  <c r="AN404" i="43"/>
  <c r="AV404" i="43" s="1"/>
  <c r="AW404" i="43"/>
  <c r="AU422" i="43"/>
  <c r="Z420" i="43"/>
  <c r="AP420" i="43"/>
  <c r="AN421" i="43"/>
  <c r="AV421" i="43" s="1"/>
  <c r="AW421" i="43"/>
  <c r="V430" i="43"/>
  <c r="AA430" i="43" s="1"/>
  <c r="AA436" i="43" s="1"/>
  <c r="AB435" i="43"/>
  <c r="AT435" i="43" s="1"/>
  <c r="AS435" i="43"/>
  <c r="AP435" i="43"/>
  <c r="Z435" i="43"/>
  <c r="Z438" i="43"/>
  <c r="AU449" i="43"/>
  <c r="AW401" i="43"/>
  <c r="AN401" i="43"/>
  <c r="AV401" i="43" s="1"/>
  <c r="AP410" i="43"/>
  <c r="AS410" i="43"/>
  <c r="Z421" i="43"/>
  <c r="AB421" i="43"/>
  <c r="AT421" i="43" s="1"/>
  <c r="AS421" i="43"/>
  <c r="AB423" i="43"/>
  <c r="AP423" i="43"/>
  <c r="AX429" i="43"/>
  <c r="AP426" i="43"/>
  <c r="AQ436" i="43"/>
  <c r="AB433" i="43"/>
  <c r="AT433" i="43" s="1"/>
  <c r="AS433" i="43"/>
  <c r="AP433" i="43"/>
  <c r="Z433" i="43"/>
  <c r="AT437" i="43"/>
  <c r="AN439" i="43"/>
  <c r="AV439" i="43" s="1"/>
  <c r="AX439" i="43"/>
  <c r="AN445" i="43"/>
  <c r="AV445" i="43" s="1"/>
  <c r="AW445" i="43"/>
  <c r="V403" i="43"/>
  <c r="AA403" i="43" s="1"/>
  <c r="AA408" i="43" s="1"/>
  <c r="Z405" i="43"/>
  <c r="Z407" i="43"/>
  <c r="AP412" i="43"/>
  <c r="AS412" i="43"/>
  <c r="AB412" i="43"/>
  <c r="V416" i="43"/>
  <c r="AA416" i="43" s="1"/>
  <c r="AA422" i="43" s="1"/>
  <c r="AE422" i="43"/>
  <c r="AN419" i="43"/>
  <c r="AV419" i="43" s="1"/>
  <c r="AP421" i="43"/>
  <c r="V425" i="43"/>
  <c r="AA425" i="43" s="1"/>
  <c r="AA429" i="43" s="1"/>
  <c r="AB427" i="43"/>
  <c r="AT427" i="43" s="1"/>
  <c r="AS427" i="43"/>
  <c r="AP427" i="43"/>
  <c r="AB432" i="43"/>
  <c r="AT432" i="43" s="1"/>
  <c r="AS432" i="43"/>
  <c r="AP432" i="43"/>
  <c r="Z432" i="43"/>
  <c r="Y436" i="43"/>
  <c r="AP440" i="43"/>
  <c r="AS440" i="43"/>
  <c r="AB440" i="43"/>
  <c r="AT440" i="43" s="1"/>
  <c r="Z440" i="43"/>
  <c r="AQ444" i="43"/>
  <c r="AQ449" i="43" s="1"/>
  <c r="Y449" i="43"/>
  <c r="V445" i="43"/>
  <c r="AA445" i="43" s="1"/>
  <c r="AA449" i="43" s="1"/>
  <c r="AP450" i="43"/>
  <c r="Z450" i="43"/>
  <c r="AB450" i="43"/>
  <c r="AP411" i="43"/>
  <c r="AQ416" i="43"/>
  <c r="AQ422" i="43" s="1"/>
  <c r="AW423" i="43"/>
  <c r="AN423" i="43"/>
  <c r="AW427" i="43"/>
  <c r="AN427" i="43"/>
  <c r="AV427" i="43" s="1"/>
  <c r="AW430" i="43"/>
  <c r="V443" i="43"/>
  <c r="AP437" i="43"/>
  <c r="AE443" i="43"/>
  <c r="AU437" i="43"/>
  <c r="AU443" i="43" s="1"/>
  <c r="AW446" i="43"/>
  <c r="AN446" i="43"/>
  <c r="AV446" i="43" s="1"/>
  <c r="AE449" i="43"/>
  <c r="AM429" i="43"/>
  <c r="AW424" i="43"/>
  <c r="AN424" i="43"/>
  <c r="AV424" i="43" s="1"/>
  <c r="AW428" i="43"/>
  <c r="AN428" i="43"/>
  <c r="AV428" i="43" s="1"/>
  <c r="AL429" i="43"/>
  <c r="Y443" i="43"/>
  <c r="AP438" i="43"/>
  <c r="AS438" i="43"/>
  <c r="AB438" i="43"/>
  <c r="AT438" i="43" s="1"/>
  <c r="AP439" i="43"/>
  <c r="AS439" i="43"/>
  <c r="Z446" i="43"/>
  <c r="AB446" i="43"/>
  <c r="AT446" i="43" s="1"/>
  <c r="Z447" i="43"/>
  <c r="AB447" i="43"/>
  <c r="AT447" i="43" s="1"/>
  <c r="AP447" i="43"/>
  <c r="AW450" i="43"/>
  <c r="AN450" i="43"/>
  <c r="AL452" i="43"/>
  <c r="U459" i="43"/>
  <c r="Z444" i="43"/>
  <c r="AB444" i="43"/>
  <c r="AL449" i="43"/>
  <c r="Z448" i="43"/>
  <c r="AB448" i="43"/>
  <c r="AT448" i="43" s="1"/>
  <c r="AN441" i="43"/>
  <c r="AV441" i="43" s="1"/>
  <c r="AM452" i="43"/>
  <c r="AW451" i="43"/>
  <c r="AN451" i="43"/>
  <c r="AV451" i="43" s="1"/>
  <c r="P457" i="43"/>
  <c r="R29" i="45" l="1"/>
  <c r="R35" i="45"/>
  <c r="L36" i="45"/>
  <c r="AE29" i="45"/>
  <c r="AE30" i="45"/>
  <c r="AF36" i="45"/>
  <c r="AF35" i="45"/>
  <c r="AF30" i="45"/>
  <c r="L29" i="45"/>
  <c r="AF34" i="45"/>
  <c r="AE33" i="45"/>
  <c r="R28" i="45"/>
  <c r="AF28" i="45"/>
  <c r="X33" i="45"/>
  <c r="X36" i="45"/>
  <c r="R34" i="45"/>
  <c r="L33" i="45"/>
  <c r="L35" i="45"/>
  <c r="L30" i="45"/>
  <c r="AE28" i="45"/>
  <c r="AE34" i="45"/>
  <c r="AE36" i="45"/>
  <c r="X28" i="45"/>
  <c r="X35" i="45"/>
  <c r="X29" i="45"/>
  <c r="X34" i="45"/>
  <c r="X30" i="45"/>
  <c r="AF27" i="45"/>
  <c r="AE27" i="45"/>
  <c r="R27" i="45"/>
  <c r="X27" i="45"/>
  <c r="AQ57" i="43"/>
  <c r="AT101" i="43"/>
  <c r="AT30" i="43"/>
  <c r="AB83" i="43"/>
  <c r="AB101" i="43"/>
  <c r="AA127" i="43"/>
  <c r="AB30" i="43"/>
  <c r="V80" i="43"/>
  <c r="V220" i="43"/>
  <c r="AA215" i="43"/>
  <c r="AA220" i="43" s="1"/>
  <c r="C26" i="45"/>
  <c r="AS388" i="43"/>
  <c r="AS392" i="43" s="1"/>
  <c r="AB53" i="43"/>
  <c r="AB61" i="43"/>
  <c r="AS116" i="43"/>
  <c r="AS120" i="43" s="1"/>
  <c r="AT53" i="43"/>
  <c r="AB18" i="43"/>
  <c r="AT169" i="43"/>
  <c r="AT14" i="43"/>
  <c r="AT18" i="43" s="1"/>
  <c r="AP115" i="43"/>
  <c r="AB169" i="43"/>
  <c r="AT195" i="43"/>
  <c r="AT83" i="43"/>
  <c r="AT27" i="43"/>
  <c r="AB195" i="43"/>
  <c r="AT189" i="43"/>
  <c r="AT311" i="43"/>
  <c r="AS71" i="43"/>
  <c r="AB27" i="43"/>
  <c r="AT40" i="43"/>
  <c r="AS318" i="43"/>
  <c r="AS319" i="43" s="1"/>
  <c r="AB311" i="43"/>
  <c r="AP40" i="43"/>
  <c r="AT61" i="43"/>
  <c r="V317" i="43"/>
  <c r="Z383" i="43"/>
  <c r="Z385" i="43" s="1"/>
  <c r="AS383" i="43"/>
  <c r="Z279" i="43"/>
  <c r="Z283" i="43" s="1"/>
  <c r="Z135" i="43"/>
  <c r="Z140" i="43" s="1"/>
  <c r="V47" i="43"/>
  <c r="AB258" i="43"/>
  <c r="AT258" i="43" s="1"/>
  <c r="AT261" i="43" s="1"/>
  <c r="AB31" i="43"/>
  <c r="AT31" i="43" s="1"/>
  <c r="AT34" i="43" s="1"/>
  <c r="AB367" i="43"/>
  <c r="AB368" i="43" s="1"/>
  <c r="AB239" i="43"/>
  <c r="AB48" i="43"/>
  <c r="AB50" i="43" s="1"/>
  <c r="AP215" i="43"/>
  <c r="AP220" i="43" s="1"/>
  <c r="AB35" i="43"/>
  <c r="AT35" i="43" s="1"/>
  <c r="AT37" i="43" s="1"/>
  <c r="Z88" i="43"/>
  <c r="AP91" i="43"/>
  <c r="AP94" i="43" s="1"/>
  <c r="AB141" i="43"/>
  <c r="AB146" i="43" s="1"/>
  <c r="AP110" i="43"/>
  <c r="AP112" i="43" s="1"/>
  <c r="V163" i="43"/>
  <c r="Z78" i="43"/>
  <c r="Z80" i="43" s="1"/>
  <c r="Z62" i="43"/>
  <c r="Z65" i="43" s="1"/>
  <c r="AB409" i="43"/>
  <c r="AT409" i="43" s="1"/>
  <c r="Z284" i="43"/>
  <c r="Z291" i="43" s="1"/>
  <c r="Z320" i="43"/>
  <c r="Z322" i="43" s="1"/>
  <c r="AB74" i="43"/>
  <c r="AB77" i="43" s="1"/>
  <c r="V429" i="43"/>
  <c r="V366" i="43"/>
  <c r="V468" i="43"/>
  <c r="V329" i="43"/>
  <c r="AP221" i="43"/>
  <c r="AP226" i="43" s="1"/>
  <c r="AP409" i="43"/>
  <c r="AP415" i="43" s="1"/>
  <c r="I132" i="44"/>
  <c r="I458" i="43"/>
  <c r="N26" i="45"/>
  <c r="J26" i="45"/>
  <c r="F26" i="45"/>
  <c r="V26" i="45"/>
  <c r="D26" i="45"/>
  <c r="AB26" i="45"/>
  <c r="I26" i="45"/>
  <c r="B26" i="45"/>
  <c r="K26" i="45"/>
  <c r="Q26" i="45"/>
  <c r="AM131" i="44"/>
  <c r="S131" i="44"/>
  <c r="Y131" i="44"/>
  <c r="AL131" i="44"/>
  <c r="AN106" i="44"/>
  <c r="Z49" i="44"/>
  <c r="Z55" i="44" s="1"/>
  <c r="G26" i="45"/>
  <c r="M26" i="45"/>
  <c r="AD26" i="45"/>
  <c r="H26" i="45"/>
  <c r="P26" i="45"/>
  <c r="AB307" i="43"/>
  <c r="V146" i="43"/>
  <c r="AB78" i="43"/>
  <c r="AB80" i="43" s="1"/>
  <c r="W26" i="45"/>
  <c r="S457" i="43"/>
  <c r="AE131" i="44"/>
  <c r="Y132" i="44"/>
  <c r="AL132" i="44"/>
  <c r="AM132" i="44"/>
  <c r="AE132" i="44"/>
  <c r="V368" i="43"/>
  <c r="AF28" i="43"/>
  <c r="AO28" i="43" s="1"/>
  <c r="Y457" i="43"/>
  <c r="Y458" i="43"/>
  <c r="AF12" i="44"/>
  <c r="AF114" i="43"/>
  <c r="AO114" i="43" s="1"/>
  <c r="AS129" i="44"/>
  <c r="AS100" i="44"/>
  <c r="AS69" i="44"/>
  <c r="AS41" i="44"/>
  <c r="V104" i="44"/>
  <c r="AN114" i="44"/>
  <c r="AN100" i="44"/>
  <c r="AV142" i="44"/>
  <c r="AF65" i="44"/>
  <c r="AO65" i="44" s="1"/>
  <c r="AB215" i="43"/>
  <c r="AB220" i="43" s="1"/>
  <c r="AB57" i="43"/>
  <c r="AT94" i="44"/>
  <c r="AP320" i="43"/>
  <c r="AP322" i="43" s="1"/>
  <c r="Y456" i="43"/>
  <c r="R13" i="45" s="1"/>
  <c r="AE456" i="43"/>
  <c r="X13" i="45" s="1"/>
  <c r="AM456" i="43"/>
  <c r="AF13" i="45" s="1"/>
  <c r="AL456" i="43"/>
  <c r="AE13" i="45" s="1"/>
  <c r="S456" i="43"/>
  <c r="L13" i="45" s="1"/>
  <c r="P458" i="43"/>
  <c r="AF82" i="43"/>
  <c r="AO82" i="43" s="1"/>
  <c r="Z363" i="43"/>
  <c r="Z366" i="43" s="1"/>
  <c r="AB320" i="43"/>
  <c r="AT320" i="43" s="1"/>
  <c r="AT322" i="43" s="1"/>
  <c r="AB94" i="44"/>
  <c r="AA26" i="44"/>
  <c r="AS26" i="44" s="1"/>
  <c r="AP42" i="44"/>
  <c r="AP48" i="44" s="1"/>
  <c r="AB26" i="44"/>
  <c r="AT26" i="44" s="1"/>
  <c r="AF67" i="44"/>
  <c r="AO67" i="44" s="1"/>
  <c r="AA49" i="44"/>
  <c r="AA55" i="44" s="1"/>
  <c r="AB49" i="44"/>
  <c r="AT49" i="44" s="1"/>
  <c r="AT55" i="44" s="1"/>
  <c r="AF39" i="44"/>
  <c r="AO39" i="44" s="1"/>
  <c r="AX18" i="44"/>
  <c r="AF64" i="44"/>
  <c r="AO64" i="44" s="1"/>
  <c r="Z409" i="43"/>
  <c r="Z415" i="43" s="1"/>
  <c r="V415" i="43"/>
  <c r="V283" i="43"/>
  <c r="Z258" i="43"/>
  <c r="Z261" i="43" s="1"/>
  <c r="AV76" i="44"/>
  <c r="AX142" i="44"/>
  <c r="AF99" i="44"/>
  <c r="AO99" i="44" s="1"/>
  <c r="AP100" i="44"/>
  <c r="AP49" i="44"/>
  <c r="AP55" i="44" s="1"/>
  <c r="AF96" i="44"/>
  <c r="AO96" i="44" s="1"/>
  <c r="AN76" i="44"/>
  <c r="AP141" i="43"/>
  <c r="AP146" i="43" s="1"/>
  <c r="AP78" i="43"/>
  <c r="AP80" i="43" s="1"/>
  <c r="AQ468" i="43"/>
  <c r="AQ375" i="43"/>
  <c r="AW195" i="43"/>
  <c r="AP88" i="43"/>
  <c r="AP90" i="43" s="1"/>
  <c r="AP383" i="43"/>
  <c r="AP385" i="43" s="1"/>
  <c r="AP239" i="43"/>
  <c r="AP244" i="43" s="1"/>
  <c r="Z158" i="43"/>
  <c r="Z163" i="43" s="1"/>
  <c r="AQ300" i="43"/>
  <c r="AP83" i="43"/>
  <c r="AW163" i="43"/>
  <c r="AN47" i="43"/>
  <c r="AF102" i="44"/>
  <c r="AO102" i="44" s="1"/>
  <c r="AF92" i="44"/>
  <c r="AO92" i="44" s="1"/>
  <c r="AF37" i="44"/>
  <c r="AO37" i="44" s="1"/>
  <c r="AF110" i="44"/>
  <c r="AO110" i="44" s="1"/>
  <c r="AF81" i="44"/>
  <c r="AO81" i="44" s="1"/>
  <c r="AF124" i="44"/>
  <c r="AO124" i="44" s="1"/>
  <c r="AV34" i="43"/>
  <c r="AB88" i="43"/>
  <c r="AB90" i="43" s="1"/>
  <c r="AP158" i="43"/>
  <c r="AP163" i="43" s="1"/>
  <c r="AF81" i="43"/>
  <c r="AO81" i="43" s="1"/>
  <c r="V90" i="43"/>
  <c r="AF296" i="43"/>
  <c r="AO296" i="43" s="1"/>
  <c r="AB221" i="43"/>
  <c r="AT221" i="43" s="1"/>
  <c r="AT226" i="43" s="1"/>
  <c r="AW40" i="43"/>
  <c r="AP31" i="43"/>
  <c r="AP34" i="43" s="1"/>
  <c r="AB158" i="43"/>
  <c r="AB163" i="43" s="1"/>
  <c r="Z105" i="43"/>
  <c r="AF67" i="43"/>
  <c r="AO67" i="43" s="1"/>
  <c r="AF26" i="43"/>
  <c r="AO26" i="43" s="1"/>
  <c r="AQ278" i="43"/>
  <c r="AN112" i="43"/>
  <c r="Z271" i="43"/>
  <c r="AW350" i="43"/>
  <c r="AF222" i="43"/>
  <c r="AO222" i="43" s="1"/>
  <c r="V244" i="43"/>
  <c r="V44" i="43"/>
  <c r="AB279" i="43"/>
  <c r="AT279" i="43" s="1"/>
  <c r="AT283" i="43" s="1"/>
  <c r="AP182" i="43"/>
  <c r="AW381" i="43"/>
  <c r="AV110" i="43"/>
  <c r="AV112" i="43" s="1"/>
  <c r="AP326" i="43"/>
  <c r="AF388" i="43"/>
  <c r="AO388" i="43" s="1"/>
  <c r="Z239" i="43"/>
  <c r="Z244" i="43" s="1"/>
  <c r="AP41" i="43"/>
  <c r="AP44" i="43" s="1"/>
  <c r="AW83" i="43"/>
  <c r="AN109" i="43"/>
  <c r="AT271" i="43"/>
  <c r="AX463" i="43"/>
  <c r="AQ30" i="45" s="1"/>
  <c r="AW278" i="43"/>
  <c r="AF236" i="43"/>
  <c r="AO236" i="43" s="1"/>
  <c r="AV18" i="43"/>
  <c r="AW169" i="43"/>
  <c r="AF38" i="43"/>
  <c r="AP279" i="43"/>
  <c r="AP283" i="43" s="1"/>
  <c r="AW311" i="43"/>
  <c r="AX214" i="43"/>
  <c r="Z57" i="43"/>
  <c r="AE458" i="43"/>
  <c r="AW90" i="44"/>
  <c r="AU468" i="43"/>
  <c r="AN35" i="45" s="1"/>
  <c r="V466" i="43"/>
  <c r="O33" i="45" s="1"/>
  <c r="Z215" i="43"/>
  <c r="V34" i="43"/>
  <c r="AX469" i="43"/>
  <c r="AQ36" i="45" s="1"/>
  <c r="AB91" i="43"/>
  <c r="AT91" i="43" s="1"/>
  <c r="AT94" i="43" s="1"/>
  <c r="AF389" i="43"/>
  <c r="AO389" i="43" s="1"/>
  <c r="AV220" i="43"/>
  <c r="Z238" i="43"/>
  <c r="AF387" i="43"/>
  <c r="AO387" i="43" s="1"/>
  <c r="AF21" i="43"/>
  <c r="AO21" i="43" s="1"/>
  <c r="AF228" i="43"/>
  <c r="AO228" i="43" s="1"/>
  <c r="AW244" i="43"/>
  <c r="AP367" i="43"/>
  <c r="AP368" i="43" s="1"/>
  <c r="AB284" i="43"/>
  <c r="AT284" i="43" s="1"/>
  <c r="AT291" i="43" s="1"/>
  <c r="V291" i="43"/>
  <c r="Z31" i="43"/>
  <c r="Z45" i="43"/>
  <c r="Z47" i="43" s="1"/>
  <c r="AF233" i="43"/>
  <c r="AO233" i="43" s="1"/>
  <c r="AF19" i="43"/>
  <c r="AO19" i="43" s="1"/>
  <c r="AN101" i="43"/>
  <c r="AV90" i="43"/>
  <c r="AF24" i="43"/>
  <c r="AO24" i="43" s="1"/>
  <c r="AN244" i="43"/>
  <c r="V322" i="43"/>
  <c r="AQ415" i="43"/>
  <c r="AP284" i="43"/>
  <c r="AP291" i="43" s="1"/>
  <c r="V385" i="43"/>
  <c r="AB383" i="43"/>
  <c r="AT383" i="43" s="1"/>
  <c r="AT385" i="43" s="1"/>
  <c r="AF128" i="43"/>
  <c r="AO128" i="43" s="1"/>
  <c r="V112" i="43"/>
  <c r="AF89" i="43"/>
  <c r="AO89" i="43" s="1"/>
  <c r="AT98" i="43"/>
  <c r="AP74" i="43"/>
  <c r="AP77" i="43" s="1"/>
  <c r="AN257" i="43"/>
  <c r="AP53" i="43"/>
  <c r="AV77" i="43"/>
  <c r="AF39" i="43"/>
  <c r="AO39" i="43" s="1"/>
  <c r="AV214" i="43"/>
  <c r="AF404" i="43"/>
  <c r="AO404" i="43" s="1"/>
  <c r="AX415" i="43"/>
  <c r="AW109" i="43"/>
  <c r="V87" i="43"/>
  <c r="AF386" i="43"/>
  <c r="AO386" i="43" s="1"/>
  <c r="V65" i="43"/>
  <c r="AB189" i="43"/>
  <c r="AP135" i="43"/>
  <c r="AP140" i="43" s="1"/>
  <c r="AV99" i="43"/>
  <c r="AV101" i="43" s="1"/>
  <c r="AS45" i="43"/>
  <c r="AS47" i="43" s="1"/>
  <c r="AF426" i="43"/>
  <c r="AO426" i="43" s="1"/>
  <c r="AW73" i="43"/>
  <c r="AF345" i="43"/>
  <c r="AO345" i="43" s="1"/>
  <c r="AB157" i="43"/>
  <c r="AF92" i="43"/>
  <c r="AO92" i="43" s="1"/>
  <c r="V77" i="43"/>
  <c r="AN18" i="43"/>
  <c r="AP48" i="43"/>
  <c r="AP50" i="43" s="1"/>
  <c r="AF310" i="43"/>
  <c r="AO310" i="43" s="1"/>
  <c r="AF259" i="43"/>
  <c r="AO259" i="43" s="1"/>
  <c r="AF318" i="43"/>
  <c r="AO318" i="43" s="1"/>
  <c r="AO319" i="43" s="1"/>
  <c r="AF144" i="43"/>
  <c r="AO144" i="43" s="1"/>
  <c r="AP271" i="43"/>
  <c r="V226" i="43"/>
  <c r="AP84" i="43"/>
  <c r="AP87" i="43" s="1"/>
  <c r="AF96" i="43"/>
  <c r="AO96" i="43" s="1"/>
  <c r="AP62" i="43"/>
  <c r="AP65" i="43" s="1"/>
  <c r="AF148" i="43"/>
  <c r="AO148" i="43" s="1"/>
  <c r="AB135" i="43"/>
  <c r="AT135" i="43" s="1"/>
  <c r="AT140" i="43" s="1"/>
  <c r="V140" i="43"/>
  <c r="Z74" i="43"/>
  <c r="AB45" i="43"/>
  <c r="AB47" i="43" s="1"/>
  <c r="AF33" i="43"/>
  <c r="AO33" i="43" s="1"/>
  <c r="AN13" i="43"/>
  <c r="AV239" i="43"/>
  <c r="AV244" i="43" s="1"/>
  <c r="AN214" i="43"/>
  <c r="AP45" i="43"/>
  <c r="AP47" i="43" s="1"/>
  <c r="V94" i="43"/>
  <c r="AP392" i="43"/>
  <c r="AF223" i="43"/>
  <c r="AO223" i="43" s="1"/>
  <c r="AT214" i="43"/>
  <c r="AF52" i="43"/>
  <c r="AO52" i="43" s="1"/>
  <c r="AF49" i="43"/>
  <c r="AO49" i="43" s="1"/>
  <c r="Z22" i="43"/>
  <c r="AW140" i="43"/>
  <c r="AF407" i="43"/>
  <c r="AO407" i="43" s="1"/>
  <c r="AP452" i="43"/>
  <c r="AQ408" i="43"/>
  <c r="AW375" i="43"/>
  <c r="AF347" i="43"/>
  <c r="AO347" i="43" s="1"/>
  <c r="AX350" i="43"/>
  <c r="AF306" i="43"/>
  <c r="AO306" i="43" s="1"/>
  <c r="AF406" i="43"/>
  <c r="AO406" i="43" s="1"/>
  <c r="AQ134" i="43"/>
  <c r="AN307" i="43"/>
  <c r="AP208" i="43"/>
  <c r="AF179" i="43"/>
  <c r="AO179" i="43" s="1"/>
  <c r="V127" i="43"/>
  <c r="AP66" i="43"/>
  <c r="AP68" i="43" s="1"/>
  <c r="AB62" i="43"/>
  <c r="AT62" i="43" s="1"/>
  <c r="AT65" i="43" s="1"/>
  <c r="AF75" i="43"/>
  <c r="AO75" i="43" s="1"/>
  <c r="AT318" i="43"/>
  <c r="AT319" i="43" s="1"/>
  <c r="AB40" i="43"/>
  <c r="AQ392" i="43"/>
  <c r="AF299" i="43"/>
  <c r="AO299" i="43" s="1"/>
  <c r="AB214" i="43"/>
  <c r="AX337" i="43"/>
  <c r="AN73" i="43"/>
  <c r="AX134" i="43"/>
  <c r="AW77" i="43"/>
  <c r="AV73" i="43"/>
  <c r="AF203" i="43"/>
  <c r="AO203" i="43" s="1"/>
  <c r="AM458" i="43"/>
  <c r="AF142" i="43"/>
  <c r="AO142" i="43" s="1"/>
  <c r="AX129" i="44"/>
  <c r="AX34" i="44"/>
  <c r="AV100" i="44"/>
  <c r="AW76" i="44"/>
  <c r="AP94" i="44"/>
  <c r="AQ135" i="44"/>
  <c r="AV61" i="43"/>
  <c r="AV362" i="43"/>
  <c r="AW399" i="43"/>
  <c r="AT307" i="43"/>
  <c r="AW355" i="43"/>
  <c r="AV326" i="43"/>
  <c r="AS22" i="43"/>
  <c r="AT73" i="43"/>
  <c r="AV436" i="43"/>
  <c r="AX436" i="43"/>
  <c r="AS238" i="43"/>
  <c r="AW261" i="43"/>
  <c r="AT157" i="43"/>
  <c r="AW436" i="43"/>
  <c r="AV257" i="43"/>
  <c r="AW307" i="43"/>
  <c r="AW18" i="43"/>
  <c r="AT57" i="43"/>
  <c r="AV189" i="43"/>
  <c r="AW343" i="43"/>
  <c r="AV366" i="43"/>
  <c r="V48" i="44"/>
  <c r="AF98" i="44"/>
  <c r="AO98" i="44" s="1"/>
  <c r="AN18" i="44"/>
  <c r="AF119" i="44"/>
  <c r="AO119" i="44" s="1"/>
  <c r="AT42" i="44"/>
  <c r="AT48" i="44" s="1"/>
  <c r="AF87" i="44"/>
  <c r="AO87" i="44" s="1"/>
  <c r="Z26" i="44"/>
  <c r="AF40" i="44"/>
  <c r="AO40" i="44" s="1"/>
  <c r="AF127" i="44"/>
  <c r="AO127" i="44" s="1"/>
  <c r="AF68" i="44"/>
  <c r="AO68" i="44" s="1"/>
  <c r="AW123" i="44"/>
  <c r="AF113" i="44"/>
  <c r="AF114" i="44" s="1"/>
  <c r="AA42" i="44"/>
  <c r="AA48" i="44" s="1"/>
  <c r="AF54" i="44"/>
  <c r="AO54" i="44" s="1"/>
  <c r="AF88" i="44"/>
  <c r="AO88" i="44" s="1"/>
  <c r="Z42" i="44"/>
  <c r="Z48" i="44" s="1"/>
  <c r="AF45" i="44"/>
  <c r="AO45" i="44" s="1"/>
  <c r="AF86" i="44"/>
  <c r="AO86" i="44" s="1"/>
  <c r="AN142" i="44"/>
  <c r="AQ137" i="44"/>
  <c r="AW141" i="44"/>
  <c r="AN136" i="44"/>
  <c r="AW48" i="44"/>
  <c r="AF128" i="44"/>
  <c r="AO128" i="44" s="1"/>
  <c r="AP129" i="44"/>
  <c r="AF80" i="44"/>
  <c r="AO80" i="44" s="1"/>
  <c r="AM130" i="44"/>
  <c r="AF14" i="45" s="1"/>
  <c r="AE130" i="44"/>
  <c r="X14" i="45" s="1"/>
  <c r="AN48" i="44"/>
  <c r="AF31" i="44"/>
  <c r="AO31" i="44" s="1"/>
  <c r="AF24" i="44"/>
  <c r="AO24" i="44" s="1"/>
  <c r="AF23" i="44"/>
  <c r="AO23" i="44" s="1"/>
  <c r="AQ140" i="44"/>
  <c r="AQ141" i="44"/>
  <c r="AF66" i="44"/>
  <c r="AO66" i="44" s="1"/>
  <c r="AA69" i="44"/>
  <c r="AF36" i="44"/>
  <c r="AO36" i="44" s="1"/>
  <c r="Z101" i="44"/>
  <c r="AB101" i="44"/>
  <c r="AT112" i="44"/>
  <c r="AU137" i="44"/>
  <c r="AN30" i="45" s="1"/>
  <c r="AF21" i="44"/>
  <c r="AO21" i="44" s="1"/>
  <c r="AF22" i="44"/>
  <c r="AO22" i="44" s="1"/>
  <c r="AP101" i="44"/>
  <c r="AP104" i="44" s="1"/>
  <c r="Z94" i="44"/>
  <c r="AF75" i="44"/>
  <c r="AO75" i="44" s="1"/>
  <c r="AF52" i="44"/>
  <c r="AO52" i="44" s="1"/>
  <c r="AF120" i="44"/>
  <c r="AO120" i="44" s="1"/>
  <c r="AF79" i="44"/>
  <c r="AO79" i="44" s="1"/>
  <c r="AV48" i="44"/>
  <c r="AW83" i="44"/>
  <c r="AQ142" i="44"/>
  <c r="AQ143" i="44"/>
  <c r="AF287" i="43"/>
  <c r="AO287" i="43" s="1"/>
  <c r="AQ466" i="43"/>
  <c r="AN157" i="43"/>
  <c r="AV140" i="43"/>
  <c r="AU467" i="43"/>
  <c r="AN34" i="45" s="1"/>
  <c r="Z392" i="43"/>
  <c r="AP35" i="43"/>
  <c r="AP37" i="43" s="1"/>
  <c r="AF255" i="43"/>
  <c r="AO255" i="43" s="1"/>
  <c r="AN189" i="43"/>
  <c r="AV109" i="43"/>
  <c r="AV45" i="43"/>
  <c r="AV47" i="43" s="1"/>
  <c r="AF174" i="43"/>
  <c r="AO174" i="43" s="1"/>
  <c r="AW87" i="43"/>
  <c r="AN77" i="43"/>
  <c r="AF124" i="43"/>
  <c r="AO124" i="43" s="1"/>
  <c r="Z35" i="43"/>
  <c r="Z37" i="43" s="1"/>
  <c r="AW449" i="43"/>
  <c r="AF405" i="43"/>
  <c r="AO405" i="43" s="1"/>
  <c r="AN362" i="43"/>
  <c r="AW337" i="43"/>
  <c r="AP355" i="43"/>
  <c r="AF417" i="43"/>
  <c r="AO417" i="43" s="1"/>
  <c r="AS258" i="43"/>
  <c r="AS261" i="43" s="1"/>
  <c r="AX244" i="43"/>
  <c r="AN326" i="43"/>
  <c r="AV311" i="43"/>
  <c r="AF145" i="43"/>
  <c r="AO145" i="43" s="1"/>
  <c r="AV307" i="43"/>
  <c r="AF448" i="43"/>
  <c r="AO448" i="43" s="1"/>
  <c r="AN436" i="43"/>
  <c r="AW422" i="43"/>
  <c r="AP363" i="43"/>
  <c r="AP366" i="43" s="1"/>
  <c r="AF341" i="43"/>
  <c r="AO341" i="43" s="1"/>
  <c r="AF441" i="43"/>
  <c r="AO441" i="43" s="1"/>
  <c r="AF414" i="43"/>
  <c r="AO414" i="43" s="1"/>
  <c r="AF412" i="43"/>
  <c r="AO412" i="43" s="1"/>
  <c r="AF353" i="43"/>
  <c r="AO353" i="43" s="1"/>
  <c r="AF295" i="43"/>
  <c r="AO295" i="43" s="1"/>
  <c r="AP258" i="43"/>
  <c r="AP261" i="43" s="1"/>
  <c r="AB134" i="43"/>
  <c r="AN311" i="43"/>
  <c r="AF224" i="43"/>
  <c r="AO224" i="43" s="1"/>
  <c r="AF274" i="43"/>
  <c r="AO274" i="43" s="1"/>
  <c r="AN278" i="43"/>
  <c r="AP101" i="43"/>
  <c r="AF250" i="43"/>
  <c r="AO250" i="43" s="1"/>
  <c r="AF249" i="43"/>
  <c r="AO249" i="43" s="1"/>
  <c r="AF248" i="43"/>
  <c r="AO248" i="43" s="1"/>
  <c r="AF247" i="43"/>
  <c r="AO247" i="43" s="1"/>
  <c r="AF246" i="43"/>
  <c r="AO246" i="43" s="1"/>
  <c r="AT208" i="43"/>
  <c r="V37" i="43"/>
  <c r="AN134" i="43"/>
  <c r="AN220" i="43"/>
  <c r="AP238" i="43"/>
  <c r="AW189" i="43"/>
  <c r="Z73" i="43"/>
  <c r="AB363" i="43"/>
  <c r="AB366" i="43" s="1"/>
  <c r="V261" i="43"/>
  <c r="AB355" i="43"/>
  <c r="AT182" i="43"/>
  <c r="AF218" i="43"/>
  <c r="AO218" i="43" s="1"/>
  <c r="AF161" i="43"/>
  <c r="AO161" i="43" s="1"/>
  <c r="AF108" i="43"/>
  <c r="AO108" i="43" s="1"/>
  <c r="AF216" i="43"/>
  <c r="AO216" i="43" s="1"/>
  <c r="V50" i="43"/>
  <c r="AX307" i="43"/>
  <c r="AV157" i="43"/>
  <c r="AV44" i="43"/>
  <c r="AF205" i="43"/>
  <c r="AO205" i="43" s="1"/>
  <c r="AF235" i="43"/>
  <c r="AO235" i="43" s="1"/>
  <c r="AN34" i="43"/>
  <c r="AQ322" i="43"/>
  <c r="AL458" i="43"/>
  <c r="AQ244" i="43"/>
  <c r="AF263" i="43"/>
  <c r="AO263" i="43" s="1"/>
  <c r="AF194" i="43"/>
  <c r="AO194" i="43" s="1"/>
  <c r="AF167" i="43"/>
  <c r="AO167" i="43" s="1"/>
  <c r="AF331" i="43"/>
  <c r="AO331" i="43" s="1"/>
  <c r="AF286" i="43"/>
  <c r="AO286" i="43" s="1"/>
  <c r="AF285" i="43"/>
  <c r="AO285" i="43" s="1"/>
  <c r="AW469" i="43"/>
  <c r="AW466" i="43"/>
  <c r="AF264" i="43"/>
  <c r="AO264" i="43" s="1"/>
  <c r="AF16" i="43"/>
  <c r="AO16" i="43" s="1"/>
  <c r="AF159" i="43"/>
  <c r="AO159" i="43" s="1"/>
  <c r="AW53" i="43"/>
  <c r="AF275" i="43"/>
  <c r="AO275" i="43" s="1"/>
  <c r="AW37" i="43"/>
  <c r="AP201" i="43"/>
  <c r="AB327" i="43"/>
  <c r="AT327" i="43" s="1"/>
  <c r="AT329" i="43" s="1"/>
  <c r="AP327" i="43"/>
  <c r="AP329" i="43" s="1"/>
  <c r="Z327" i="43"/>
  <c r="Z329" i="43" s="1"/>
  <c r="Z141" i="43"/>
  <c r="AV330" i="43"/>
  <c r="AV337" i="43" s="1"/>
  <c r="AN337" i="43"/>
  <c r="AF234" i="43"/>
  <c r="AO234" i="43" s="1"/>
  <c r="Z91" i="43"/>
  <c r="AN140" i="43"/>
  <c r="AW257" i="43"/>
  <c r="AN90" i="43"/>
  <c r="Z30" i="43"/>
  <c r="AV84" i="43"/>
  <c r="AV87" i="43" s="1"/>
  <c r="AN87" i="43"/>
  <c r="AB66" i="43"/>
  <c r="V68" i="43"/>
  <c r="Z66" i="43"/>
  <c r="Z68" i="43" s="1"/>
  <c r="AB73" i="43"/>
  <c r="AE457" i="43"/>
  <c r="AF447" i="43"/>
  <c r="AO447" i="43" s="1"/>
  <c r="AF433" i="43"/>
  <c r="AO433" i="43" s="1"/>
  <c r="AF305" i="43"/>
  <c r="AO305" i="43" s="1"/>
  <c r="AW329" i="43"/>
  <c r="AF434" i="43"/>
  <c r="AO434" i="43" s="1"/>
  <c r="AF418" i="43"/>
  <c r="AO418" i="43" s="1"/>
  <c r="AF365" i="43"/>
  <c r="AO365" i="43" s="1"/>
  <c r="AF357" i="43"/>
  <c r="AO357" i="43" s="1"/>
  <c r="AF361" i="43"/>
  <c r="AO361" i="43" s="1"/>
  <c r="AW50" i="43"/>
  <c r="AQ467" i="43"/>
  <c r="AT386" i="43"/>
  <c r="AT392" i="43" s="1"/>
  <c r="AB392" i="43"/>
  <c r="Z40" i="43"/>
  <c r="Z221" i="43"/>
  <c r="AN44" i="43"/>
  <c r="AF390" i="43"/>
  <c r="AO390" i="43" s="1"/>
  <c r="Z367" i="43"/>
  <c r="Z466" i="43" s="1"/>
  <c r="AN366" i="43"/>
  <c r="Z48" i="43"/>
  <c r="Z443" i="43"/>
  <c r="AW408" i="43"/>
  <c r="AV449" i="43"/>
  <c r="AF428" i="43"/>
  <c r="AO428" i="43" s="1"/>
  <c r="AF442" i="43"/>
  <c r="AO442" i="43" s="1"/>
  <c r="AF265" i="43"/>
  <c r="AO265" i="43" s="1"/>
  <c r="AF225" i="43"/>
  <c r="AO225" i="43" s="1"/>
  <c r="AF192" i="43"/>
  <c r="AO192" i="43" s="1"/>
  <c r="AF165" i="43"/>
  <c r="AO165" i="43" s="1"/>
  <c r="AW152" i="43"/>
  <c r="AF143" i="43"/>
  <c r="AO143" i="43" s="1"/>
  <c r="AF324" i="43"/>
  <c r="AO324" i="43" s="1"/>
  <c r="AV195" i="43"/>
  <c r="AF59" i="43"/>
  <c r="AO59" i="43" s="1"/>
  <c r="AF20" i="43"/>
  <c r="AO20" i="43" s="1"/>
  <c r="AP105" i="43"/>
  <c r="AF138" i="43"/>
  <c r="AO138" i="43" s="1"/>
  <c r="AF136" i="43"/>
  <c r="AO136" i="43" s="1"/>
  <c r="AV376" i="43"/>
  <c r="AV381" i="43" s="1"/>
  <c r="AN381" i="43"/>
  <c r="AV320" i="43"/>
  <c r="AV322" i="43" s="1"/>
  <c r="AN322" i="43"/>
  <c r="AF237" i="43"/>
  <c r="AO237" i="43" s="1"/>
  <c r="AB110" i="43"/>
  <c r="Z110" i="43"/>
  <c r="Z112" i="43" s="1"/>
  <c r="AF391" i="43"/>
  <c r="AO391" i="43" s="1"/>
  <c r="AB41" i="43"/>
  <c r="Z41" i="43"/>
  <c r="Z44" i="43" s="1"/>
  <c r="AN61" i="43"/>
  <c r="AF410" i="43"/>
  <c r="AO410" i="43" s="1"/>
  <c r="AW463" i="43"/>
  <c r="AF349" i="43"/>
  <c r="AO349" i="43" s="1"/>
  <c r="AF316" i="43"/>
  <c r="AO316" i="43" s="1"/>
  <c r="AN127" i="43"/>
  <c r="AN460" i="43"/>
  <c r="AF243" i="43"/>
  <c r="AO243" i="43" s="1"/>
  <c r="AU461" i="43"/>
  <c r="AW98" i="43"/>
  <c r="AT233" i="43"/>
  <c r="AT238" i="43" s="1"/>
  <c r="AB238" i="43"/>
  <c r="AB84" i="43"/>
  <c r="Z84" i="43"/>
  <c r="Z87" i="43" s="1"/>
  <c r="AV54" i="43"/>
  <c r="AV57" i="43" s="1"/>
  <c r="AN57" i="43"/>
  <c r="AV28" i="43"/>
  <c r="AV30" i="43" s="1"/>
  <c r="AN30" i="43"/>
  <c r="AB98" i="43"/>
  <c r="AB252" i="43"/>
  <c r="AB468" i="43" s="1"/>
  <c r="AP252" i="43"/>
  <c r="AP253" i="43" s="1"/>
  <c r="Z252" i="43"/>
  <c r="Z468" i="43" s="1"/>
  <c r="V253" i="43"/>
  <c r="P132" i="44"/>
  <c r="AN129" i="44"/>
  <c r="AV124" i="44"/>
  <c r="AV129" i="44" s="1"/>
  <c r="AB76" i="44"/>
  <c r="AT70" i="44"/>
  <c r="AT76" i="44" s="1"/>
  <c r="AA94" i="44"/>
  <c r="AS91" i="44"/>
  <c r="AS94" i="44" s="1"/>
  <c r="AS70" i="44"/>
  <c r="AS76" i="44" s="1"/>
  <c r="AA76" i="44"/>
  <c r="AF72" i="44"/>
  <c r="AO72" i="44" s="1"/>
  <c r="AF53" i="44"/>
  <c r="AO53" i="44" s="1"/>
  <c r="AT38" i="44"/>
  <c r="AT41" i="44" s="1"/>
  <c r="AB41" i="44"/>
  <c r="AN27" i="44"/>
  <c r="AV19" i="44"/>
  <c r="AN134" i="44"/>
  <c r="Z140" i="44"/>
  <c r="Z13" i="44"/>
  <c r="Z123" i="44"/>
  <c r="AF115" i="44"/>
  <c r="AB62" i="44"/>
  <c r="AT56" i="44"/>
  <c r="AT62" i="44" s="1"/>
  <c r="AF56" i="44"/>
  <c r="Z62" i="44"/>
  <c r="AW62" i="44"/>
  <c r="Z105" i="44"/>
  <c r="V106" i="44"/>
  <c r="AA105" i="44"/>
  <c r="AB105" i="44"/>
  <c r="AP105" i="44"/>
  <c r="AP106" i="44" s="1"/>
  <c r="AF91" i="44"/>
  <c r="Z77" i="44"/>
  <c r="V83" i="44"/>
  <c r="AP77" i="44"/>
  <c r="AP83" i="44" s="1"/>
  <c r="AB77" i="44"/>
  <c r="AA77" i="44"/>
  <c r="Z69" i="44"/>
  <c r="AF63" i="44"/>
  <c r="Y130" i="44"/>
  <c r="R14" i="45" s="1"/>
  <c r="AL130" i="44"/>
  <c r="AE14" i="45" s="1"/>
  <c r="AB129" i="44"/>
  <c r="AT124" i="44"/>
  <c r="AT129" i="44" s="1"/>
  <c r="AS101" i="44"/>
  <c r="AS104" i="44" s="1"/>
  <c r="AA104" i="44"/>
  <c r="AS113" i="44"/>
  <c r="AS114" i="44" s="1"/>
  <c r="AA114" i="44"/>
  <c r="AB100" i="44"/>
  <c r="AT95" i="44"/>
  <c r="AT100" i="44" s="1"/>
  <c r="AF122" i="44"/>
  <c r="AO122" i="44" s="1"/>
  <c r="AF70" i="44"/>
  <c r="Z76" i="44"/>
  <c r="AF46" i="44"/>
  <c r="AO46" i="44" s="1"/>
  <c r="AV35" i="44"/>
  <c r="AV41" i="44" s="1"/>
  <c r="AN41" i="44"/>
  <c r="V137" i="44"/>
  <c r="Z29" i="44"/>
  <c r="Z34" i="44" s="1"/>
  <c r="AP29" i="44"/>
  <c r="AP137" i="44" s="1"/>
  <c r="AB29" i="44"/>
  <c r="AB34" i="44" s="1"/>
  <c r="AA29" i="44"/>
  <c r="AA34" i="44" s="1"/>
  <c r="V141" i="44"/>
  <c r="AB16" i="44"/>
  <c r="AP16" i="44"/>
  <c r="AP141" i="44" s="1"/>
  <c r="AA16" i="44"/>
  <c r="Z16" i="44"/>
  <c r="AP112" i="44"/>
  <c r="AF97" i="44"/>
  <c r="AO97" i="44" s="1"/>
  <c r="AF89" i="44"/>
  <c r="AO89" i="44" s="1"/>
  <c r="AQ76" i="44"/>
  <c r="S133" i="44"/>
  <c r="V132" i="44" s="1"/>
  <c r="AA129" i="44"/>
  <c r="AB112" i="44"/>
  <c r="AB90" i="44"/>
  <c r="AF71" i="44"/>
  <c r="AO71" i="44" s="1"/>
  <c r="AF58" i="44"/>
  <c r="AO58" i="44" s="1"/>
  <c r="Z25" i="44"/>
  <c r="AA25" i="44"/>
  <c r="V142" i="44"/>
  <c r="AP25" i="44"/>
  <c r="AP142" i="44" s="1"/>
  <c r="AB25" i="44"/>
  <c r="AF85" i="44"/>
  <c r="AO85" i="44" s="1"/>
  <c r="AF78" i="44"/>
  <c r="AO78" i="44" s="1"/>
  <c r="AS28" i="44"/>
  <c r="AL133" i="44"/>
  <c r="AF47" i="44"/>
  <c r="AO47" i="44" s="1"/>
  <c r="V143" i="44"/>
  <c r="AN135" i="44"/>
  <c r="AV20" i="44"/>
  <c r="Y133" i="44"/>
  <c r="AB123" i="44"/>
  <c r="AT115" i="44"/>
  <c r="AT123" i="44" s="1"/>
  <c r="AF60" i="44"/>
  <c r="AO60" i="44" s="1"/>
  <c r="AP62" i="44"/>
  <c r="AB140" i="44"/>
  <c r="AB13" i="44"/>
  <c r="AT12" i="44"/>
  <c r="AW142" i="44"/>
  <c r="AU135" i="44"/>
  <c r="S130" i="44"/>
  <c r="L14" i="45" s="1"/>
  <c r="AV107" i="44"/>
  <c r="AV112" i="44" s="1"/>
  <c r="AN112" i="44"/>
  <c r="AV123" i="44"/>
  <c r="AB114" i="44"/>
  <c r="AT113" i="44"/>
  <c r="AT114" i="44" s="1"/>
  <c r="AF118" i="44"/>
  <c r="AO118" i="44" s="1"/>
  <c r="AV63" i="44"/>
  <c r="AV69" i="44" s="1"/>
  <c r="AN69" i="44"/>
  <c r="AF44" i="44"/>
  <c r="AO44" i="44" s="1"/>
  <c r="AW41" i="44"/>
  <c r="AW143" i="44"/>
  <c r="AW135" i="44"/>
  <c r="AE133" i="44"/>
  <c r="V18" i="44"/>
  <c r="AB14" i="44"/>
  <c r="V136" i="44"/>
  <c r="O29" i="45" s="1"/>
  <c r="AP14" i="44"/>
  <c r="AA14" i="44"/>
  <c r="Z14" i="44"/>
  <c r="AW140" i="44"/>
  <c r="AW13" i="44"/>
  <c r="AX141" i="44"/>
  <c r="AF121" i="44"/>
  <c r="AO121" i="44" s="1"/>
  <c r="AF117" i="44"/>
  <c r="AO117" i="44" s="1"/>
  <c r="Z112" i="44"/>
  <c r="AF107" i="44"/>
  <c r="Z90" i="44"/>
  <c r="AF84" i="44"/>
  <c r="AP69" i="44"/>
  <c r="AQ48" i="44"/>
  <c r="AP41" i="44"/>
  <c r="V135" i="44"/>
  <c r="Z20" i="44"/>
  <c r="AP20" i="44"/>
  <c r="AP135" i="44" s="1"/>
  <c r="AB20" i="44"/>
  <c r="AA20" i="44"/>
  <c r="AF116" i="44"/>
  <c r="AO116" i="44" s="1"/>
  <c r="AX134" i="44"/>
  <c r="AX27" i="44"/>
  <c r="AV91" i="44"/>
  <c r="AV94" i="44" s="1"/>
  <c r="AN94" i="44"/>
  <c r="AF93" i="44"/>
  <c r="AO93" i="44" s="1"/>
  <c r="AF82" i="44"/>
  <c r="AO82" i="44" s="1"/>
  <c r="AF59" i="44"/>
  <c r="AO59" i="44" s="1"/>
  <c r="AF38" i="44"/>
  <c r="AO38" i="44" s="1"/>
  <c r="AT28" i="44"/>
  <c r="AF28" i="44"/>
  <c r="AF17" i="44"/>
  <c r="AO17" i="44" s="1"/>
  <c r="AV141" i="44"/>
  <c r="AX135" i="44"/>
  <c r="AA123" i="44"/>
  <c r="AS115" i="44"/>
  <c r="AS123" i="44" s="1"/>
  <c r="AF33" i="44"/>
  <c r="AO33" i="44" s="1"/>
  <c r="AN34" i="44"/>
  <c r="AV28" i="44"/>
  <c r="AN137" i="44"/>
  <c r="AV29" i="44"/>
  <c r="AV137" i="44" s="1"/>
  <c r="AA140" i="44"/>
  <c r="AA13" i="44"/>
  <c r="AS12" i="44"/>
  <c r="AS13" i="44" s="1"/>
  <c r="AQ27" i="44"/>
  <c r="AF125" i="44"/>
  <c r="AO125" i="44" s="1"/>
  <c r="Z129" i="44"/>
  <c r="AS84" i="44"/>
  <c r="AS90" i="44" s="1"/>
  <c r="AA90" i="44"/>
  <c r="AN83" i="44"/>
  <c r="AV77" i="44"/>
  <c r="AV83" i="44" s="1"/>
  <c r="AT90" i="44"/>
  <c r="AW112" i="44"/>
  <c r="AN123" i="44"/>
  <c r="AN90" i="44"/>
  <c r="AV84" i="44"/>
  <c r="AV90" i="44" s="1"/>
  <c r="AF126" i="44"/>
  <c r="AO126" i="44" s="1"/>
  <c r="AF103" i="44"/>
  <c r="AO103" i="44" s="1"/>
  <c r="Z100" i="44"/>
  <c r="AF95" i="44"/>
  <c r="AP76" i="44"/>
  <c r="AF74" i="44"/>
  <c r="AO74" i="44" s="1"/>
  <c r="AW69" i="44"/>
  <c r="AN55" i="44"/>
  <c r="AV49" i="44"/>
  <c r="AV55" i="44" s="1"/>
  <c r="Z41" i="44"/>
  <c r="AF35" i="44"/>
  <c r="AN143" i="44"/>
  <c r="AV26" i="44"/>
  <c r="AV143" i="44" s="1"/>
  <c r="V134" i="44"/>
  <c r="V27" i="44"/>
  <c r="Z19" i="44"/>
  <c r="AP19" i="44"/>
  <c r="AB19" i="44"/>
  <c r="AA19" i="44"/>
  <c r="AN140" i="44"/>
  <c r="AV12" i="44"/>
  <c r="AN13" i="44"/>
  <c r="AA112" i="44"/>
  <c r="AS107" i="44"/>
  <c r="AS112" i="44" s="1"/>
  <c r="AP90" i="44"/>
  <c r="AU134" i="44"/>
  <c r="AF108" i="44"/>
  <c r="AO108" i="44" s="1"/>
  <c r="AF51" i="44"/>
  <c r="AO51" i="44" s="1"/>
  <c r="AF50" i="44"/>
  <c r="AO50" i="44" s="1"/>
  <c r="AM133" i="44"/>
  <c r="AF111" i="44"/>
  <c r="AO111" i="44" s="1"/>
  <c r="AF109" i="44"/>
  <c r="AO109" i="44" s="1"/>
  <c r="AF73" i="44"/>
  <c r="AO73" i="44" s="1"/>
  <c r="AW94" i="44"/>
  <c r="AF61" i="44"/>
  <c r="AO61" i="44" s="1"/>
  <c r="AF57" i="44"/>
  <c r="AO57" i="44" s="1"/>
  <c r="AF30" i="44"/>
  <c r="AO30" i="44" s="1"/>
  <c r="AA41" i="44"/>
  <c r="AF32" i="44"/>
  <c r="AO32" i="44" s="1"/>
  <c r="AU143" i="44"/>
  <c r="AU27" i="44"/>
  <c r="AW134" i="44"/>
  <c r="AW27" i="44"/>
  <c r="AN141" i="44"/>
  <c r="AP123" i="44"/>
  <c r="AN104" i="44"/>
  <c r="AV101" i="44"/>
  <c r="AV104" i="44" s="1"/>
  <c r="AA100" i="44"/>
  <c r="AT66" i="44"/>
  <c r="AT69" i="44" s="1"/>
  <c r="AB69" i="44"/>
  <c r="AA62" i="44"/>
  <c r="AS56" i="44"/>
  <c r="AS62" i="44" s="1"/>
  <c r="AW34" i="44"/>
  <c r="AU136" i="44"/>
  <c r="AU18" i="44"/>
  <c r="AN62" i="44"/>
  <c r="AV56" i="44"/>
  <c r="AV62" i="44" s="1"/>
  <c r="AF43" i="44"/>
  <c r="AO43" i="44" s="1"/>
  <c r="AW137" i="44"/>
  <c r="AF15" i="44"/>
  <c r="AO15" i="44" s="1"/>
  <c r="AV136" i="44"/>
  <c r="AV18" i="44"/>
  <c r="AQ136" i="44"/>
  <c r="AQ18" i="44"/>
  <c r="AP140" i="44"/>
  <c r="AP13" i="44"/>
  <c r="AQ134" i="44"/>
  <c r="AT444" i="43"/>
  <c r="AS437" i="43"/>
  <c r="AS443" i="43" s="1"/>
  <c r="AW429" i="43"/>
  <c r="AS450" i="43"/>
  <c r="AS452" i="43" s="1"/>
  <c r="AP425" i="43"/>
  <c r="AP429" i="43" s="1"/>
  <c r="Z425" i="43"/>
  <c r="AB425" i="43"/>
  <c r="AT425" i="43" s="1"/>
  <c r="Z416" i="43"/>
  <c r="V422" i="43"/>
  <c r="AP416" i="43"/>
  <c r="AP422" i="43" s="1"/>
  <c r="AB416" i="43"/>
  <c r="AP399" i="43"/>
  <c r="AN355" i="43"/>
  <c r="AV351" i="43"/>
  <c r="AV355" i="43" s="1"/>
  <c r="AN402" i="43"/>
  <c r="AV400" i="43"/>
  <c r="AV402" i="43" s="1"/>
  <c r="AF382" i="43"/>
  <c r="AF351" i="43"/>
  <c r="Z355" i="43"/>
  <c r="AF308" i="43"/>
  <c r="Z311" i="43"/>
  <c r="AF377" i="43"/>
  <c r="AO377" i="43" s="1"/>
  <c r="AN368" i="43"/>
  <c r="AV367" i="43"/>
  <c r="AV368" i="43" s="1"/>
  <c r="AV318" i="43"/>
  <c r="AV319" i="43" s="1"/>
  <c r="AN319" i="43"/>
  <c r="AX443" i="43"/>
  <c r="AS268" i="43"/>
  <c r="AS209" i="43"/>
  <c r="AP189" i="43"/>
  <c r="AB330" i="43"/>
  <c r="AP330" i="43"/>
  <c r="AP337" i="43" s="1"/>
  <c r="Z330" i="43"/>
  <c r="V337" i="43"/>
  <c r="AB326" i="43"/>
  <c r="Z307" i="43"/>
  <c r="AF301" i="43"/>
  <c r="AB294" i="43"/>
  <c r="V300" i="43"/>
  <c r="Z294" i="43"/>
  <c r="AP294" i="43"/>
  <c r="AP300" i="43" s="1"/>
  <c r="Z278" i="43"/>
  <c r="AF272" i="43"/>
  <c r="AB278" i="43"/>
  <c r="AT272" i="43"/>
  <c r="AN462" i="43"/>
  <c r="AN251" i="43"/>
  <c r="AV245" i="43"/>
  <c r="AP195" i="43"/>
  <c r="AS164" i="43"/>
  <c r="AS169" i="43" s="1"/>
  <c r="AL459" i="43"/>
  <c r="AF354" i="43"/>
  <c r="AO354" i="43" s="1"/>
  <c r="AQ283" i="43"/>
  <c r="AF277" i="43"/>
  <c r="AO277" i="43" s="1"/>
  <c r="AV252" i="43"/>
  <c r="AV253" i="43" s="1"/>
  <c r="AN253" i="43"/>
  <c r="AN175" i="43"/>
  <c r="AV170" i="43"/>
  <c r="AV175" i="43" s="1"/>
  <c r="AW461" i="43"/>
  <c r="AP28" i="45" s="1"/>
  <c r="AS99" i="43"/>
  <c r="AS101" i="43" s="1"/>
  <c r="AS69" i="43"/>
  <c r="AF42" i="43"/>
  <c r="AO42" i="43" s="1"/>
  <c r="AS42" i="43"/>
  <c r="AF276" i="43"/>
  <c r="AO276" i="43" s="1"/>
  <c r="Z262" i="43"/>
  <c r="AP262" i="43"/>
  <c r="AP267" i="43" s="1"/>
  <c r="AB262" i="43"/>
  <c r="V267" i="43"/>
  <c r="AF213" i="43"/>
  <c r="AO213" i="43" s="1"/>
  <c r="AB182" i="43"/>
  <c r="AB147" i="43"/>
  <c r="Z147" i="43"/>
  <c r="V152" i="43"/>
  <c r="AP147" i="43"/>
  <c r="AP152" i="43" s="1"/>
  <c r="AF129" i="43"/>
  <c r="AO129" i="43" s="1"/>
  <c r="Z120" i="43"/>
  <c r="AF116" i="43"/>
  <c r="Z101" i="43"/>
  <c r="AF99" i="43"/>
  <c r="AS95" i="43"/>
  <c r="AS98" i="43" s="1"/>
  <c r="AS23" i="43"/>
  <c r="AS27" i="43" s="1"/>
  <c r="AU466" i="43"/>
  <c r="AN33" i="45" s="1"/>
  <c r="AU460" i="43"/>
  <c r="AU18" i="43"/>
  <c r="AT121" i="43"/>
  <c r="AF63" i="43"/>
  <c r="AO63" i="43" s="1"/>
  <c r="AS17" i="43"/>
  <c r="AS14" i="43"/>
  <c r="Z189" i="43"/>
  <c r="AF183" i="43"/>
  <c r="AF177" i="43"/>
  <c r="AO177" i="43" s="1"/>
  <c r="Z170" i="43"/>
  <c r="V175" i="43"/>
  <c r="AP170" i="43"/>
  <c r="AP175" i="43" s="1"/>
  <c r="AB170" i="43"/>
  <c r="AN467" i="43"/>
  <c r="AV125" i="43"/>
  <c r="AV467" i="43" s="1"/>
  <c r="AS58" i="43"/>
  <c r="AS61" i="43" s="1"/>
  <c r="AF256" i="43"/>
  <c r="AO256" i="43" s="1"/>
  <c r="AB109" i="43"/>
  <c r="AT106" i="43"/>
  <c r="AT109" i="43" s="1"/>
  <c r="AB105" i="43"/>
  <c r="AF79" i="43"/>
  <c r="AO79" i="43" s="1"/>
  <c r="AF204" i="43"/>
  <c r="AO204" i="43" s="1"/>
  <c r="AW208" i="43"/>
  <c r="Z182" i="43"/>
  <c r="AF162" i="43"/>
  <c r="AO162" i="43" s="1"/>
  <c r="AX163" i="43"/>
  <c r="Z157" i="43"/>
  <c r="AF153" i="43"/>
  <c r="AF113" i="43"/>
  <c r="Z115" i="43"/>
  <c r="AF100" i="43"/>
  <c r="AO100" i="43" s="1"/>
  <c r="AS38" i="43"/>
  <c r="AS40" i="43" s="1"/>
  <c r="AX466" i="43"/>
  <c r="AQ33" i="45" s="1"/>
  <c r="Y459" i="43"/>
  <c r="AN469" i="43"/>
  <c r="AG36" i="45" s="1"/>
  <c r="AF231" i="43"/>
  <c r="AO231" i="43" s="1"/>
  <c r="AF171" i="43"/>
  <c r="AO171" i="43" s="1"/>
  <c r="AN115" i="43"/>
  <c r="Z90" i="43"/>
  <c r="AF71" i="43"/>
  <c r="AO71" i="43" s="1"/>
  <c r="AS196" i="43"/>
  <c r="AS201" i="43" s="1"/>
  <c r="AF444" i="43"/>
  <c r="AF446" i="43"/>
  <c r="AO446" i="43" s="1"/>
  <c r="AP443" i="43"/>
  <c r="AT450" i="43"/>
  <c r="AT452" i="43" s="1"/>
  <c r="AB452" i="43"/>
  <c r="Z445" i="43"/>
  <c r="Z463" i="43" s="1"/>
  <c r="AB445" i="43"/>
  <c r="AT445" i="43" s="1"/>
  <c r="V449" i="43"/>
  <c r="AP445" i="43"/>
  <c r="AP449" i="43" s="1"/>
  <c r="AT412" i="43"/>
  <c r="AT443" i="43"/>
  <c r="AS423" i="43"/>
  <c r="AF421" i="43"/>
  <c r="AO421" i="43" s="1"/>
  <c r="AF438" i="43"/>
  <c r="AO438" i="43" s="1"/>
  <c r="AF420" i="43"/>
  <c r="AO420" i="43" s="1"/>
  <c r="AF398" i="43"/>
  <c r="AO398" i="43" s="1"/>
  <c r="AL457" i="43"/>
  <c r="Z399" i="43"/>
  <c r="AF393" i="43"/>
  <c r="AW402" i="43"/>
  <c r="AV409" i="43"/>
  <c r="AV415" i="43" s="1"/>
  <c r="AN415" i="43"/>
  <c r="AN350" i="43"/>
  <c r="AV344" i="43"/>
  <c r="AV350" i="43" s="1"/>
  <c r="AF340" i="43"/>
  <c r="AO340" i="43" s="1"/>
  <c r="Z343" i="43"/>
  <c r="AF336" i="43"/>
  <c r="AO336" i="43" s="1"/>
  <c r="AF332" i="43"/>
  <c r="AO332" i="43" s="1"/>
  <c r="AF325" i="43"/>
  <c r="AO325" i="43" s="1"/>
  <c r="AF309" i="43"/>
  <c r="AO309" i="43" s="1"/>
  <c r="AS308" i="43"/>
  <c r="AS311" i="43" s="1"/>
  <c r="AF424" i="43"/>
  <c r="AO424" i="43" s="1"/>
  <c r="AF413" i="43"/>
  <c r="AO413" i="43" s="1"/>
  <c r="Z381" i="43"/>
  <c r="AF376" i="43"/>
  <c r="AT376" i="43"/>
  <c r="AT381" i="43" s="1"/>
  <c r="AB381" i="43"/>
  <c r="AF371" i="43"/>
  <c r="AO371" i="43" s="1"/>
  <c r="AS323" i="43"/>
  <c r="AS326" i="43" s="1"/>
  <c r="AN317" i="43"/>
  <c r="AV312" i="43"/>
  <c r="AV317" i="43" s="1"/>
  <c r="AS273" i="43"/>
  <c r="AF396" i="43"/>
  <c r="AO396" i="43" s="1"/>
  <c r="AF348" i="43"/>
  <c r="AO348" i="43" s="1"/>
  <c r="AF328" i="43"/>
  <c r="AO328" i="43" s="1"/>
  <c r="AF303" i="43"/>
  <c r="AO303" i="43" s="1"/>
  <c r="AN443" i="43"/>
  <c r="AV437" i="43"/>
  <c r="AV443" i="43" s="1"/>
  <c r="AB369" i="43"/>
  <c r="Z369" i="43"/>
  <c r="AP369" i="43"/>
  <c r="AP375" i="43" s="1"/>
  <c r="V375" i="43"/>
  <c r="AT343" i="43"/>
  <c r="AN293" i="43"/>
  <c r="AV292" i="43"/>
  <c r="AV293" i="43" s="1"/>
  <c r="AN463" i="43"/>
  <c r="AG30" i="45" s="1"/>
  <c r="AN267" i="43"/>
  <c r="AV262" i="43"/>
  <c r="AV267" i="43" s="1"/>
  <c r="AS183" i="43"/>
  <c r="AP157" i="43"/>
  <c r="AS133" i="43"/>
  <c r="AF352" i="43"/>
  <c r="AO352" i="43" s="1"/>
  <c r="AV338" i="43"/>
  <c r="AV343" i="43" s="1"/>
  <c r="AN343" i="43"/>
  <c r="AQ463" i="43"/>
  <c r="AS272" i="43"/>
  <c r="AV268" i="43"/>
  <c r="AV271" i="43" s="1"/>
  <c r="AN271" i="43"/>
  <c r="AW462" i="43"/>
  <c r="AP29" i="45" s="1"/>
  <c r="AW251" i="43"/>
  <c r="AN232" i="43"/>
  <c r="AV227" i="43"/>
  <c r="AV232" i="43" s="1"/>
  <c r="AF193" i="43"/>
  <c r="AO193" i="43" s="1"/>
  <c r="AF166" i="43"/>
  <c r="AO166" i="43" s="1"/>
  <c r="AP169" i="43"/>
  <c r="AN468" i="43"/>
  <c r="AG35" i="45" s="1"/>
  <c r="S459" i="43"/>
  <c r="V458" i="43" s="1"/>
  <c r="AS312" i="43"/>
  <c r="AF302" i="43"/>
  <c r="AO302" i="43" s="1"/>
  <c r="AF280" i="43"/>
  <c r="AO280" i="43" s="1"/>
  <c r="AU278" i="43"/>
  <c r="AF269" i="43"/>
  <c r="AO269" i="43" s="1"/>
  <c r="Z257" i="43"/>
  <c r="AF254" i="43"/>
  <c r="AB257" i="43"/>
  <c r="AT254" i="43"/>
  <c r="AT257" i="43" s="1"/>
  <c r="AF339" i="43"/>
  <c r="AO339" i="43" s="1"/>
  <c r="AF281" i="43"/>
  <c r="AO281" i="43" s="1"/>
  <c r="AB271" i="43"/>
  <c r="AS206" i="43"/>
  <c r="AF206" i="43"/>
  <c r="AO206" i="43" s="1"/>
  <c r="AS202" i="43"/>
  <c r="AF202" i="43"/>
  <c r="AW175" i="43"/>
  <c r="AV102" i="43"/>
  <c r="AV105" i="43" s="1"/>
  <c r="AN105" i="43"/>
  <c r="AF85" i="43"/>
  <c r="AO85" i="43" s="1"/>
  <c r="AS85" i="43"/>
  <c r="AF29" i="43"/>
  <c r="AO29" i="43" s="1"/>
  <c r="AS29" i="43"/>
  <c r="AF290" i="43"/>
  <c r="AO290" i="43" s="1"/>
  <c r="AF289" i="43"/>
  <c r="AO289" i="43" s="1"/>
  <c r="AF268" i="43"/>
  <c r="AB227" i="43"/>
  <c r="Z227" i="43"/>
  <c r="V232" i="43"/>
  <c r="AP227" i="43"/>
  <c r="AP232" i="43" s="1"/>
  <c r="AF211" i="43"/>
  <c r="AO211" i="43" s="1"/>
  <c r="AF198" i="43"/>
  <c r="AO198" i="43" s="1"/>
  <c r="AN169" i="43"/>
  <c r="AV164" i="43"/>
  <c r="AV169" i="43" s="1"/>
  <c r="AN94" i="43"/>
  <c r="AV91" i="43"/>
  <c r="AV94" i="43" s="1"/>
  <c r="AN22" i="43"/>
  <c r="AV19" i="43"/>
  <c r="AE459" i="43"/>
  <c r="AF335" i="43"/>
  <c r="AO335" i="43" s="1"/>
  <c r="AV261" i="43"/>
  <c r="AV176" i="43"/>
  <c r="AV182" i="43" s="1"/>
  <c r="AN182" i="43"/>
  <c r="AF130" i="43"/>
  <c r="AO130" i="43" s="1"/>
  <c r="AF121" i="43"/>
  <c r="AF119" i="43"/>
  <c r="AO119" i="43" s="1"/>
  <c r="AV115" i="43"/>
  <c r="AV81" i="43"/>
  <c r="AV83" i="43" s="1"/>
  <c r="AN83" i="43"/>
  <c r="AF46" i="43"/>
  <c r="AO46" i="43" s="1"/>
  <c r="AV38" i="43"/>
  <c r="AV40" i="43" s="1"/>
  <c r="AN40" i="43"/>
  <c r="AP18" i="43"/>
  <c r="AW238" i="43"/>
  <c r="AF230" i="43"/>
  <c r="AO230" i="43" s="1"/>
  <c r="AF219" i="43"/>
  <c r="AO219" i="43" s="1"/>
  <c r="AF217" i="43"/>
  <c r="AO217" i="43" s="1"/>
  <c r="AF150" i="43"/>
  <c r="AO150" i="43" s="1"/>
  <c r="AF139" i="43"/>
  <c r="AO139" i="43" s="1"/>
  <c r="AF137" i="43"/>
  <c r="AO137" i="43" s="1"/>
  <c r="AX468" i="43"/>
  <c r="AQ35" i="45" s="1"/>
  <c r="AW467" i="43"/>
  <c r="AF107" i="43"/>
  <c r="AO107" i="43" s="1"/>
  <c r="AV95" i="43"/>
  <c r="AV98" i="43" s="1"/>
  <c r="AN98" i="43"/>
  <c r="AF93" i="43"/>
  <c r="AO93" i="43" s="1"/>
  <c r="AF60" i="43"/>
  <c r="AO60" i="43" s="1"/>
  <c r="AP61" i="43"/>
  <c r="AV51" i="43"/>
  <c r="AV53" i="43" s="1"/>
  <c r="AN53" i="43"/>
  <c r="AF32" i="43"/>
  <c r="AO32" i="43" s="1"/>
  <c r="AV23" i="43"/>
  <c r="AV27" i="43" s="1"/>
  <c r="AN27" i="43"/>
  <c r="AA462" i="43"/>
  <c r="AS245" i="43"/>
  <c r="Z462" i="43"/>
  <c r="AF245" i="43"/>
  <c r="Z251" i="43"/>
  <c r="AB208" i="43"/>
  <c r="AF173" i="43"/>
  <c r="AO173" i="43" s="1"/>
  <c r="AF151" i="43"/>
  <c r="AO151" i="43" s="1"/>
  <c r="AF104" i="43"/>
  <c r="AO104" i="43" s="1"/>
  <c r="AN226" i="43"/>
  <c r="AV221" i="43"/>
  <c r="AV226" i="43" s="1"/>
  <c r="AF133" i="43"/>
  <c r="AV134" i="43"/>
  <c r="AF123" i="43"/>
  <c r="AO123" i="43" s="1"/>
  <c r="AP120" i="43"/>
  <c r="AW115" i="43"/>
  <c r="AF111" i="43"/>
  <c r="AO111" i="43" s="1"/>
  <c r="AF103" i="43"/>
  <c r="AO103" i="43" s="1"/>
  <c r="AN80" i="43"/>
  <c r="AV78" i="43"/>
  <c r="AV80" i="43" s="1"/>
  <c r="AS66" i="43"/>
  <c r="AS68" i="43" s="1"/>
  <c r="AX460" i="43"/>
  <c r="AX18" i="43"/>
  <c r="AU469" i="43"/>
  <c r="AN36" i="45" s="1"/>
  <c r="AU13" i="43"/>
  <c r="AF178" i="43"/>
  <c r="AO178" i="43" s="1"/>
  <c r="AF126" i="43"/>
  <c r="AO126" i="43" s="1"/>
  <c r="AV66" i="43"/>
  <c r="AV68" i="43" s="1"/>
  <c r="AN68" i="43"/>
  <c r="AF200" i="43"/>
  <c r="AO200" i="43" s="1"/>
  <c r="AF197" i="43"/>
  <c r="AO197" i="43" s="1"/>
  <c r="AF172" i="43"/>
  <c r="AO172" i="43" s="1"/>
  <c r="AF199" i="43"/>
  <c r="AO199" i="43" s="1"/>
  <c r="AF149" i="43"/>
  <c r="AO149" i="43" s="1"/>
  <c r="AF43" i="43"/>
  <c r="AO43" i="43" s="1"/>
  <c r="AB201" i="43"/>
  <c r="AT196" i="43"/>
  <c r="AT201" i="43" s="1"/>
  <c r="AF196" i="43"/>
  <c r="Z201" i="43"/>
  <c r="AF55" i="43"/>
  <c r="AO55" i="43" s="1"/>
  <c r="AV450" i="43"/>
  <c r="AV452" i="43" s="1"/>
  <c r="AN452" i="43"/>
  <c r="AM457" i="43"/>
  <c r="AS411" i="43"/>
  <c r="AF411" i="43"/>
  <c r="AO411" i="43" s="1"/>
  <c r="Z452" i="43"/>
  <c r="AF450" i="43"/>
  <c r="AF440" i="43"/>
  <c r="AO440" i="43" s="1"/>
  <c r="V408" i="43"/>
  <c r="AB403" i="43"/>
  <c r="Z403" i="43"/>
  <c r="AP403" i="43"/>
  <c r="AP408" i="43" s="1"/>
  <c r="AB443" i="43"/>
  <c r="AT423" i="43"/>
  <c r="AF435" i="43"/>
  <c r="AO435" i="43" s="1"/>
  <c r="AN385" i="43"/>
  <c r="AV382" i="43"/>
  <c r="AV385" i="43" s="1"/>
  <c r="AF423" i="43"/>
  <c r="AV403" i="43"/>
  <c r="AV408" i="43" s="1"/>
  <c r="AN408" i="43"/>
  <c r="V402" i="43"/>
  <c r="AB400" i="43"/>
  <c r="AP400" i="43"/>
  <c r="AP402" i="43" s="1"/>
  <c r="Z400" i="43"/>
  <c r="AF394" i="43"/>
  <c r="AO394" i="43" s="1"/>
  <c r="AB399" i="43"/>
  <c r="AT393" i="43"/>
  <c r="AT399" i="43" s="1"/>
  <c r="AB356" i="43"/>
  <c r="V362" i="43"/>
  <c r="AP356" i="43"/>
  <c r="AP362" i="43" s="1"/>
  <c r="Z356" i="43"/>
  <c r="AF419" i="43"/>
  <c r="AO419" i="43" s="1"/>
  <c r="AF401" i="43"/>
  <c r="AO401" i="43" s="1"/>
  <c r="AF395" i="43"/>
  <c r="AO395" i="43" s="1"/>
  <c r="AS372" i="43"/>
  <c r="AF372" i="43"/>
  <c r="AO372" i="43" s="1"/>
  <c r="AS338" i="43"/>
  <c r="AS343" i="43" s="1"/>
  <c r="AP307" i="43"/>
  <c r="AW392" i="43"/>
  <c r="AS351" i="43"/>
  <c r="AS355" i="43" s="1"/>
  <c r="AP311" i="43"/>
  <c r="AV294" i="43"/>
  <c r="AV300" i="43" s="1"/>
  <c r="AN300" i="43"/>
  <c r="AN291" i="43"/>
  <c r="AV284" i="43"/>
  <c r="AV291" i="43" s="1"/>
  <c r="AT273" i="43"/>
  <c r="AS376" i="43"/>
  <c r="AS381" i="43" s="1"/>
  <c r="AF359" i="43"/>
  <c r="AO359" i="43" s="1"/>
  <c r="AF333" i="43"/>
  <c r="AO333" i="43" s="1"/>
  <c r="Z326" i="43"/>
  <c r="AF323" i="43"/>
  <c r="AW317" i="43"/>
  <c r="AV399" i="43"/>
  <c r="AF373" i="43"/>
  <c r="AO373" i="43" s="1"/>
  <c r="AF360" i="43"/>
  <c r="AO360" i="43" s="1"/>
  <c r="AB343" i="43"/>
  <c r="AF292" i="43"/>
  <c r="Z293" i="43"/>
  <c r="AS270" i="43"/>
  <c r="AF270" i="43"/>
  <c r="AO270" i="43" s="1"/>
  <c r="AW267" i="43"/>
  <c r="AS212" i="43"/>
  <c r="AF212" i="43"/>
  <c r="AO212" i="43" s="1"/>
  <c r="AS210" i="43"/>
  <c r="AF210" i="43"/>
  <c r="AO210" i="43" s="1"/>
  <c r="AS153" i="43"/>
  <c r="AS157" i="43" s="1"/>
  <c r="AP134" i="43"/>
  <c r="AF370" i="43"/>
  <c r="AO370" i="43" s="1"/>
  <c r="AF338" i="43"/>
  <c r="AQ307" i="43"/>
  <c r="AP278" i="43"/>
  <c r="AW271" i="43"/>
  <c r="AW232" i="43"/>
  <c r="AF190" i="43"/>
  <c r="Z195" i="43"/>
  <c r="AX467" i="43"/>
  <c r="V469" i="43"/>
  <c r="AB12" i="43"/>
  <c r="V13" i="43"/>
  <c r="AP12" i="43"/>
  <c r="AA12" i="43"/>
  <c r="AA13" i="43" s="1"/>
  <c r="Z12" i="43"/>
  <c r="AF315" i="43"/>
  <c r="AO315" i="43" s="1"/>
  <c r="AF312" i="43"/>
  <c r="AS254" i="43"/>
  <c r="AS257" i="43" s="1"/>
  <c r="AQ462" i="43"/>
  <c r="AQ251" i="43"/>
  <c r="AF241" i="43"/>
  <c r="AO241" i="43" s="1"/>
  <c r="AF321" i="43"/>
  <c r="AO321" i="43" s="1"/>
  <c r="AU462" i="43"/>
  <c r="AN29" i="45" s="1"/>
  <c r="AN201" i="43"/>
  <c r="AV196" i="43"/>
  <c r="AV201" i="43" s="1"/>
  <c r="AW127" i="43"/>
  <c r="AW105" i="43"/>
  <c r="AF72" i="43"/>
  <c r="AO72" i="43" s="1"/>
  <c r="AS72" i="43"/>
  <c r="AF70" i="43"/>
  <c r="AO70" i="43" s="1"/>
  <c r="AS70" i="43"/>
  <c r="AP57" i="43"/>
  <c r="AS41" i="43"/>
  <c r="AP30" i="43"/>
  <c r="AF298" i="43"/>
  <c r="AO298" i="43" s="1"/>
  <c r="AF181" i="43"/>
  <c r="AO181" i="43" s="1"/>
  <c r="AN120" i="43"/>
  <c r="AV116" i="43"/>
  <c r="AV120" i="43" s="1"/>
  <c r="AW94" i="43"/>
  <c r="AN50" i="43"/>
  <c r="AV48" i="43"/>
  <c r="AV50" i="43" s="1"/>
  <c r="AW22" i="43"/>
  <c r="AN261" i="43"/>
  <c r="AW182" i="43"/>
  <c r="AX461" i="43"/>
  <c r="AN283" i="43"/>
  <c r="AV279" i="43"/>
  <c r="AV283" i="43" s="1"/>
  <c r="AV233" i="43"/>
  <c r="AV238" i="43" s="1"/>
  <c r="AN238" i="43"/>
  <c r="AF187" i="43"/>
  <c r="AO187" i="43" s="1"/>
  <c r="AF154" i="43"/>
  <c r="AO154" i="43" s="1"/>
  <c r="AF131" i="43"/>
  <c r="AO131" i="43" s="1"/>
  <c r="AU134" i="43"/>
  <c r="AS106" i="43"/>
  <c r="AS109" i="43" s="1"/>
  <c r="AW27" i="43"/>
  <c r="AW460" i="43"/>
  <c r="AB251" i="43"/>
  <c r="AT245" i="43"/>
  <c r="AB462" i="43"/>
  <c r="Z109" i="43"/>
  <c r="AF106" i="43"/>
  <c r="AF64" i="43"/>
  <c r="AO64" i="43" s="1"/>
  <c r="AW226" i="43"/>
  <c r="AF156" i="43"/>
  <c r="AO156" i="43" s="1"/>
  <c r="AQ157" i="43"/>
  <c r="AN146" i="43"/>
  <c r="AV141" i="43"/>
  <c r="AV146" i="43" s="1"/>
  <c r="AT120" i="43"/>
  <c r="AS113" i="43"/>
  <c r="AS115" i="43" s="1"/>
  <c r="AP98" i="43"/>
  <c r="AS81" i="43"/>
  <c r="AS83" i="43" s="1"/>
  <c r="AW80" i="43"/>
  <c r="AN65" i="43"/>
  <c r="AV62" i="43"/>
  <c r="AV65" i="43" s="1"/>
  <c r="AP22" i="43"/>
  <c r="AM459" i="43"/>
  <c r="AW68" i="43"/>
  <c r="AF86" i="43"/>
  <c r="AO86" i="43" s="1"/>
  <c r="AF97" i="43"/>
  <c r="AO97" i="43" s="1"/>
  <c r="AF229" i="43"/>
  <c r="AO229" i="43" s="1"/>
  <c r="AW452" i="43"/>
  <c r="AN429" i="43"/>
  <c r="AV423" i="43"/>
  <c r="AV429" i="43" s="1"/>
  <c r="AF432" i="43"/>
  <c r="AO432" i="43" s="1"/>
  <c r="AF439" i="43"/>
  <c r="AO439" i="43" s="1"/>
  <c r="AB430" i="43"/>
  <c r="AP430" i="43"/>
  <c r="AP436" i="43" s="1"/>
  <c r="Z430" i="43"/>
  <c r="V436" i="43"/>
  <c r="AW385" i="43"/>
  <c r="AN449" i="43"/>
  <c r="AF431" i="43"/>
  <c r="AO431" i="43" s="1"/>
  <c r="AF427" i="43"/>
  <c r="AO427" i="43" s="1"/>
  <c r="AF397" i="43"/>
  <c r="AO397" i="43" s="1"/>
  <c r="AS393" i="43"/>
  <c r="AS399" i="43" s="1"/>
  <c r="AV369" i="43"/>
  <c r="AV375" i="43" s="1"/>
  <c r="AN375" i="43"/>
  <c r="AF451" i="43"/>
  <c r="AO451" i="43" s="1"/>
  <c r="AN422" i="43"/>
  <c r="AV416" i="43"/>
  <c r="AV422" i="43" s="1"/>
  <c r="AS384" i="43"/>
  <c r="AF384" i="43"/>
  <c r="AO384" i="43" s="1"/>
  <c r="AS382" i="43"/>
  <c r="AP343" i="43"/>
  <c r="AV327" i="43"/>
  <c r="AV329" i="43" s="1"/>
  <c r="AN329" i="43"/>
  <c r="AS301" i="43"/>
  <c r="AS307" i="43" s="1"/>
  <c r="AV386" i="43"/>
  <c r="AV392" i="43" s="1"/>
  <c r="AN392" i="43"/>
  <c r="AW300" i="43"/>
  <c r="V463" i="43"/>
  <c r="O30" i="45" s="1"/>
  <c r="AP381" i="43"/>
  <c r="AF358" i="43"/>
  <c r="AO358" i="43" s="1"/>
  <c r="AF346" i="43"/>
  <c r="AO346" i="43" s="1"/>
  <c r="AF342" i="43"/>
  <c r="AO342" i="43" s="1"/>
  <c r="AF379" i="43"/>
  <c r="AO379" i="43" s="1"/>
  <c r="AF378" i="43"/>
  <c r="AO378" i="43" s="1"/>
  <c r="AF297" i="43"/>
  <c r="AO297" i="43" s="1"/>
  <c r="AF288" i="43"/>
  <c r="AO288" i="43" s="1"/>
  <c r="AF260" i="43"/>
  <c r="AO260" i="43" s="1"/>
  <c r="AT133" i="43"/>
  <c r="AF437" i="43"/>
  <c r="AN399" i="43"/>
  <c r="AF380" i="43"/>
  <c r="AO380" i="43" s="1"/>
  <c r="AT355" i="43"/>
  <c r="AF334" i="43"/>
  <c r="AO334" i="43" s="1"/>
  <c r="AB293" i="43"/>
  <c r="AT292" i="43"/>
  <c r="AT293" i="43" s="1"/>
  <c r="AX462" i="43"/>
  <c r="AQ29" i="45" s="1"/>
  <c r="AX251" i="43"/>
  <c r="AP214" i="43"/>
  <c r="AS188" i="43"/>
  <c r="AF188" i="43"/>
  <c r="AO188" i="43" s="1"/>
  <c r="AS186" i="43"/>
  <c r="AF186" i="43"/>
  <c r="AO186" i="43" s="1"/>
  <c r="AS184" i="43"/>
  <c r="AF184" i="43"/>
  <c r="AO184" i="43" s="1"/>
  <c r="AS128" i="43"/>
  <c r="AF364" i="43"/>
  <c r="AO364" i="43" s="1"/>
  <c r="AT326" i="43"/>
  <c r="AF304" i="43"/>
  <c r="AO304" i="43" s="1"/>
  <c r="AF282" i="43"/>
  <c r="AO282" i="43" s="1"/>
  <c r="AF191" i="43"/>
  <c r="AO191" i="43" s="1"/>
  <c r="AS190" i="43"/>
  <c r="AS195" i="43" s="1"/>
  <c r="AF168" i="43"/>
  <c r="AO168" i="43" s="1"/>
  <c r="AF164" i="43"/>
  <c r="Z169" i="43"/>
  <c r="AV147" i="43"/>
  <c r="AV152" i="43" s="1"/>
  <c r="AN152" i="43"/>
  <c r="AW468" i="43"/>
  <c r="V467" i="43"/>
  <c r="O34" i="45" s="1"/>
  <c r="AB125" i="43"/>
  <c r="Z125" i="43"/>
  <c r="AP125" i="43"/>
  <c r="AP467" i="43" s="1"/>
  <c r="AF374" i="43"/>
  <c r="AO374" i="43" s="1"/>
  <c r="AT312" i="43"/>
  <c r="AV278" i="43"/>
  <c r="AP257" i="43"/>
  <c r="Z344" i="43"/>
  <c r="V350" i="43"/>
  <c r="AP344" i="43"/>
  <c r="AP350" i="43" s="1"/>
  <c r="AB344" i="43"/>
  <c r="AF314" i="43"/>
  <c r="AO314" i="43" s="1"/>
  <c r="AF240" i="43"/>
  <c r="AO240" i="43" s="1"/>
  <c r="AB244" i="43"/>
  <c r="AT239" i="43"/>
  <c r="AT244" i="43" s="1"/>
  <c r="AW201" i="43"/>
  <c r="AS180" i="43"/>
  <c r="AF180" i="43"/>
  <c r="AO180" i="43" s="1"/>
  <c r="AS176" i="43"/>
  <c r="AN461" i="43"/>
  <c r="AG28" i="45" s="1"/>
  <c r="AV122" i="43"/>
  <c r="AS102" i="43"/>
  <c r="AS105" i="43" s="1"/>
  <c r="AF102" i="43"/>
  <c r="AS84" i="43"/>
  <c r="AP73" i="43"/>
  <c r="AF56" i="43"/>
  <c r="AO56" i="43" s="1"/>
  <c r="AS56" i="43"/>
  <c r="AS54" i="43"/>
  <c r="AF54" i="43"/>
  <c r="AS28" i="43"/>
  <c r="Z214" i="43"/>
  <c r="AF209" i="43"/>
  <c r="AF176" i="43"/>
  <c r="AF160" i="43"/>
  <c r="AO160" i="43" s="1"/>
  <c r="AF132" i="43"/>
  <c r="AO132" i="43" s="1"/>
  <c r="V461" i="43"/>
  <c r="AB122" i="43"/>
  <c r="Z122" i="43"/>
  <c r="AP122" i="43"/>
  <c r="AW120" i="43"/>
  <c r="AS51" i="43"/>
  <c r="AS53" i="43" s="1"/>
  <c r="AQ460" i="43"/>
  <c r="AQ469" i="43"/>
  <c r="AQ13" i="43"/>
  <c r="AF273" i="43"/>
  <c r="AF207" i="43"/>
  <c r="AO207" i="43" s="1"/>
  <c r="AN195" i="43"/>
  <c r="AF155" i="43"/>
  <c r="AO155" i="43" s="1"/>
  <c r="AQ461" i="43"/>
  <c r="AJ28" i="45" s="1"/>
  <c r="AS121" i="43"/>
  <c r="AF36" i="43"/>
  <c r="AO36" i="43" s="1"/>
  <c r="AF17" i="43"/>
  <c r="AF14" i="43"/>
  <c r="Z18" i="43"/>
  <c r="V460" i="43"/>
  <c r="AX283" i="43"/>
  <c r="Z208" i="43"/>
  <c r="AF185" i="43"/>
  <c r="AO185" i="43" s="1"/>
  <c r="Z98" i="43"/>
  <c r="AF95" i="43"/>
  <c r="AF76" i="43"/>
  <c r="AO76" i="43" s="1"/>
  <c r="AF69" i="43"/>
  <c r="AF58" i="43"/>
  <c r="Z61" i="43"/>
  <c r="Z53" i="43"/>
  <c r="AF51" i="43"/>
  <c r="Z27" i="43"/>
  <c r="AF23" i="43"/>
  <c r="AN466" i="43"/>
  <c r="AP462" i="43"/>
  <c r="AP251" i="43"/>
  <c r="AP109" i="43"/>
  <c r="AT105" i="43"/>
  <c r="Z83" i="43"/>
  <c r="Z313" i="43"/>
  <c r="AP313" i="43"/>
  <c r="AP317" i="43" s="1"/>
  <c r="AB313" i="43"/>
  <c r="AT313" i="43" s="1"/>
  <c r="AF266" i="43"/>
  <c r="AO266" i="43" s="1"/>
  <c r="AF242" i="43"/>
  <c r="AO242" i="43" s="1"/>
  <c r="AV202" i="43"/>
  <c r="AV208" i="43" s="1"/>
  <c r="AN208" i="43"/>
  <c r="AV158" i="43"/>
  <c r="AV163" i="43" s="1"/>
  <c r="AN163" i="43"/>
  <c r="AW146" i="43"/>
  <c r="Z134" i="43"/>
  <c r="AB120" i="43"/>
  <c r="AB115" i="43"/>
  <c r="AT113" i="43"/>
  <c r="AT115" i="43" s="1"/>
  <c r="AW65" i="43"/>
  <c r="AN37" i="43"/>
  <c r="AV35" i="43"/>
  <c r="AV37" i="43" s="1"/>
  <c r="AP27" i="43"/>
  <c r="AB22" i="43"/>
  <c r="AT19" i="43"/>
  <c r="AT22" i="43" s="1"/>
  <c r="AV13" i="43"/>
  <c r="AF25" i="43"/>
  <c r="AO25" i="43" s="1"/>
  <c r="AF117" i="43"/>
  <c r="AO117" i="43" s="1"/>
  <c r="AN27" i="45" l="1"/>
  <c r="AJ36" i="45"/>
  <c r="O28" i="45"/>
  <c r="AI34" i="45"/>
  <c r="AP34" i="45"/>
  <c r="AJ34" i="45"/>
  <c r="AJ29" i="45"/>
  <c r="AG29" i="45"/>
  <c r="AJ30" i="45"/>
  <c r="AQ27" i="45"/>
  <c r="AO34" i="45"/>
  <c r="AG33" i="45"/>
  <c r="AG34" i="45"/>
  <c r="O35" i="45"/>
  <c r="O36" i="45"/>
  <c r="S33" i="45"/>
  <c r="AQ28" i="45"/>
  <c r="AQ34" i="45"/>
  <c r="AN28" i="45"/>
  <c r="AP36" i="45"/>
  <c r="AJ33" i="45"/>
  <c r="AP30" i="45"/>
  <c r="AJ35" i="45"/>
  <c r="AP35" i="45"/>
  <c r="AP33" i="45"/>
  <c r="AJ27" i="45"/>
  <c r="O27" i="45"/>
  <c r="AP27" i="45"/>
  <c r="AG27" i="45"/>
  <c r="AT141" i="43"/>
  <c r="AT146" i="43" s="1"/>
  <c r="AT74" i="43"/>
  <c r="AT77" i="43" s="1"/>
  <c r="AB34" i="43"/>
  <c r="AB37" i="43"/>
  <c r="AT48" i="43"/>
  <c r="AT50" i="43" s="1"/>
  <c r="AT415" i="43"/>
  <c r="AT367" i="43"/>
  <c r="AT368" i="43" s="1"/>
  <c r="AB466" i="43"/>
  <c r="U33" i="45" s="1"/>
  <c r="AB415" i="43"/>
  <c r="AB261" i="43"/>
  <c r="AS425" i="43"/>
  <c r="AS429" i="43" s="1"/>
  <c r="AS313" i="43"/>
  <c r="AS317" i="43" s="1"/>
  <c r="AS284" i="43"/>
  <c r="AS291" i="43" s="1"/>
  <c r="AS239" i="43"/>
  <c r="AS244" i="43" s="1"/>
  <c r="AA468" i="43"/>
  <c r="AS409" i="43"/>
  <c r="AS415" i="43" s="1"/>
  <c r="AA466" i="43"/>
  <c r="T33" i="45" s="1"/>
  <c r="AS279" i="43"/>
  <c r="AS283" i="43" s="1"/>
  <c r="AS158" i="43"/>
  <c r="AS163" i="43" s="1"/>
  <c r="AF62" i="43"/>
  <c r="AF65" i="43" s="1"/>
  <c r="AB55" i="44"/>
  <c r="AE26" i="45"/>
  <c r="AF26" i="45"/>
  <c r="X25" i="45"/>
  <c r="R25" i="45"/>
  <c r="V131" i="44"/>
  <c r="AN131" i="44"/>
  <c r="L26" i="45"/>
  <c r="O25" i="45" s="1"/>
  <c r="AT78" i="43"/>
  <c r="AT80" i="43" s="1"/>
  <c r="V457" i="43"/>
  <c r="AN132" i="44"/>
  <c r="AP468" i="43"/>
  <c r="AI35" i="45" s="1"/>
  <c r="AB322" i="43"/>
  <c r="AF409" i="43"/>
  <c r="AO409" i="43" s="1"/>
  <c r="AO415" i="43" s="1"/>
  <c r="AT215" i="43"/>
  <c r="AT220" i="43" s="1"/>
  <c r="AS327" i="43"/>
  <c r="AS329" i="43" s="1"/>
  <c r="AS44" i="43"/>
  <c r="AS135" i="43"/>
  <c r="AS140" i="43" s="1"/>
  <c r="AS49" i="44"/>
  <c r="AS55" i="44" s="1"/>
  <c r="AA143" i="44"/>
  <c r="AB291" i="43"/>
  <c r="AF284" i="43"/>
  <c r="AF291" i="43" s="1"/>
  <c r="AT88" i="43"/>
  <c r="AT90" i="43" s="1"/>
  <c r="AS320" i="43"/>
  <c r="AS322" i="43" s="1"/>
  <c r="AF83" i="43"/>
  <c r="AO83" i="43"/>
  <c r="AF239" i="43"/>
  <c r="AF244" i="43" s="1"/>
  <c r="AS110" i="43"/>
  <c r="AS112" i="43" s="1"/>
  <c r="AF320" i="43"/>
  <c r="AO320" i="43" s="1"/>
  <c r="AO322" i="43" s="1"/>
  <c r="AS88" i="43"/>
  <c r="AS90" i="43" s="1"/>
  <c r="AU456" i="43"/>
  <c r="AN13" i="45" s="1"/>
  <c r="AQ456" i="43"/>
  <c r="AJ13" i="45" s="1"/>
  <c r="AX456" i="43"/>
  <c r="AQ13" i="45" s="1"/>
  <c r="V456" i="43"/>
  <c r="O13" i="45" s="1"/>
  <c r="AW456" i="43"/>
  <c r="AP13" i="45" s="1"/>
  <c r="AN456" i="43"/>
  <c r="AG13" i="45" s="1"/>
  <c r="AB143" i="44"/>
  <c r="AB65" i="43"/>
  <c r="AP466" i="43"/>
  <c r="AI33" i="45" s="1"/>
  <c r="AF49" i="44"/>
  <c r="AF55" i="44" s="1"/>
  <c r="AS42" i="44"/>
  <c r="AS48" i="44" s="1"/>
  <c r="AF26" i="44"/>
  <c r="AO26" i="44" s="1"/>
  <c r="Z143" i="44"/>
  <c r="AB385" i="43"/>
  <c r="AF88" i="43"/>
  <c r="AF90" i="43" s="1"/>
  <c r="AS30" i="43"/>
  <c r="AX130" i="44"/>
  <c r="AQ14" i="45" s="1"/>
  <c r="AB226" i="43"/>
  <c r="AS74" i="43"/>
  <c r="AS77" i="43" s="1"/>
  <c r="AF40" i="43"/>
  <c r="AV469" i="43"/>
  <c r="AO36" i="45" s="1"/>
  <c r="AS215" i="43"/>
  <c r="AS220" i="43" s="1"/>
  <c r="AF74" i="43"/>
  <c r="AF77" i="43" s="1"/>
  <c r="AF158" i="43"/>
  <c r="AO158" i="43" s="1"/>
  <c r="AO163" i="43" s="1"/>
  <c r="AS62" i="43"/>
  <c r="AS65" i="43" s="1"/>
  <c r="AT45" i="43"/>
  <c r="AT47" i="43" s="1"/>
  <c r="AF319" i="43"/>
  <c r="AB94" i="43"/>
  <c r="AF45" i="43"/>
  <c r="AO45" i="43" s="1"/>
  <c r="AO47" i="43" s="1"/>
  <c r="AS31" i="43"/>
  <c r="AS34" i="43" s="1"/>
  <c r="AF258" i="43"/>
  <c r="AF261" i="43" s="1"/>
  <c r="AO38" i="43"/>
  <c r="AO40" i="43" s="1"/>
  <c r="AS134" i="43"/>
  <c r="AF42" i="44"/>
  <c r="AF48" i="44" s="1"/>
  <c r="Z77" i="43"/>
  <c r="AF279" i="43"/>
  <c r="AF283" i="43" s="1"/>
  <c r="AT158" i="43"/>
  <c r="AT163" i="43" s="1"/>
  <c r="AB283" i="43"/>
  <c r="AF31" i="43"/>
  <c r="AF34" i="43" s="1"/>
  <c r="AF215" i="43"/>
  <c r="AF220" i="43" s="1"/>
  <c r="AS87" i="43"/>
  <c r="Z220" i="43"/>
  <c r="Z34" i="43"/>
  <c r="AO22" i="43"/>
  <c r="Z127" i="43"/>
  <c r="AT363" i="43"/>
  <c r="AT366" i="43" s="1"/>
  <c r="AF383" i="43"/>
  <c r="AO383" i="43" s="1"/>
  <c r="AF22" i="43"/>
  <c r="AB329" i="43"/>
  <c r="AS385" i="43"/>
  <c r="AS363" i="43"/>
  <c r="AS366" i="43" s="1"/>
  <c r="AB140" i="43"/>
  <c r="AF135" i="43"/>
  <c r="AF140" i="43" s="1"/>
  <c r="AF363" i="43"/>
  <c r="AF366" i="43" s="1"/>
  <c r="AO238" i="43"/>
  <c r="AS78" i="43"/>
  <c r="AS80" i="43" s="1"/>
  <c r="AB463" i="43"/>
  <c r="AF327" i="43"/>
  <c r="AF329" i="43" s="1"/>
  <c r="AF78" i="43"/>
  <c r="AO78" i="43" s="1"/>
  <c r="AO80" i="43" s="1"/>
  <c r="AB429" i="43"/>
  <c r="AF35" i="43"/>
  <c r="AF37" i="43" s="1"/>
  <c r="AS35" i="43"/>
  <c r="AS37" i="43" s="1"/>
  <c r="AP34" i="44"/>
  <c r="AX133" i="44"/>
  <c r="AO113" i="44"/>
  <c r="AO114" i="44" s="1"/>
  <c r="V130" i="44"/>
  <c r="O14" i="45" s="1"/>
  <c r="AF101" i="44"/>
  <c r="AO101" i="44" s="1"/>
  <c r="AO104" i="44" s="1"/>
  <c r="Z104" i="44"/>
  <c r="AW130" i="44"/>
  <c r="AP14" i="45" s="1"/>
  <c r="AU133" i="44"/>
  <c r="V133" i="44"/>
  <c r="Z132" i="44" s="1"/>
  <c r="AO129" i="44"/>
  <c r="AQ133" i="44"/>
  <c r="AU130" i="44"/>
  <c r="AN14" i="45" s="1"/>
  <c r="AQ130" i="44"/>
  <c r="AJ14" i="45" s="1"/>
  <c r="AP143" i="44"/>
  <c r="AT101" i="44"/>
  <c r="AT104" i="44" s="1"/>
  <c r="AB104" i="44"/>
  <c r="AV127" i="43"/>
  <c r="AT463" i="43"/>
  <c r="AF392" i="43"/>
  <c r="AF66" i="43"/>
  <c r="AO392" i="43"/>
  <c r="AN459" i="43"/>
  <c r="AF238" i="43"/>
  <c r="Z449" i="43"/>
  <c r="AF84" i="43"/>
  <c r="AO84" i="43" s="1"/>
  <c r="AO87" i="43" s="1"/>
  <c r="AF110" i="43"/>
  <c r="AO110" i="43" s="1"/>
  <c r="AO112" i="43" s="1"/>
  <c r="AB253" i="43"/>
  <c r="AT252" i="43"/>
  <c r="AT253" i="43" s="1"/>
  <c r="AT110" i="43"/>
  <c r="AT112" i="43" s="1"/>
  <c r="AB112" i="43"/>
  <c r="Z146" i="43"/>
  <c r="AF141" i="43"/>
  <c r="AS57" i="43"/>
  <c r="AT317" i="43"/>
  <c r="AT429" i="43"/>
  <c r="AF425" i="43"/>
  <c r="AO425" i="43" s="1"/>
  <c r="AB449" i="43"/>
  <c r="Z253" i="43"/>
  <c r="AF252" i="43"/>
  <c r="AF468" i="43" s="1"/>
  <c r="AB44" i="43"/>
  <c r="AT41" i="43"/>
  <c r="AT44" i="43" s="1"/>
  <c r="AF41" i="43"/>
  <c r="AO41" i="43" s="1"/>
  <c r="AO44" i="43" s="1"/>
  <c r="AS367" i="43"/>
  <c r="AS368" i="43" s="1"/>
  <c r="AS221" i="43"/>
  <c r="AS226" i="43" s="1"/>
  <c r="V459" i="43"/>
  <c r="Z458" i="43" s="1"/>
  <c r="AA460" i="43"/>
  <c r="AP463" i="43"/>
  <c r="AI30" i="45" s="1"/>
  <c r="AS252" i="43"/>
  <c r="AS253" i="43" s="1"/>
  <c r="AS48" i="43"/>
  <c r="AS50" i="43" s="1"/>
  <c r="Z368" i="43"/>
  <c r="AF367" i="43"/>
  <c r="AF466" i="43" s="1"/>
  <c r="AF221" i="43"/>
  <c r="Z226" i="43"/>
  <c r="AS91" i="43"/>
  <c r="AS94" i="43" s="1"/>
  <c r="AS278" i="43"/>
  <c r="AB87" i="43"/>
  <c r="AT84" i="43"/>
  <c r="AT87" i="43" s="1"/>
  <c r="Z50" i="43"/>
  <c r="AF48" i="43"/>
  <c r="AB68" i="43"/>
  <c r="AT66" i="43"/>
  <c r="AT68" i="43" s="1"/>
  <c r="AF91" i="43"/>
  <c r="AO91" i="43" s="1"/>
  <c r="AO94" i="43" s="1"/>
  <c r="Z94" i="43"/>
  <c r="AS141" i="43"/>
  <c r="AS146" i="43" s="1"/>
  <c r="AB134" i="44"/>
  <c r="AB27" i="44"/>
  <c r="AT19" i="44"/>
  <c r="AS140" i="44"/>
  <c r="AO28" i="44"/>
  <c r="AA135" i="44"/>
  <c r="AS20" i="44"/>
  <c r="AS135" i="44" s="1"/>
  <c r="AF90" i="44"/>
  <c r="AO84" i="44"/>
  <c r="AO90" i="44" s="1"/>
  <c r="AT140" i="44"/>
  <c r="AT13" i="44"/>
  <c r="AV135" i="44"/>
  <c r="AA141" i="44"/>
  <c r="AS16" i="44"/>
  <c r="AS141" i="44" s="1"/>
  <c r="AA137" i="44"/>
  <c r="AS29" i="44"/>
  <c r="AS137" i="44" s="1"/>
  <c r="AB106" i="44"/>
  <c r="AT105" i="44"/>
  <c r="AT106" i="44" s="1"/>
  <c r="AF62" i="44"/>
  <c r="AO56" i="44"/>
  <c r="AO62" i="44" s="1"/>
  <c r="AN133" i="44"/>
  <c r="AW133" i="44"/>
  <c r="AV140" i="44"/>
  <c r="AV13" i="44"/>
  <c r="AP134" i="44"/>
  <c r="AP27" i="44"/>
  <c r="AV34" i="44"/>
  <c r="AB135" i="44"/>
  <c r="AT20" i="44"/>
  <c r="AT135" i="44" s="1"/>
  <c r="Z136" i="44"/>
  <c r="S29" i="45" s="1"/>
  <c r="Z18" i="44"/>
  <c r="AF14" i="44"/>
  <c r="AB136" i="44"/>
  <c r="U29" i="45" s="1"/>
  <c r="AB18" i="44"/>
  <c r="AT14" i="44"/>
  <c r="AF129" i="44"/>
  <c r="AB137" i="44"/>
  <c r="AT29" i="44"/>
  <c r="AT137" i="44" s="1"/>
  <c r="AF76" i="44"/>
  <c r="AO70" i="44"/>
  <c r="AO76" i="44" s="1"/>
  <c r="AS77" i="44"/>
  <c r="AS83" i="44" s="1"/>
  <c r="AA83" i="44"/>
  <c r="AF77" i="44"/>
  <c r="Z83" i="44"/>
  <c r="AS105" i="44"/>
  <c r="AS106" i="44" s="1"/>
  <c r="AA106" i="44"/>
  <c r="AO12" i="44"/>
  <c r="AF140" i="44"/>
  <c r="AF13" i="44"/>
  <c r="AV134" i="44"/>
  <c r="AV27" i="44"/>
  <c r="AN130" i="44"/>
  <c r="AG14" i="45" s="1"/>
  <c r="Z134" i="44"/>
  <c r="AF19" i="44"/>
  <c r="Z27" i="44"/>
  <c r="AF100" i="44"/>
  <c r="AO95" i="44"/>
  <c r="AO100" i="44" s="1"/>
  <c r="AF112" i="44"/>
  <c r="AO107" i="44"/>
  <c r="AO112" i="44" s="1"/>
  <c r="AA136" i="44"/>
  <c r="T29" i="45" s="1"/>
  <c r="AA18" i="44"/>
  <c r="AS14" i="44"/>
  <c r="AS18" i="44" s="1"/>
  <c r="AA142" i="44"/>
  <c r="AS25" i="44"/>
  <c r="AS142" i="44" s="1"/>
  <c r="AB141" i="44"/>
  <c r="AT16" i="44"/>
  <c r="AT141" i="44" s="1"/>
  <c r="AB83" i="44"/>
  <c r="AT77" i="44"/>
  <c r="AT83" i="44" s="1"/>
  <c r="AO91" i="44"/>
  <c r="AO94" i="44" s="1"/>
  <c r="AF94" i="44"/>
  <c r="AF123" i="44"/>
  <c r="AO115" i="44"/>
  <c r="AO123" i="44" s="1"/>
  <c r="AA134" i="44"/>
  <c r="AA27" i="44"/>
  <c r="AS19" i="44"/>
  <c r="AF41" i="44"/>
  <c r="AO35" i="44"/>
  <c r="AO41" i="44" s="1"/>
  <c r="Z135" i="44"/>
  <c r="AF20" i="44"/>
  <c r="AP136" i="44"/>
  <c r="AI29" i="45" s="1"/>
  <c r="AP18" i="44"/>
  <c r="AB142" i="44"/>
  <c r="U35" i="45" s="1"/>
  <c r="AT25" i="44"/>
  <c r="AT142" i="44" s="1"/>
  <c r="Z142" i="44"/>
  <c r="S35" i="45" s="1"/>
  <c r="AF25" i="44"/>
  <c r="Z141" i="44"/>
  <c r="AF16" i="44"/>
  <c r="Z137" i="44"/>
  <c r="S30" i="45" s="1"/>
  <c r="AF29" i="44"/>
  <c r="AF69" i="44"/>
  <c r="AO63" i="44"/>
  <c r="AO69" i="44" s="1"/>
  <c r="AF105" i="44"/>
  <c r="Z106" i="44"/>
  <c r="AT403" i="43"/>
  <c r="AT408" i="43" s="1"/>
  <c r="AB408" i="43"/>
  <c r="AF27" i="43"/>
  <c r="AO23" i="43"/>
  <c r="AO27" i="43" s="1"/>
  <c r="AF169" i="43"/>
  <c r="AO164" i="43"/>
  <c r="AO169" i="43" s="1"/>
  <c r="AF443" i="43"/>
  <c r="AO437" i="43"/>
  <c r="AO443" i="43" s="1"/>
  <c r="Z436" i="43"/>
  <c r="AF430" i="43"/>
  <c r="AT462" i="43"/>
  <c r="AT251" i="43"/>
  <c r="Z469" i="43"/>
  <c r="Z13" i="43"/>
  <c r="AF12" i="43"/>
  <c r="AB469" i="43"/>
  <c r="U36" i="45" s="1"/>
  <c r="AT12" i="43"/>
  <c r="AB13" i="43"/>
  <c r="AF293" i="43"/>
  <c r="AO292" i="43"/>
  <c r="AO293" i="43" s="1"/>
  <c r="Z362" i="43"/>
  <c r="AF356" i="43"/>
  <c r="AB362" i="43"/>
  <c r="AT356" i="43"/>
  <c r="AT362" i="43" s="1"/>
  <c r="AF201" i="43"/>
  <c r="AO196" i="43"/>
  <c r="AO201" i="43" s="1"/>
  <c r="AP460" i="43"/>
  <c r="Z232" i="43"/>
  <c r="AF227" i="43"/>
  <c r="AS208" i="43"/>
  <c r="Z375" i="43"/>
  <c r="AF369" i="43"/>
  <c r="AF399" i="43"/>
  <c r="AO393" i="43"/>
  <c r="AO399" i="43" s="1"/>
  <c r="AO183" i="43"/>
  <c r="AO189" i="43" s="1"/>
  <c r="AF189" i="43"/>
  <c r="AS147" i="43"/>
  <c r="AS152" i="43" s="1"/>
  <c r="AB152" i="43"/>
  <c r="AT147" i="43"/>
  <c r="AT152" i="43" s="1"/>
  <c r="AB267" i="43"/>
  <c r="AT262" i="43"/>
  <c r="AT267" i="43" s="1"/>
  <c r="AV462" i="43"/>
  <c r="AO29" i="45" s="1"/>
  <c r="AV251" i="43"/>
  <c r="AS330" i="43"/>
  <c r="AS337" i="43" s="1"/>
  <c r="AF61" i="43"/>
  <c r="AO58" i="43"/>
  <c r="AO61" i="43" s="1"/>
  <c r="AP461" i="43"/>
  <c r="AI28" i="45" s="1"/>
  <c r="AF214" i="43"/>
  <c r="AO209" i="43"/>
  <c r="AO214" i="43" s="1"/>
  <c r="AP127" i="43"/>
  <c r="AS445" i="43"/>
  <c r="AS449" i="43" s="1"/>
  <c r="AQ459" i="43"/>
  <c r="Z461" i="43"/>
  <c r="S28" i="45" s="1"/>
  <c r="AF122" i="43"/>
  <c r="Z467" i="43"/>
  <c r="AF125" i="43"/>
  <c r="AF313" i="43"/>
  <c r="AO313" i="43" s="1"/>
  <c r="AF98" i="43"/>
  <c r="AO95" i="43"/>
  <c r="AO98" i="43" s="1"/>
  <c r="AF18" i="43"/>
  <c r="AO14" i="43"/>
  <c r="AO273" i="43"/>
  <c r="AA461" i="43"/>
  <c r="T28" i="45" s="1"/>
  <c r="AS122" i="43"/>
  <c r="AS344" i="43"/>
  <c r="AS350" i="43" s="1"/>
  <c r="AF344" i="43"/>
  <c r="Z350" i="43"/>
  <c r="AB317" i="43"/>
  <c r="AA467" i="43"/>
  <c r="AS125" i="43"/>
  <c r="AS467" i="43" s="1"/>
  <c r="AT134" i="43"/>
  <c r="AF109" i="43"/>
  <c r="AO106" i="43"/>
  <c r="AO109" i="43" s="1"/>
  <c r="Z317" i="43"/>
  <c r="AA469" i="43"/>
  <c r="T36" i="45" s="1"/>
  <c r="AS12" i="43"/>
  <c r="AS356" i="43"/>
  <c r="AS362" i="43" s="1"/>
  <c r="AT400" i="43"/>
  <c r="AT402" i="43" s="1"/>
  <c r="AB402" i="43"/>
  <c r="AO423" i="43"/>
  <c r="Z408" i="43"/>
  <c r="AF403" i="43"/>
  <c r="AX459" i="43"/>
  <c r="AF462" i="43"/>
  <c r="AF251" i="43"/>
  <c r="AO245" i="43"/>
  <c r="AS227" i="43"/>
  <c r="AS232" i="43" s="1"/>
  <c r="AB232" i="43"/>
  <c r="AT227" i="43"/>
  <c r="AT232" i="43" s="1"/>
  <c r="AS369" i="43"/>
  <c r="AS375" i="43" s="1"/>
  <c r="AB375" i="43"/>
  <c r="AT369" i="43"/>
  <c r="AT375" i="43" s="1"/>
  <c r="Z429" i="43"/>
  <c r="AO444" i="43"/>
  <c r="AF115" i="43"/>
  <c r="AO113" i="43"/>
  <c r="AO115" i="43" s="1"/>
  <c r="AS170" i="43"/>
  <c r="AS175" i="43" s="1"/>
  <c r="AU459" i="43"/>
  <c r="AO116" i="43"/>
  <c r="AO120" i="43" s="1"/>
  <c r="AF120" i="43"/>
  <c r="AS73" i="43"/>
  <c r="AN458" i="43"/>
  <c r="AT278" i="43"/>
  <c r="AS294" i="43"/>
  <c r="AS300" i="43" s="1"/>
  <c r="AT294" i="43"/>
  <c r="AT300" i="43" s="1"/>
  <c r="AB300" i="43"/>
  <c r="AB337" i="43"/>
  <c r="AT330" i="43"/>
  <c r="AT337" i="43" s="1"/>
  <c r="AS271" i="43"/>
  <c r="AF311" i="43"/>
  <c r="AO308" i="43"/>
  <c r="AO311" i="43" s="1"/>
  <c r="AS416" i="43"/>
  <c r="AS422" i="43" s="1"/>
  <c r="AF416" i="43"/>
  <c r="Z422" i="43"/>
  <c r="AB460" i="43"/>
  <c r="AV466" i="43"/>
  <c r="AO17" i="43"/>
  <c r="AB436" i="43"/>
  <c r="AT430" i="43"/>
  <c r="AT436" i="43" s="1"/>
  <c r="AO338" i="43"/>
  <c r="AO343" i="43" s="1"/>
  <c r="AF343" i="43"/>
  <c r="Z402" i="43"/>
  <c r="AF400" i="43"/>
  <c r="AF452" i="43"/>
  <c r="AO450" i="43"/>
  <c r="AO452" i="43" s="1"/>
  <c r="AO133" i="43"/>
  <c r="AO51" i="43"/>
  <c r="AO53" i="43" s="1"/>
  <c r="AF53" i="43"/>
  <c r="AO69" i="43"/>
  <c r="AO73" i="43" s="1"/>
  <c r="AF73" i="43"/>
  <c r="AS182" i="43"/>
  <c r="Z460" i="43"/>
  <c r="S27" i="45" s="1"/>
  <c r="AB461" i="43"/>
  <c r="AT122" i="43"/>
  <c r="AO176" i="43"/>
  <c r="AO182" i="43" s="1"/>
  <c r="AF182" i="43"/>
  <c r="AV461" i="43"/>
  <c r="AO28" i="45" s="1"/>
  <c r="AB350" i="43"/>
  <c r="AT344" i="43"/>
  <c r="AT350" i="43" s="1"/>
  <c r="AB467" i="43"/>
  <c r="AT125" i="43"/>
  <c r="AT467" i="43" s="1"/>
  <c r="AM34" i="45" s="1"/>
  <c r="AS430" i="43"/>
  <c r="AS436" i="43" s="1"/>
  <c r="AW459" i="43"/>
  <c r="AO312" i="43"/>
  <c r="AP469" i="43"/>
  <c r="AI36" i="45" s="1"/>
  <c r="AP13" i="43"/>
  <c r="AF195" i="43"/>
  <c r="AO190" i="43"/>
  <c r="AO195" i="43" s="1"/>
  <c r="AF326" i="43"/>
  <c r="AO323" i="43"/>
  <c r="AO326" i="43" s="1"/>
  <c r="AS400" i="43"/>
  <c r="AS402" i="43" s="1"/>
  <c r="AS403" i="43"/>
  <c r="AS408" i="43" s="1"/>
  <c r="AO121" i="43"/>
  <c r="AV22" i="43"/>
  <c r="AV460" i="43"/>
  <c r="AO268" i="43"/>
  <c r="AO271" i="43" s="1"/>
  <c r="AF271" i="43"/>
  <c r="AF257" i="43"/>
  <c r="AO254" i="43"/>
  <c r="AO257" i="43" s="1"/>
  <c r="AS189" i="43"/>
  <c r="AA463" i="43"/>
  <c r="AF381" i="43"/>
  <c r="AO376" i="43"/>
  <c r="AO381" i="43" s="1"/>
  <c r="AF445" i="43"/>
  <c r="AO445" i="43" s="1"/>
  <c r="AF157" i="43"/>
  <c r="AO153" i="43"/>
  <c r="AO157" i="43" s="1"/>
  <c r="AB175" i="43"/>
  <c r="AT170" i="43"/>
  <c r="AT175" i="43" s="1"/>
  <c r="AF170" i="43"/>
  <c r="Z175" i="43"/>
  <c r="AS18" i="43"/>
  <c r="AB127" i="43"/>
  <c r="AS262" i="43"/>
  <c r="AS267" i="43" s="1"/>
  <c r="AV468" i="43"/>
  <c r="AO35" i="45" s="1"/>
  <c r="AF307" i="43"/>
  <c r="AO301" i="43"/>
  <c r="AO307" i="43" s="1"/>
  <c r="Z337" i="43"/>
  <c r="AF330" i="43"/>
  <c r="AO382" i="43"/>
  <c r="AB422" i="43"/>
  <c r="AT416" i="43"/>
  <c r="AT422" i="43" s="1"/>
  <c r="AF134" i="43"/>
  <c r="AF30" i="43"/>
  <c r="AO54" i="43"/>
  <c r="AF57" i="43"/>
  <c r="AF105" i="43"/>
  <c r="AO102" i="43"/>
  <c r="AO105" i="43" s="1"/>
  <c r="AS251" i="43"/>
  <c r="AS462" i="43"/>
  <c r="AO202" i="43"/>
  <c r="AO208" i="43" s="1"/>
  <c r="AF208" i="43"/>
  <c r="AN457" i="43"/>
  <c r="AF101" i="43"/>
  <c r="AO99" i="43"/>
  <c r="AO101" i="43" s="1"/>
  <c r="Z152" i="43"/>
  <c r="AF147" i="43"/>
  <c r="AF262" i="43"/>
  <c r="Z267" i="43"/>
  <c r="AF278" i="43"/>
  <c r="AO272" i="43"/>
  <c r="Z300" i="43"/>
  <c r="AF294" i="43"/>
  <c r="AS214" i="43"/>
  <c r="AV463" i="43"/>
  <c r="AO30" i="45" s="1"/>
  <c r="AF355" i="43"/>
  <c r="AO351" i="43"/>
  <c r="AO355" i="43" s="1"/>
  <c r="AT449" i="43"/>
  <c r="AO30" i="43"/>
  <c r="T34" i="45" l="1"/>
  <c r="U34" i="45"/>
  <c r="AO33" i="45"/>
  <c r="U28" i="45"/>
  <c r="S36" i="45"/>
  <c r="T30" i="45"/>
  <c r="S34" i="45"/>
  <c r="Y33" i="45"/>
  <c r="U30" i="45"/>
  <c r="T35" i="45"/>
  <c r="AM30" i="45"/>
  <c r="AL34" i="45"/>
  <c r="AI27" i="45"/>
  <c r="U27" i="45"/>
  <c r="T27" i="45"/>
  <c r="AO27" i="45"/>
  <c r="AO57" i="43"/>
  <c r="AT466" i="43"/>
  <c r="AM33" i="45" s="1"/>
  <c r="AO62" i="43"/>
  <c r="AO65" i="43" s="1"/>
  <c r="AA26" i="45"/>
  <c r="AF25" i="45" s="1"/>
  <c r="R26" i="45"/>
  <c r="Z26" i="45"/>
  <c r="AV132" i="44"/>
  <c r="AF415" i="43"/>
  <c r="AG25" i="45"/>
  <c r="AQ26" i="45"/>
  <c r="Z131" i="44"/>
  <c r="AV131" i="44"/>
  <c r="AJ26" i="45"/>
  <c r="AP26" i="45"/>
  <c r="O26" i="45"/>
  <c r="Z457" i="43"/>
  <c r="AO239" i="43"/>
  <c r="AO244" i="43" s="1"/>
  <c r="AO88" i="43"/>
  <c r="AO90" i="43" s="1"/>
  <c r="AO258" i="43"/>
  <c r="AO261" i="43" s="1"/>
  <c r="AS27" i="44"/>
  <c r="AS34" i="44"/>
  <c r="AF47" i="43"/>
  <c r="AF322" i="43"/>
  <c r="AF163" i="43"/>
  <c r="AO284" i="43"/>
  <c r="AO291" i="43" s="1"/>
  <c r="AV456" i="43"/>
  <c r="AO13" i="45" s="1"/>
  <c r="AA456" i="43"/>
  <c r="T13" i="45" s="1"/>
  <c r="Z456" i="43"/>
  <c r="S13" i="45" s="1"/>
  <c r="AB456" i="43"/>
  <c r="U13" i="45" s="1"/>
  <c r="AP456" i="43"/>
  <c r="AI13" i="45" s="1"/>
  <c r="AO42" i="44"/>
  <c r="AO48" i="44" s="1"/>
  <c r="AS143" i="44"/>
  <c r="AO49" i="44"/>
  <c r="AO55" i="44" s="1"/>
  <c r="AF112" i="43"/>
  <c r="AO327" i="43"/>
  <c r="AO329" i="43" s="1"/>
  <c r="AO31" i="43"/>
  <c r="AO34" i="43" s="1"/>
  <c r="AO385" i="43"/>
  <c r="AO363" i="43"/>
  <c r="AO366" i="43" s="1"/>
  <c r="AF385" i="43"/>
  <c r="AS466" i="43"/>
  <c r="AL33" i="45" s="1"/>
  <c r="AO74" i="43"/>
  <c r="AO77" i="43" s="1"/>
  <c r="AO279" i="43"/>
  <c r="AO283" i="43" s="1"/>
  <c r="AF317" i="43"/>
  <c r="AT468" i="43"/>
  <c r="AM35" i="45" s="1"/>
  <c r="AO215" i="43"/>
  <c r="AO220" i="43" s="1"/>
  <c r="AV457" i="43"/>
  <c r="AO317" i="43"/>
  <c r="AF44" i="43"/>
  <c r="AF80" i="43"/>
  <c r="AO429" i="43"/>
  <c r="AF94" i="43"/>
  <c r="AO35" i="43"/>
  <c r="AO37" i="43" s="1"/>
  <c r="AO135" i="43"/>
  <c r="AO140" i="43" s="1"/>
  <c r="AF87" i="43"/>
  <c r="AS127" i="43"/>
  <c r="AB130" i="44"/>
  <c r="U14" i="45" s="1"/>
  <c r="AF104" i="44"/>
  <c r="AV130" i="44"/>
  <c r="AO14" i="45" s="1"/>
  <c r="AP130" i="44"/>
  <c r="AI14" i="45" s="1"/>
  <c r="AT143" i="44"/>
  <c r="Z133" i="44"/>
  <c r="AA130" i="44"/>
  <c r="T14" i="45" s="1"/>
  <c r="Z130" i="44"/>
  <c r="S14" i="45" s="1"/>
  <c r="AT34" i="44"/>
  <c r="AF429" i="43"/>
  <c r="AF127" i="43"/>
  <c r="AS468" i="43"/>
  <c r="AL35" i="45" s="1"/>
  <c r="AO66" i="43"/>
  <c r="AO68" i="43" s="1"/>
  <c r="AF68" i="43"/>
  <c r="Z459" i="43"/>
  <c r="AF253" i="43"/>
  <c r="AO252" i="43"/>
  <c r="AO253" i="43" s="1"/>
  <c r="AA459" i="43"/>
  <c r="AO48" i="43"/>
  <c r="AO50" i="43" s="1"/>
  <c r="AF50" i="43"/>
  <c r="AO463" i="43"/>
  <c r="AF226" i="43"/>
  <c r="AO221" i="43"/>
  <c r="AO226" i="43" s="1"/>
  <c r="AO141" i="43"/>
  <c r="AO146" i="43" s="1"/>
  <c r="AF146" i="43"/>
  <c r="AT461" i="43"/>
  <c r="AM28" i="45" s="1"/>
  <c r="AS463" i="43"/>
  <c r="AL30" i="45" s="1"/>
  <c r="AF368" i="43"/>
  <c r="AO367" i="43"/>
  <c r="AO368" i="43" s="1"/>
  <c r="AT134" i="44"/>
  <c r="AT27" i="44"/>
  <c r="AF137" i="44"/>
  <c r="AO29" i="44"/>
  <c r="AO137" i="44" s="1"/>
  <c r="AO25" i="44"/>
  <c r="AO142" i="44" s="1"/>
  <c r="AF142" i="44"/>
  <c r="Y35" i="45" s="1"/>
  <c r="AF135" i="44"/>
  <c r="AO20" i="44"/>
  <c r="AO135" i="44" s="1"/>
  <c r="AF106" i="44"/>
  <c r="AO105" i="44"/>
  <c r="AO106" i="44" s="1"/>
  <c r="AS134" i="44"/>
  <c r="AF18" i="44"/>
  <c r="AO14" i="44"/>
  <c r="AF136" i="44"/>
  <c r="Y29" i="45" s="1"/>
  <c r="AF34" i="44"/>
  <c r="AS136" i="44"/>
  <c r="AL29" i="45" s="1"/>
  <c r="AF141" i="44"/>
  <c r="AO16" i="44"/>
  <c r="AO141" i="44" s="1"/>
  <c r="AO140" i="44"/>
  <c r="AO13" i="44"/>
  <c r="AT136" i="44"/>
  <c r="AM29" i="45" s="1"/>
  <c r="AT18" i="44"/>
  <c r="AP133" i="44"/>
  <c r="AB133" i="44"/>
  <c r="AA133" i="44"/>
  <c r="AF134" i="44"/>
  <c r="AF27" i="44"/>
  <c r="AO19" i="44"/>
  <c r="AV133" i="44"/>
  <c r="AF83" i="44"/>
  <c r="AO77" i="44"/>
  <c r="AO83" i="44" s="1"/>
  <c r="AF143" i="44"/>
  <c r="AO400" i="43"/>
  <c r="AO402" i="43" s="1"/>
  <c r="AF402" i="43"/>
  <c r="AO278" i="43"/>
  <c r="AF152" i="43"/>
  <c r="AO147" i="43"/>
  <c r="AO152" i="43" s="1"/>
  <c r="AF175" i="43"/>
  <c r="AO170" i="43"/>
  <c r="AO175" i="43" s="1"/>
  <c r="AO449" i="43"/>
  <c r="AF463" i="43"/>
  <c r="AF467" i="43"/>
  <c r="AO125" i="43"/>
  <c r="AO467" i="43" s="1"/>
  <c r="AO356" i="43"/>
  <c r="AO362" i="43" s="1"/>
  <c r="AF362" i="43"/>
  <c r="AF267" i="43"/>
  <c r="AO262" i="43"/>
  <c r="AO267" i="43" s="1"/>
  <c r="AS469" i="43"/>
  <c r="AL36" i="45" s="1"/>
  <c r="AS13" i="43"/>
  <c r="AO134" i="43"/>
  <c r="AV459" i="43"/>
  <c r="AB459" i="43"/>
  <c r="AF449" i="43"/>
  <c r="AO462" i="43"/>
  <c r="AO251" i="43"/>
  <c r="AS461" i="43"/>
  <c r="AL28" i="45" s="1"/>
  <c r="AO18" i="43"/>
  <c r="AO369" i="43"/>
  <c r="AO375" i="43" s="1"/>
  <c r="AF375" i="43"/>
  <c r="AF232" i="43"/>
  <c r="AO227" i="43"/>
  <c r="AO232" i="43" s="1"/>
  <c r="AT469" i="43"/>
  <c r="AT13" i="43"/>
  <c r="AF422" i="43"/>
  <c r="AO416" i="43"/>
  <c r="AO422" i="43" s="1"/>
  <c r="AT127" i="43"/>
  <c r="AF337" i="43"/>
  <c r="AO330" i="43"/>
  <c r="AO337" i="43" s="1"/>
  <c r="AF300" i="43"/>
  <c r="AO294" i="43"/>
  <c r="AO300" i="43" s="1"/>
  <c r="AS460" i="43"/>
  <c r="AL27" i="45" s="1"/>
  <c r="AV458" i="43"/>
  <c r="AF408" i="43"/>
  <c r="AO403" i="43"/>
  <c r="AO408" i="43" s="1"/>
  <c r="AF350" i="43"/>
  <c r="AO344" i="43"/>
  <c r="AO350" i="43" s="1"/>
  <c r="AF461" i="43"/>
  <c r="AO122" i="43"/>
  <c r="AF436" i="43"/>
  <c r="AO430" i="43"/>
  <c r="AO436" i="43" s="1"/>
  <c r="AF460" i="43"/>
  <c r="AP459" i="43"/>
  <c r="AF469" i="43"/>
  <c r="AF13" i="43"/>
  <c r="AO12" i="43"/>
  <c r="AT460" i="43"/>
  <c r="Y28" i="45" l="1"/>
  <c r="Y30" i="45"/>
  <c r="AM36" i="45"/>
  <c r="Y36" i="45"/>
  <c r="AH34" i="45"/>
  <c r="AM27" i="45"/>
  <c r="Y34" i="45"/>
  <c r="AH30" i="45"/>
  <c r="Y27" i="45"/>
  <c r="AI26" i="45"/>
  <c r="AK26" i="45"/>
  <c r="AL26" i="45"/>
  <c r="S25" i="45"/>
  <c r="X26" i="45"/>
  <c r="AC26" i="45"/>
  <c r="AE25" i="45" s="1"/>
  <c r="AO25" i="45"/>
  <c r="AO26" i="45"/>
  <c r="T26" i="45"/>
  <c r="U26" i="45"/>
  <c r="S26" i="45"/>
  <c r="AF131" i="44"/>
  <c r="AF132" i="44"/>
  <c r="AT456" i="43"/>
  <c r="AM13" i="45" s="1"/>
  <c r="AO468" i="43"/>
  <c r="AH35" i="45" s="1"/>
  <c r="AO466" i="43"/>
  <c r="AH33" i="45" s="1"/>
  <c r="AS456" i="43"/>
  <c r="AL13" i="45" s="1"/>
  <c r="AF456" i="43"/>
  <c r="Y13" i="45" s="1"/>
  <c r="AF457" i="43"/>
  <c r="AF458" i="43"/>
  <c r="AT130" i="44"/>
  <c r="AM14" i="45" s="1"/>
  <c r="AF130" i="44"/>
  <c r="Y14" i="45" s="1"/>
  <c r="AS130" i="44"/>
  <c r="AL14" i="45" s="1"/>
  <c r="AT459" i="43"/>
  <c r="AS459" i="43"/>
  <c r="AF133" i="44"/>
  <c r="AO27" i="44"/>
  <c r="AO134" i="44"/>
  <c r="AT133" i="44"/>
  <c r="AO143" i="44"/>
  <c r="AO136" i="44"/>
  <c r="AH29" i="45" s="1"/>
  <c r="AO18" i="44"/>
  <c r="AS133" i="44"/>
  <c r="AO34" i="44"/>
  <c r="AO469" i="43"/>
  <c r="AO13" i="43"/>
  <c r="AO461" i="43"/>
  <c r="AH28" i="45" s="1"/>
  <c r="AF459" i="43"/>
  <c r="AO460" i="43"/>
  <c r="AO127" i="43"/>
  <c r="AH27" i="45" l="1"/>
  <c r="AH36" i="45"/>
  <c r="AG26" i="45"/>
  <c r="AN26" i="45"/>
  <c r="AO132" i="44"/>
  <c r="AM26" i="45"/>
  <c r="Y25" i="45"/>
  <c r="AO131" i="44"/>
  <c r="Y26" i="45"/>
  <c r="AO457" i="43"/>
  <c r="AO458" i="43"/>
  <c r="AO456" i="43"/>
  <c r="AH13" i="45" s="1"/>
  <c r="AO130" i="44"/>
  <c r="AH14" i="45" s="1"/>
  <c r="AO133" i="44"/>
  <c r="AO459" i="43"/>
  <c r="AH26" i="45" l="1"/>
  <c r="AH25" i="45"/>
  <c r="D23" i="45" l="1"/>
  <c r="K23" i="45" l="1"/>
  <c r="J23" i="45"/>
  <c r="H23" i="45"/>
  <c r="I24" i="45" l="1"/>
  <c r="I23" i="45"/>
  <c r="G23" i="45"/>
  <c r="F23" i="45"/>
  <c r="B24" i="45" l="1"/>
  <c r="B23" i="45"/>
  <c r="AQ23" i="45" l="1"/>
  <c r="P23" i="45" l="1"/>
  <c r="L24" i="45" l="1"/>
  <c r="L23" i="45"/>
  <c r="AB23" i="45"/>
  <c r="M23" i="45"/>
  <c r="AC23" i="45"/>
  <c r="V23" i="45"/>
  <c r="Z23" i="45"/>
  <c r="O23" i="45"/>
  <c r="AA23" i="45"/>
  <c r="Y23" i="45"/>
  <c r="U23" i="45"/>
  <c r="AE24" i="45" l="1"/>
  <c r="W23" i="45"/>
  <c r="X24" i="45" s="1"/>
  <c r="AD23" i="45"/>
  <c r="AF24" i="45" s="1"/>
  <c r="Q23" i="45"/>
  <c r="R24" i="45" s="1"/>
  <c r="N23" i="45"/>
  <c r="O24" i="45" s="1"/>
  <c r="AE23" i="45"/>
  <c r="R23" i="45" l="1"/>
  <c r="S24" i="45" s="1"/>
  <c r="AF23" i="45"/>
  <c r="AG24" i="45" s="1"/>
  <c r="T23" i="45"/>
  <c r="AP23" i="45"/>
  <c r="AO24" i="45" s="1"/>
  <c r="AO23" i="45"/>
  <c r="S23" i="45"/>
  <c r="AM23" i="45"/>
  <c r="AI23" i="45"/>
  <c r="AH23" i="45"/>
  <c r="AN23" i="45" l="1"/>
  <c r="X23" i="45"/>
  <c r="Y24" i="45" s="1"/>
  <c r="AL23" i="45"/>
  <c r="AJ23" i="45"/>
  <c r="AH24" i="45" l="1"/>
  <c r="AG23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3" authorId="0" shapeId="0" xr:uid="{BD6E3185-3CB4-4DF3-BAF3-A4ED416C3D2E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AD31" authorId="0" shapeId="0" xr:uid="{71F822EC-60FE-43C6-861E-3D09C6FB8E5A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z platů na náhrady, oprava z 11/21</t>
        </r>
      </text>
    </comment>
    <comment ref="U38" authorId="0" shapeId="0" xr:uid="{DB2D9D87-3104-40DF-9E96-C6FB9BFCDD2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41" authorId="0" shapeId="0" xr:uid="{701F73F8-7651-4DEC-859C-321DEA2ABA7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45" authorId="0" shapeId="0" xr:uid="{093F1669-C1BF-4A03-8AB0-5DA2ACCB7F6F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48" authorId="0" shapeId="0" xr:uid="{56D39855-40A7-4086-B1AF-5EDC07D833F9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16" authorId="0" shapeId="0" xr:uid="{5ED4F0D6-9780-4E64-8026-B166E6F5FB9A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35" authorId="0" shapeId="0" xr:uid="{8272EFA6-0539-4C1E-9C93-70A31B8AF50F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279" authorId="0" shapeId="0" xr:uid="{DD1B9E7C-0272-427A-9FE6-5CEFDDDB0909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344" authorId="0" shapeId="0" xr:uid="{269EB8B8-50E2-4638-84AA-C069EFA00859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386" authorId="0" shapeId="0" xr:uid="{EAE0CB89-093E-46FA-A4DF-D054F1B1DDE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dodatečná žádost - změná PHškoly od září</t>
        </r>
      </text>
    </comment>
    <comment ref="U393" authorId="0" shapeId="0" xr:uid="{43625D19-22C2-472D-869C-777DD4808CA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4" authorId="0" shapeId="0" xr:uid="{AD79B948-22EE-4A76-936C-0458FF7B7FA5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14" authorId="0" shapeId="0" xr:uid="{302F67F8-232F-4C63-B15E-F8E35D61F9A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9" authorId="0" shapeId="0" xr:uid="{179933AC-9AD7-4613-97D0-15ED9B7624A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z patů do ONIV na náhrady za nemoc</t>
        </r>
      </text>
    </comment>
    <comment ref="AD19" authorId="0" shapeId="0" xr:uid="{4B91C05A-FA61-4249-AD39-09C57959224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23" authorId="0" shapeId="0" xr:uid="{75001FB1-4CC4-4514-9F16-63DC04C37F8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23" authorId="0" shapeId="0" xr:uid="{6ECEE224-8689-40DD-8AE9-DBEEFE474D9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53" authorId="0" shapeId="0" xr:uid="{A20E9F33-3A6E-495F-A5A9-857C5215321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náhrada za nemoc</t>
        </r>
      </text>
    </comment>
    <comment ref="AD53" authorId="0" shapeId="0" xr:uid="{9AAAFEE3-82D7-4799-A9B3-2C8F22BC2CD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77" authorId="0" shapeId="0" xr:uid="{D07ACB07-94E1-4042-AA04-FE6F63C3CAF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77" authorId="0" shapeId="0" xr:uid="{1AC1BBFB-EEA2-42B2-B453-9310426FBCD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T106" authorId="0" shapeId="0" xr:uid="{7CB0F6ED-136B-4D79-9212-33D46839A91F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106" authorId="0" shapeId="0" xr:uid="{566A3BC8-9D57-4574-AFCB-2A596709B0D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71" authorId="0" shapeId="0" xr:uid="{AC5E5E39-242E-4BA6-872E-0254CB8DD393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62" authorId="0" shapeId="0" xr:uid="{FAD497A4-89D6-47AD-A5B9-9D9F969D583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48" authorId="0" shapeId="0" xr:uid="{47614862-F390-468E-AE58-1378B8DA52E1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52" authorId="0" shapeId="0" xr:uid="{4D4832BA-0D64-4F36-BB37-F9335903E831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2" authorId="0" shapeId="0" xr:uid="{3AA35943-4008-4327-911A-D497CAD3E8E6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32" authorId="0" shapeId="0" xr:uid="{49A736EC-E65E-4145-B402-3D38B5917022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61" authorId="0" shapeId="0" xr:uid="{B991E327-E033-4031-AB0F-4B93AEEDE571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71" authorId="0" shapeId="0" xr:uid="{278B1E74-A6A8-4341-A577-1597C418FA9C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
</t>
        </r>
      </text>
    </comment>
    <comment ref="U85" authorId="0" shapeId="0" xr:uid="{89CFE668-7529-4F53-B8BB-541689C2C75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2" authorId="0" shapeId="0" xr:uid="{6BE70B19-992C-45A8-B7C3-3CA597A0993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9" authorId="0" shapeId="0" xr:uid="{B270D69A-CD93-4A03-8126-CFB7662A230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U25" authorId="0" shapeId="0" xr:uid="{49CDCC0A-6BD8-48B4-8CF3-F4CB9DB9712E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38" authorId="0" shapeId="0" xr:uid="{C3D8C113-EF33-4A05-9F0F-712A7A0D94DA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
</t>
        </r>
      </text>
    </comment>
    <comment ref="U64" authorId="0" shapeId="0" xr:uid="{4A17DEFD-30FB-44AC-A358-68165BDEE5D7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06" authorId="0" shapeId="0" xr:uid="{230F0AF7-410E-4CD7-9D2A-FDC8E6076C12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164" authorId="0" shapeId="0" xr:uid="{1770E0F0-61EC-486E-B4C9-FC55DE5A0231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205" authorId="0" shapeId="0" xr:uid="{354BE084-81BC-4371-99B9-602076F3BB36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  <comment ref="U251" authorId="0" shapeId="0" xr:uid="{E49E00B5-B506-45A0-87DA-51DC7B4DC025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  <author>Křiváková Kalíková Kateřina</author>
  </authors>
  <commentList>
    <comment ref="U31" authorId="0" shapeId="0" xr:uid="{3C58FE8F-545B-4FA2-BD62-F08A25D992A9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U42" authorId="1" shapeId="0" xr:uid="{BC71E5A5-FCFD-4184-AC42-3C1FD0E3844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U46" authorId="1" shapeId="0" xr:uid="{2CD14EE9-728D-43D7-AEDD-AA567C8E4312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náhrada za nemoc</t>
        </r>
      </text>
    </comment>
    <comment ref="AD46" authorId="1" shapeId="0" xr:uid="{E2968B36-4B28-45D9-8E68-A884344B791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náhrada za nemoc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20" authorId="0" shapeId="0" xr:uid="{C08CE59D-8195-45ED-BC39-AEFBAF745DCD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20" authorId="0" shapeId="0" xr:uid="{7900F3BE-8192-495B-8EF4-19FEAE613B1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36" authorId="0" shapeId="0" xr:uid="{B1E1511A-6743-4A7A-9B7D-00FD777C491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36" authorId="0" shapeId="0" xr:uid="{0DC83A63-BC16-42F5-9061-3BF94F2A1A5F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D42" authorId="0" shapeId="0" xr:uid="{DDDC17A6-862E-47F0-AF1C-64FE06E3B2F1}">
      <text>
        <r>
          <rPr>
            <b/>
            <sz val="9"/>
            <color indexed="81"/>
            <rFont val="Tahoma"/>
            <family val="2"/>
            <charset val="238"/>
          </rPr>
          <t xml:space="preserve">Křiváková Kalíková Kateřina: </t>
        </r>
        <r>
          <rPr>
            <sz val="9"/>
            <color indexed="81"/>
            <rFont val="Tahoma"/>
            <family val="2"/>
            <charset val="238"/>
          </rPr>
          <t xml:space="preserve">oprava KÚLK 
prohozené požadavky OON a ONIV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  <author>Křiváková Kalíková Kateřina</author>
  </authors>
  <commentList>
    <comment ref="U28" authorId="0" shapeId="0" xr:uid="{56801313-15D8-4FFA-9DBB-9A91E227F961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U47" authorId="1" shapeId="0" xr:uid="{673BDA1F-529E-4893-9B62-8B387431907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náhrada za nemoc</t>
        </r>
      </text>
    </comment>
    <comment ref="AD47" authorId="1" shapeId="0" xr:uid="{4C06D270-0738-449D-9FE9-2EA03C9F515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náhrada za nemoc</t>
        </r>
      </text>
    </comment>
    <comment ref="U82" authorId="1" shapeId="0" xr:uid="{C78A4F76-C37B-42C7-9ECC-40FCA8932B9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82" authorId="1" shapeId="0" xr:uid="{1EFEE8D8-7AB3-4E4E-AFEE-C2CBDFCA93C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01" authorId="1" shapeId="0" xr:uid="{9C1E0C20-6954-4FCF-82BA-5D07552BBD9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náhrady za nemoc</t>
        </r>
      </text>
    </comment>
    <comment ref="AD101" authorId="1" shapeId="0" xr:uid="{EB385995-6271-4DF2-B626-617C724C4FE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sharedStrings.xml><?xml version="1.0" encoding="utf-8"?>
<sst xmlns="http://schemas.openxmlformats.org/spreadsheetml/2006/main" count="5904" uniqueCount="854">
  <si>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</si>
  <si>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</si>
  <si>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</si>
  <si>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</si>
  <si>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</si>
  <si>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</si>
  <si>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</si>
  <si>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</si>
  <si>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</si>
  <si>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</si>
  <si>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</si>
  <si>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</si>
  <si>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</si>
  <si>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</si>
  <si>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</si>
  <si>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</si>
  <si>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</si>
  <si>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</si>
  <si>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</si>
  <si>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</si>
  <si>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</si>
  <si>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</si>
  <si>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</si>
  <si>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</si>
  <si>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</si>
  <si>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</si>
  <si>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</si>
  <si>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</si>
  <si>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</si>
  <si>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</si>
  <si>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</si>
  <si>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</si>
  <si>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</si>
  <si>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</si>
  <si>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</si>
  <si>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</si>
  <si>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</si>
  <si>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</si>
  <si>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</si>
  <si>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</si>
  <si>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</si>
  <si>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</si>
  <si>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</si>
  <si>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</si>
  <si>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</si>
  <si>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</si>
  <si>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</si>
  <si>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</si>
  <si>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</si>
  <si>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</si>
  <si>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</si>
  <si>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</si>
  <si>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</si>
  <si>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</si>
  <si>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</si>
  <si>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</si>
  <si>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</si>
  <si>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</si>
  <si>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</si>
  <si>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</si>
  <si>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</si>
  <si>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</si>
  <si>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</si>
  <si>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</si>
  <si>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</si>
  <si>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</si>
  <si>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</si>
  <si>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</si>
  <si>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</si>
  <si>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</si>
  <si>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</si>
  <si>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</si>
  <si>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</si>
  <si>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</si>
  <si>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</si>
  <si>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</si>
  <si>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</si>
  <si>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</si>
  <si>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</si>
  <si>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</si>
  <si>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</si>
  <si>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</si>
  <si>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</si>
  <si>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</si>
  <si>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</si>
  <si>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</si>
  <si>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</si>
  <si>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</si>
  <si>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</si>
  <si>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</si>
  <si>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</si>
  <si>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</si>
  <si>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</si>
  <si>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</si>
  <si>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</si>
  <si>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</si>
  <si>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</si>
  <si>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</si>
  <si>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</si>
  <si>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</si>
  <si>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</si>
  <si>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</si>
  <si>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</si>
  <si>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</si>
  <si>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</si>
  <si>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</si>
  <si>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</si>
  <si>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</si>
  <si>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</si>
  <si>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</si>
  <si>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</si>
  <si>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</si>
  <si>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</si>
  <si>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</si>
  <si>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</si>
  <si>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</si>
  <si>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</si>
  <si>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</si>
  <si>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</si>
  <si>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</si>
  <si>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</si>
  <si>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</si>
  <si>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</si>
  <si>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</si>
  <si>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</si>
  <si>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</si>
  <si>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</si>
  <si>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</si>
  <si>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</si>
  <si>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</si>
  <si>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</si>
  <si>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</si>
  <si>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</si>
  <si>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</si>
  <si>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</si>
  <si>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</si>
  <si>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</si>
  <si>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</si>
  <si>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</si>
  <si>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</si>
  <si>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</si>
  <si>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</si>
  <si>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</si>
  <si>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</si>
  <si>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</si>
  <si>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</si>
  <si>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</si>
  <si>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</si>
  <si>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</si>
  <si>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</si>
  <si>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</si>
  <si>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</si>
  <si>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</si>
  <si>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</si>
  <si>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</si>
  <si>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</si>
  <si>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</si>
  <si>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</si>
  <si>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</si>
  <si>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</si>
  <si>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</si>
  <si>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</si>
  <si>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</si>
  <si>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</si>
  <si>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</si>
  <si>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</si>
  <si>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</si>
  <si>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</si>
  <si>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</si>
  <si>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</si>
  <si>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</si>
  <si>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</si>
  <si>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</si>
  <si>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</si>
  <si>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</si>
  <si>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</si>
  <si>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</si>
  <si>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</si>
  <si>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</si>
  <si>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</si>
  <si>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</si>
  <si>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</si>
  <si>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</si>
  <si>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</si>
  <si>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</si>
  <si>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</si>
  <si>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</si>
  <si>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</si>
  <si>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</si>
  <si>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</si>
  <si>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</si>
  <si>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</si>
  <si>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</si>
  <si>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</si>
  <si>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</si>
  <si>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</si>
  <si>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</si>
  <si>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</si>
  <si>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</si>
  <si>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</si>
  <si>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</si>
  <si>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</si>
  <si>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</si>
  <si>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</si>
  <si>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</si>
  <si>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</si>
  <si>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</si>
  <si>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</si>
  <si>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</si>
  <si>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</si>
  <si>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</si>
  <si>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</si>
  <si>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</si>
  <si>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</si>
  <si>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</si>
  <si>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</si>
  <si>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</si>
  <si>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</si>
  <si>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</si>
  <si>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</si>
  <si>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</si>
  <si>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</si>
  <si>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</si>
  <si>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</si>
  <si>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</si>
  <si>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</si>
  <si>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</si>
  <si>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</si>
  <si>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</si>
  <si>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</si>
  <si>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</si>
  <si>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</si>
  <si>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</si>
  <si>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</si>
  <si>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</si>
  <si>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</si>
  <si>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</si>
  <si>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</si>
  <si>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</si>
  <si>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</si>
  <si>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</si>
  <si>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</si>
  <si>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</si>
  <si>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</si>
  <si>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</si>
  <si>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</si>
  <si>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</si>
  <si>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</si>
  <si>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</si>
  <si>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</si>
  <si>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</si>
  <si>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</si>
  <si>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</si>
  <si>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</si>
  <si>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</si>
  <si>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</si>
  <si>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</si>
  <si>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</si>
  <si>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</si>
  <si>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</si>
  <si>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</si>
  <si>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</si>
  <si>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</si>
  <si>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</si>
  <si>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</si>
  <si>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</si>
  <si>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</si>
  <si>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</si>
  <si>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</si>
  <si>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</si>
  <si>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</si>
  <si>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</si>
  <si>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</si>
  <si>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</si>
  <si>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</si>
  <si>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</si>
  <si>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</si>
  <si>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</si>
  <si>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</si>
  <si>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</si>
  <si>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</si>
  <si>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</si>
  <si>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</si>
  <si>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</si>
  <si>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</si>
  <si>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</si>
  <si>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</si>
  <si>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</si>
  <si>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</si>
  <si>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</si>
  <si>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</si>
  <si>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</si>
  <si>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</si>
  <si>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</si>
  <si>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</si>
  <si>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</si>
  <si>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</si>
  <si>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</si>
  <si>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</si>
  <si>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</si>
  <si>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</si>
  <si>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</si>
  <si>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</si>
  <si>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</si>
  <si>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</si>
  <si>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</si>
  <si>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</si>
  <si>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</si>
  <si>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</si>
  <si>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</si>
  <si>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</si>
  <si>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</si>
  <si>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</si>
  <si>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</si>
  <si>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</si>
  <si>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</si>
  <si>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</si>
  <si>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</si>
  <si>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</si>
  <si>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</si>
  <si>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</si>
  <si>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</si>
  <si>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</si>
  <si>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</si>
  <si>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</si>
  <si>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</si>
  <si>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</si>
  <si>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</si>
  <si>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</si>
  <si>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</si>
  <si>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</si>
  <si>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</si>
  <si>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</si>
  <si>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</si>
  <si>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</si>
  <si>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</si>
  <si>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</si>
  <si>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</si>
  <si>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</si>
  <si>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</si>
  <si>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</si>
  <si>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</si>
  <si>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</si>
  <si>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</si>
  <si>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</si>
  <si>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</si>
  <si>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</si>
  <si>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</si>
  <si>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</si>
  <si>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</si>
  <si>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</si>
  <si>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</si>
  <si>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</si>
  <si>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</si>
  <si>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</si>
  <si>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</si>
  <si>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</si>
  <si>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</si>
  <si>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</si>
  <si>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</si>
  <si>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</si>
  <si>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</si>
  <si>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</si>
  <si>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</si>
  <si>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</si>
  <si>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</si>
  <si>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</si>
  <si>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</si>
  <si>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</si>
  <si>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</si>
  <si>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</si>
  <si>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</si>
  <si>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</si>
  <si>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</si>
  <si>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</si>
  <si>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</si>
  <si>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</si>
  <si>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</si>
  <si>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</si>
  <si>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</si>
  <si>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</si>
  <si>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609 - waldorfská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</si>
  <si>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</si>
  <si>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</si>
  <si>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</si>
  <si>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</si>
  <si>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</si>
  <si>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</si>
  <si>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</si>
  <si>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</si>
  <si>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</si>
  <si>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</si>
  <si>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</si>
  <si>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</si>
  <si>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</si>
  <si>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</si>
  <si>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</si>
  <si>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</si>
  <si>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</si>
  <si>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</si>
  <si>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</si>
  <si>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</si>
  <si>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</si>
  <si>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</si>
  <si>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</si>
  <si>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</si>
  <si>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</si>
  <si>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</si>
  <si>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</si>
  <si>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</si>
  <si>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</si>
  <si>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</si>
  <si>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</si>
  <si>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</si>
  <si>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</si>
  <si>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</si>
  <si>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</si>
  <si>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</si>
  <si>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</si>
  <si>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</si>
  <si>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</si>
  <si>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</si>
  <si>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</si>
  <si>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</si>
  <si>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</si>
  <si>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</si>
  <si>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</si>
  <si>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</si>
  <si>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</si>
  <si>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</si>
  <si>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</si>
  <si>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</si>
  <si>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</si>
  <si>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</si>
  <si>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</si>
  <si>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</si>
  <si>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</si>
  <si>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</si>
  <si>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</si>
  <si>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</si>
  <si>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</si>
  <si>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</si>
  <si>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</si>
  <si>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</si>
  <si>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</si>
  <si>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</si>
  <si>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</si>
  <si>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</si>
  <si>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</si>
  <si>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</si>
  <si>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</si>
  <si>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</si>
  <si>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</si>
  <si>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</si>
  <si>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</si>
  <si>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</si>
  <si>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</si>
  <si>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</si>
  <si>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</si>
  <si>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</si>
  <si>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</si>
  <si>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</si>
  <si>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</si>
  <si>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</si>
  <si>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</si>
  <si>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</si>
  <si>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</si>
  <si>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</si>
  <si>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</si>
  <si>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</si>
  <si>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</si>
  <si>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</si>
  <si>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</si>
  <si>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</si>
  <si>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</si>
  <si>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</si>
  <si>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</si>
  <si>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</si>
  <si>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</si>
  <si>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</si>
  <si>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</si>
  <si>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</si>
  <si>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</si>
  <si>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</si>
  <si>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</si>
  <si>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</si>
  <si>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</si>
  <si>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</si>
  <si>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</si>
  <si>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</si>
  <si>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</si>
  <si>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</si>
  <si>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</si>
  <si>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</si>
  <si>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</si>
  <si>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</si>
  <si>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</si>
  <si>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</si>
  <si>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</si>
  <si>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</si>
  <si>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</si>
  <si>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</si>
  <si>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</si>
  <si>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</si>
  <si>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</si>
  <si>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</si>
  <si>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</si>
  <si>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</si>
  <si>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</si>
  <si>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</si>
  <si>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</si>
  <si>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</si>
  <si>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</si>
  <si>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</si>
  <si>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</si>
  <si>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</si>
  <si>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</si>
  <si>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</si>
  <si>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</si>
  <si>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</si>
  <si>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</si>
  <si>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</si>
  <si>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</si>
  <si>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</si>
  <si>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</si>
  <si>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</si>
  <si>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</si>
  <si>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</si>
  <si>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</si>
  <si>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</si>
  <si>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</si>
  <si>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</si>
  <si>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</si>
  <si>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</si>
  <si>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</si>
  <si>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</si>
  <si>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</si>
  <si>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</si>
  <si>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</si>
  <si>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</si>
  <si>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</si>
  <si>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</si>
  <si>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</si>
  <si>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</si>
  <si>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</si>
  <si>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</si>
  <si>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</si>
  <si>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</si>
  <si>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</si>
  <si>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</si>
  <si>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</si>
  <si>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</si>
  <si>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</si>
  <si>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</si>
  <si>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</si>
  <si>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</si>
  <si>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</si>
  <si>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</si>
  <si>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</si>
  <si>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</si>
  <si>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</si>
  <si>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</si>
  <si>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</si>
  <si>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</si>
  <si>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</si>
  <si>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</si>
  <si>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</si>
  <si>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</si>
  <si>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</si>
  <si>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</si>
  <si>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</si>
  <si>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</si>
  <si>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</si>
  <si>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</si>
  <si>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</si>
  <si>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</si>
  <si>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</si>
  <si>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</si>
  <si>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</si>
  <si>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</si>
  <si>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</si>
  <si>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</si>
  <si>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</si>
  <si>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</si>
  <si>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</si>
  <si>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</si>
  <si>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</si>
  <si>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</si>
  <si>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</si>
  <si>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</si>
  <si>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</si>
  <si>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</si>
  <si>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</si>
  <si>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</si>
  <si>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</si>
  <si>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</si>
  <si>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</si>
  <si>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</si>
  <si>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</si>
  <si>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</si>
  <si>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</si>
  <si>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</si>
  <si>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</si>
  <si>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</si>
  <si>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</si>
  <si>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</si>
  <si>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</si>
  <si>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</si>
  <si>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</si>
  <si>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</si>
  <si>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</si>
  <si>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</si>
  <si>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</si>
  <si>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</si>
  <si>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</si>
  <si>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</si>
  <si>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</si>
  <si>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</si>
  <si>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</si>
  <si>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</si>
  <si>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</si>
  <si>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</si>
  <si>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</si>
  <si>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</si>
  <si>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</si>
  <si>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</si>
  <si>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</si>
  <si>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</si>
  <si>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</si>
  <si>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</si>
  <si>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</si>
  <si>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</si>
  <si>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</si>
  <si>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</si>
  <si>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</si>
  <si>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</si>
  <si>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</si>
  <si>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</si>
  <si>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</si>
  <si>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</si>
  <si>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</si>
  <si>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</si>
  <si>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</si>
  <si>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</si>
  <si>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</si>
  <si>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</si>
  <si>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</si>
  <si>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</si>
  <si>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</si>
  <si>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</si>
  <si>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</si>
  <si>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</si>
  <si>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</si>
  <si>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</si>
  <si>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</si>
  <si>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</si>
  <si>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</si>
  <si>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</si>
  <si>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</si>
  <si>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</si>
  <si>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</si>
  <si>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</si>
  <si>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</si>
  <si>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</si>
  <si>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</si>
  <si>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</si>
  <si>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</si>
  <si>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</si>
  <si>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</si>
  <si>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</si>
  <si>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</si>
  <si>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</si>
  <si>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</si>
  <si>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</si>
  <si>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</si>
  <si>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</si>
  <si>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</si>
  <si>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</si>
  <si>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</si>
  <si>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</si>
  <si>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</si>
  <si>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</si>
  <si>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</si>
  <si>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</si>
  <si>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</si>
  <si>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</si>
  <si>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</si>
  <si>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</si>
  <si>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</si>
  <si>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</si>
  <si>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</si>
  <si>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</si>
  <si>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</si>
  <si>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</si>
  <si>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</si>
  <si>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</si>
  <si>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</si>
  <si>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</si>
  <si>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</si>
  <si>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</si>
  <si>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</si>
  <si>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</si>
  <si>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</si>
  <si>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</si>
  <si>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</si>
  <si>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</si>
  <si>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</si>
  <si>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</si>
  <si>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</si>
  <si>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</si>
  <si>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</si>
  <si>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</si>
  <si>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</si>
  <si>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</si>
  <si>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</si>
  <si>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</si>
  <si>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</si>
  <si>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</si>
  <si>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</si>
  <si>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</si>
  <si>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</si>
  <si>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</si>
  <si>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</si>
  <si>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</si>
  <si>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</si>
  <si>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</si>
  <si>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</si>
  <si>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</si>
  <si>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</si>
  <si>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</si>
  <si>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</si>
  <si>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</si>
  <si>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</si>
  <si>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</si>
  <si>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</si>
  <si>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</si>
  <si>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</si>
  <si>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</si>
  <si>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</si>
  <si>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</si>
  <si>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</si>
  <si>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</si>
  <si>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</si>
  <si>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</si>
  <si>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</si>
  <si>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</si>
  <si>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</si>
  <si>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</si>
  <si>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</si>
  <si>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</si>
  <si>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</si>
  <si>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</si>
  <si>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</si>
  <si>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</si>
  <si>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</si>
  <si>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</si>
  <si>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</si>
  <si>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</si>
  <si>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</si>
  <si>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</si>
  <si>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</si>
  <si>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</si>
  <si>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</si>
  <si>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</si>
  <si>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</si>
  <si>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</si>
  <si>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</si>
  <si>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</si>
  <si>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</si>
  <si>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</si>
  <si>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</si>
  <si>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</si>
  <si>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</si>
  <si>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</si>
  <si>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</si>
  <si>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</si>
  <si>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</si>
  <si>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</si>
  <si>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</si>
  <si>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</si>
  <si>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</si>
  <si>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</si>
  <si>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</si>
  <si>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</si>
  <si>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</si>
  <si>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</si>
  <si>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</si>
  <si>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</si>
  <si>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</si>
  <si>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</si>
  <si>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</si>
  <si>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</si>
  <si>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</si>
  <si>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</si>
  <si>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</si>
  <si>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</si>
  <si>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</si>
  <si>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</si>
  <si>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</si>
  <si>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</si>
  <si>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</si>
  <si>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</si>
  <si>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</si>
  <si>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</si>
  <si>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</si>
  <si>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</si>
  <si>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</si>
  <si>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</si>
  <si>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</si>
  <si>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</si>
  <si>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</si>
  <si>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</si>
  <si>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</si>
  <si>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</si>
  <si>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z toho v Kč:</t>
  </si>
  <si>
    <t>z toho:</t>
  </si>
  <si>
    <t xml:space="preserve">z toho:           </t>
  </si>
  <si>
    <r>
      <t>MŠ Semily, Pod Vartou 609 - waldorfská</t>
    </r>
    <r>
      <rPr>
        <sz val="8"/>
        <color rgb="FFFF0000"/>
        <rFont val="Arial"/>
        <family val="2"/>
        <charset val="238"/>
      </rPr>
      <t xml:space="preserve"> zaniklá od 1.1.2021</t>
    </r>
  </si>
  <si>
    <r>
      <t xml:space="preserve">MŠ Semily, Pod Vartou 609 - waldorfská </t>
    </r>
    <r>
      <rPr>
        <sz val="8"/>
        <color rgb="FFFF0000"/>
        <rFont val="Arial"/>
        <family val="2"/>
        <charset val="238"/>
      </rPr>
      <t>zaniklá</t>
    </r>
    <r>
      <rPr>
        <sz val="8"/>
        <color rgb="FFFF5050"/>
        <rFont val="Arial"/>
        <family val="2"/>
        <charset val="238"/>
      </rPr>
      <t xml:space="preserve"> od 1.1.2021</t>
    </r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</si>
  <si>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</si>
  <si>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>Vážená paní ředitelko, vážený pane řediteli,</t>
  </si>
  <si>
    <t>Zpracoval: OŠMTS KÚ LK, oddělení financování přímých nákladů</t>
  </si>
  <si>
    <t>úprava</t>
  </si>
  <si>
    <r>
      <t xml:space="preserve">ZŠ Liberec, Husova 142/44 - </t>
    </r>
    <r>
      <rPr>
        <b/>
        <sz val="8"/>
        <color rgb="FFFF0000"/>
        <rFont val="Arial CE"/>
        <charset val="238"/>
      </rPr>
      <t>nově od 1. 3. 2021</t>
    </r>
  </si>
  <si>
    <t xml:space="preserve">MŠ Treperka a waldorfská Semily, Komenského nám.146 </t>
  </si>
  <si>
    <t>ORP LIBEREC</t>
  </si>
  <si>
    <t>ORP FRÝDLANT</t>
  </si>
  <si>
    <t>ORP NOVÝ BOR</t>
  </si>
  <si>
    <t>ORP SEMILY</t>
  </si>
  <si>
    <t>ORP JILEMNICE</t>
  </si>
  <si>
    <t>ORP TURNOV</t>
  </si>
  <si>
    <t>MŠ Jilemnice Roztocká 994 Celkem</t>
  </si>
  <si>
    <r>
      <t>MŠ Šimonovice 482 -</t>
    </r>
    <r>
      <rPr>
        <b/>
        <sz val="8"/>
        <color rgb="FFFF0000"/>
        <rFont val="Arial CE"/>
        <charset val="238"/>
      </rPr>
      <t xml:space="preserve"> nově od 1. 9. 2021</t>
    </r>
  </si>
  <si>
    <r>
      <t xml:space="preserve">MŠ Šimonovice 482 Celkem </t>
    </r>
    <r>
      <rPr>
        <sz val="8"/>
        <rFont val="Arial CE"/>
        <charset val="238"/>
      </rPr>
      <t>-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9. 2021</t>
    </r>
  </si>
  <si>
    <t>OON_DOUČ</t>
  </si>
  <si>
    <t>z toho OON "doučování"</t>
  </si>
  <si>
    <t>ORP JABLONEC NAD NISOU</t>
  </si>
  <si>
    <t>ORP TANVALD</t>
  </si>
  <si>
    <t>ORP ŽELEZNÝ BROD</t>
  </si>
  <si>
    <t>ORP ČESKÁ LÍPA</t>
  </si>
  <si>
    <t>kú</t>
  </si>
  <si>
    <t xml:space="preserve">Upozornění: </t>
  </si>
  <si>
    <t>Závazné ukazatele k 22. 11. 2021</t>
  </si>
  <si>
    <t>Závazné ukazatele k 22. 11. 20212</t>
  </si>
  <si>
    <t xml:space="preserve">2) úpravu limitu OON na základě případných dodatečných požadavků škol  </t>
  </si>
  <si>
    <t>3)  převody z prostředků na platy do ONIV (na náhrady za nemocenskou) - na základě požadavků jednotlivých škol  (v sloupci "individuální úpravy")</t>
  </si>
  <si>
    <t>4) případné další individuální úpravy (důvod změny uveden v komentáři v příslušné buňce)</t>
  </si>
  <si>
    <t>1) úpravu rozpočtu o prostředky na podpůrná opatření (PO) vykázaná od 1.11.2021 do 30.11.2021 - platy a ONIV,  případně opravy dříve vykázaných PO</t>
  </si>
  <si>
    <t>Tato úprava je pro rok 2021 poslední. Rozpočet na rok 2021 je tímto uzavřen, případné nevyčerpané prostředky lze již vrátit pouze ve finančním vypořádání.</t>
  </si>
  <si>
    <t>KONEČNÁ ÚPRAVA ROZPOČTU PŘÍMÝCH NIV na rok 2021 - závazné ukazatele ke 14. prosinci 2021</t>
  </si>
  <si>
    <t>Závazné ukazatele pro rok 2021 - přímé náklady ke 14. 12. 2021</t>
  </si>
  <si>
    <t>Komentář k úpravě rozpočtu přímých NIV ke 14. 12. 2021  (obecní školství)</t>
  </si>
  <si>
    <r>
      <t xml:space="preserve">předkládáme vám </t>
    </r>
    <r>
      <rPr>
        <b/>
        <sz val="9"/>
        <rFont val="Arial"/>
        <family val="2"/>
        <charset val="238"/>
      </rPr>
      <t>konečnou úpravu rozpočtu přímých NIV pro rok 2021 (ke 14. 12. 2021),</t>
    </r>
    <r>
      <rPr>
        <sz val="9"/>
        <rFont val="Arial"/>
        <family val="2"/>
        <charset val="238"/>
      </rPr>
      <t xml:space="preserve"> která obsahuje:</t>
    </r>
  </si>
  <si>
    <t>V Liberci dne 14. 12.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</si>
</sst>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9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b/>
      <sz val="9"/>
      <name val="Arial CE"/>
      <charset val="238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8"/>
      <color rgb="FFFF5050"/>
      <name val="Arial"/>
      <family val="2"/>
      <charset val="238"/>
    </font>
    <font>
      <sz val="8"/>
      <color rgb="FFFF0000"/>
      <name val="Arial CE"/>
      <charset val="238"/>
    </font>
    <font>
      <i/>
      <sz val="1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u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505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8" fillId="0" borderId="0"/>
    <xf numFmtId="0" fontId="10" fillId="0" borderId="0"/>
    <xf numFmtId="0" fontId="2" fillId="0" borderId="0"/>
    <xf numFmtId="0" fontId="2" fillId="0" borderId="0"/>
  </cellStyleXfs>
  <cellXfs count="911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3" fontId="8" fillId="0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4" fontId="7" fillId="0" borderId="0" xfId="0" applyNumberFormat="1" applyFont="1"/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0" fontId="7" fillId="0" borderId="0" xfId="0" applyFont="1"/>
    <xf numFmtId="0" fontId="9" fillId="0" borderId="0" xfId="0" applyFont="1" applyAlignme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 applyAlignment="1"/>
    <xf numFmtId="4" fontId="8" fillId="0" borderId="0" xfId="0" applyNumberFormat="1" applyFont="1" applyFill="1" applyBorder="1"/>
    <xf numFmtId="3" fontId="8" fillId="0" borderId="0" xfId="0" applyNumberFormat="1" applyFont="1" applyFill="1" applyBorder="1"/>
    <xf numFmtId="0" fontId="19" fillId="0" borderId="0" xfId="0" applyFont="1" applyAlignment="1"/>
    <xf numFmtId="0" fontId="11" fillId="3" borderId="1" xfId="2" applyFont="1" applyFill="1" applyBorder="1" applyAlignment="1">
      <alignment horizontal="center"/>
    </xf>
    <xf numFmtId="3" fontId="11" fillId="3" borderId="1" xfId="2" applyNumberFormat="1" applyFont="1" applyFill="1" applyBorder="1"/>
    <xf numFmtId="4" fontId="11" fillId="3" borderId="1" xfId="2" applyNumberFormat="1" applyFont="1" applyFill="1" applyBorder="1"/>
    <xf numFmtId="3" fontId="11" fillId="4" borderId="18" xfId="2" applyNumberFormat="1" applyFont="1" applyFill="1" applyBorder="1"/>
    <xf numFmtId="4" fontId="11" fillId="4" borderId="18" xfId="2" applyNumberFormat="1" applyFont="1" applyFill="1" applyBorder="1"/>
    <xf numFmtId="3" fontId="7" fillId="0" borderId="0" xfId="0" applyNumberFormat="1" applyFont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3" fontId="11" fillId="3" borderId="8" xfId="2" applyNumberFormat="1" applyFont="1" applyFill="1" applyBorder="1"/>
    <xf numFmtId="3" fontId="11" fillId="4" borderId="17" xfId="2" applyNumberFormat="1" applyFont="1" applyFill="1" applyBorder="1"/>
    <xf numFmtId="3" fontId="6" fillId="0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0" fontId="11" fillId="0" borderId="39" xfId="0" applyFont="1" applyBorder="1" applyAlignment="1">
      <alignment vertical="center" wrapText="1"/>
    </xf>
    <xf numFmtId="3" fontId="8" fillId="0" borderId="25" xfId="0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2" fillId="3" borderId="22" xfId="0" applyNumberFormat="1" applyFont="1" applyFill="1" applyBorder="1"/>
    <xf numFmtId="0" fontId="13" fillId="0" borderId="43" xfId="0" applyFont="1" applyBorder="1" applyAlignment="1">
      <alignment horizontal="left"/>
    </xf>
    <xf numFmtId="4" fontId="12" fillId="3" borderId="22" xfId="0" applyNumberFormat="1" applyFont="1" applyFill="1" applyBorder="1"/>
    <xf numFmtId="0" fontId="13" fillId="0" borderId="39" xfId="0" applyFont="1" applyBorder="1" applyAlignment="1">
      <alignment horizontal="left"/>
    </xf>
    <xf numFmtId="0" fontId="12" fillId="4" borderId="18" xfId="0" applyFont="1" applyFill="1" applyBorder="1" applyAlignment="1">
      <alignment horizontal="center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0" fontId="12" fillId="3" borderId="22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4" fontId="12" fillId="3" borderId="32" xfId="0" applyNumberFormat="1" applyFont="1" applyFill="1" applyBorder="1"/>
    <xf numFmtId="4" fontId="12" fillId="4" borderId="20" xfId="0" applyNumberFormat="1" applyFont="1" applyFill="1" applyBorder="1"/>
    <xf numFmtId="3" fontId="12" fillId="4" borderId="17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1" fillId="3" borderId="10" xfId="2" applyNumberFormat="1" applyFont="1" applyFill="1" applyBorder="1"/>
    <xf numFmtId="4" fontId="11" fillId="4" borderId="19" xfId="2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4" fontId="12" fillId="4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4" fontId="11" fillId="0" borderId="1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center" vertical="center" wrapText="1"/>
    </xf>
    <xf numFmtId="3" fontId="13" fillId="0" borderId="22" xfId="0" applyNumberFormat="1" applyFont="1" applyFill="1" applyBorder="1" applyAlignment="1">
      <alignment horizontal="center" vertical="center" wrapText="1"/>
    </xf>
    <xf numFmtId="3" fontId="11" fillId="3" borderId="28" xfId="2" applyNumberFormat="1" applyFont="1" applyFill="1" applyBorder="1"/>
    <xf numFmtId="3" fontId="11" fillId="3" borderId="22" xfId="2" applyNumberFormat="1" applyFont="1" applyFill="1" applyBorder="1"/>
    <xf numFmtId="3" fontId="13" fillId="0" borderId="22" xfId="0" applyNumberFormat="1" applyFont="1" applyBorder="1" applyAlignment="1">
      <alignment horizontal="center" vertical="center"/>
    </xf>
    <xf numFmtId="4" fontId="11" fillId="3" borderId="22" xfId="2" applyNumberFormat="1" applyFont="1" applyFill="1" applyBorder="1"/>
    <xf numFmtId="4" fontId="11" fillId="3" borderId="29" xfId="2" applyNumberFormat="1" applyFont="1" applyFill="1" applyBorder="1"/>
    <xf numFmtId="3" fontId="12" fillId="3" borderId="22" xfId="0" applyNumberFormat="1" applyFont="1" applyFill="1" applyBorder="1" applyAlignment="1">
      <alignment horizontal="right"/>
    </xf>
    <xf numFmtId="3" fontId="12" fillId="4" borderId="24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4" fontId="12" fillId="3" borderId="29" xfId="0" applyNumberFormat="1" applyFont="1" applyFill="1" applyBorder="1"/>
    <xf numFmtId="4" fontId="12" fillId="4" borderId="19" xfId="0" applyNumberFormat="1" applyFont="1" applyFill="1" applyBorder="1"/>
    <xf numFmtId="0" fontId="0" fillId="0" borderId="0" xfId="0" applyAlignment="1">
      <alignment horizontal="left"/>
    </xf>
    <xf numFmtId="0" fontId="17" fillId="0" borderId="0" xfId="0" applyFont="1" applyAlignment="1"/>
    <xf numFmtId="0" fontId="5" fillId="0" borderId="0" xfId="3" applyAlignment="1">
      <alignment horizontal="center"/>
    </xf>
    <xf numFmtId="3" fontId="5" fillId="0" borderId="0" xfId="3" applyNumberFormat="1"/>
    <xf numFmtId="0" fontId="5" fillId="0" borderId="0" xfId="3"/>
    <xf numFmtId="0" fontId="25" fillId="0" borderId="1" xfId="3" applyFont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0" fontId="22" fillId="3" borderId="1" xfId="3" applyFont="1" applyFill="1" applyBorder="1" applyAlignment="1">
      <alignment horizontal="center"/>
    </xf>
    <xf numFmtId="0" fontId="8" fillId="3" borderId="1" xfId="3" applyFont="1" applyFill="1" applyBorder="1" applyAlignment="1">
      <alignment horizontal="center"/>
    </xf>
    <xf numFmtId="3" fontId="12" fillId="3" borderId="1" xfId="3" applyNumberFormat="1" applyFont="1" applyFill="1" applyBorder="1"/>
    <xf numFmtId="4" fontId="12" fillId="3" borderId="1" xfId="3" applyNumberFormat="1" applyFont="1" applyFill="1" applyBorder="1"/>
    <xf numFmtId="0" fontId="22" fillId="3" borderId="30" xfId="3" applyFont="1" applyFill="1" applyBorder="1"/>
    <xf numFmtId="0" fontId="22" fillId="3" borderId="9" xfId="3" applyFont="1" applyFill="1" applyBorder="1"/>
    <xf numFmtId="3" fontId="22" fillId="3" borderId="1" xfId="3" applyNumberFormat="1" applyFont="1" applyFill="1" applyBorder="1"/>
    <xf numFmtId="0" fontId="25" fillId="3" borderId="1" xfId="3" applyFont="1" applyFill="1" applyBorder="1" applyAlignment="1">
      <alignment horizontal="center"/>
    </xf>
    <xf numFmtId="0" fontId="25" fillId="3" borderId="9" xfId="3" applyFont="1" applyFill="1" applyBorder="1"/>
    <xf numFmtId="4" fontId="22" fillId="3" borderId="1" xfId="3" applyNumberFormat="1" applyFont="1" applyFill="1" applyBorder="1"/>
    <xf numFmtId="0" fontId="22" fillId="3" borderId="31" xfId="3" applyFont="1" applyFill="1" applyBorder="1"/>
    <xf numFmtId="0" fontId="25" fillId="3" borderId="22" xfId="3" applyFont="1" applyFill="1" applyBorder="1" applyAlignment="1">
      <alignment horizontal="center"/>
    </xf>
    <xf numFmtId="0" fontId="25" fillId="3" borderId="32" xfId="3" applyFont="1" applyFill="1" applyBorder="1"/>
    <xf numFmtId="0" fontId="5" fillId="5" borderId="18" xfId="3" applyFill="1" applyBorder="1" applyAlignment="1">
      <alignment horizontal="center"/>
    </xf>
    <xf numFmtId="0" fontId="5" fillId="5" borderId="20" xfId="3" applyFill="1" applyBorder="1"/>
    <xf numFmtId="0" fontId="13" fillId="0" borderId="0" xfId="3" applyFont="1"/>
    <xf numFmtId="0" fontId="23" fillId="0" borderId="0" xfId="3" applyFont="1"/>
    <xf numFmtId="0" fontId="24" fillId="0" borderId="0" xfId="3" applyFont="1" applyAlignment="1">
      <alignment horizontal="right"/>
    </xf>
    <xf numFmtId="0" fontId="25" fillId="0" borderId="5" xfId="3" applyFont="1" applyBorder="1" applyAlignment="1">
      <alignment horizontal="center"/>
    </xf>
    <xf numFmtId="0" fontId="13" fillId="3" borderId="1" xfId="3" applyFont="1" applyFill="1" applyBorder="1" applyAlignment="1">
      <alignment horizontal="center"/>
    </xf>
    <xf numFmtId="1" fontId="13" fillId="3" borderId="1" xfId="3" applyNumberFormat="1" applyFont="1" applyFill="1" applyBorder="1" applyAlignment="1">
      <alignment horizontal="center"/>
    </xf>
    <xf numFmtId="3" fontId="13" fillId="3" borderId="1" xfId="3" applyNumberFormat="1" applyFont="1" applyFill="1" applyBorder="1"/>
    <xf numFmtId="1" fontId="25" fillId="0" borderId="1" xfId="3" applyNumberFormat="1" applyFont="1" applyBorder="1" applyAlignment="1">
      <alignment horizontal="center"/>
    </xf>
    <xf numFmtId="3" fontId="13" fillId="3" borderId="1" xfId="3" applyNumberFormat="1" applyFont="1" applyFill="1" applyBorder="1" applyAlignment="1">
      <alignment horizontal="right"/>
    </xf>
    <xf numFmtId="0" fontId="13" fillId="3" borderId="22" xfId="3" applyFont="1" applyFill="1" applyBorder="1" applyAlignment="1">
      <alignment horizontal="center"/>
    </xf>
    <xf numFmtId="0" fontId="5" fillId="5" borderId="18" xfId="3" applyFill="1" applyBorder="1"/>
    <xf numFmtId="1" fontId="5" fillId="0" borderId="0" xfId="3" applyNumberFormat="1" applyAlignment="1">
      <alignment horizontal="center"/>
    </xf>
    <xf numFmtId="4" fontId="5" fillId="0" borderId="0" xfId="3" applyNumberFormat="1"/>
    <xf numFmtId="1" fontId="22" fillId="3" borderId="1" xfId="3" applyNumberFormat="1" applyFont="1" applyFill="1" applyBorder="1" applyAlignment="1">
      <alignment horizontal="center"/>
    </xf>
    <xf numFmtId="0" fontId="13" fillId="3" borderId="9" xfId="3" applyFont="1" applyFill="1" applyBorder="1" applyAlignment="1">
      <alignment horizontal="left"/>
    </xf>
    <xf numFmtId="0" fontId="13" fillId="3" borderId="53" xfId="3" applyFont="1" applyFill="1" applyBorder="1" applyAlignment="1">
      <alignment horizontal="left"/>
    </xf>
    <xf numFmtId="3" fontId="12" fillId="3" borderId="1" xfId="3" applyNumberFormat="1" applyFont="1" applyFill="1" applyBorder="1" applyAlignment="1">
      <alignment horizontal="right"/>
    </xf>
    <xf numFmtId="0" fontId="7" fillId="3" borderId="1" xfId="3" applyFont="1" applyFill="1" applyBorder="1" applyAlignment="1">
      <alignment horizontal="center"/>
    </xf>
    <xf numFmtId="1" fontId="7" fillId="3" borderId="1" xfId="3" applyNumberFormat="1" applyFont="1" applyFill="1" applyBorder="1" applyAlignment="1">
      <alignment horizontal="center"/>
    </xf>
    <xf numFmtId="0" fontId="13" fillId="3" borderId="30" xfId="3" applyFont="1" applyFill="1" applyBorder="1"/>
    <xf numFmtId="0" fontId="7" fillId="3" borderId="9" xfId="3" applyFont="1" applyFill="1" applyBorder="1"/>
    <xf numFmtId="0" fontId="7" fillId="3" borderId="53" xfId="3" applyFont="1" applyFill="1" applyBorder="1"/>
    <xf numFmtId="0" fontId="13" fillId="3" borderId="9" xfId="3" applyFont="1" applyFill="1" applyBorder="1"/>
    <xf numFmtId="0" fontId="13" fillId="3" borderId="53" xfId="3" applyFont="1" applyFill="1" applyBorder="1"/>
    <xf numFmtId="0" fontId="12" fillId="7" borderId="18" xfId="3" applyFont="1" applyFill="1" applyBorder="1" applyAlignment="1">
      <alignment horizontal="center"/>
    </xf>
    <xf numFmtId="1" fontId="20" fillId="0" borderId="0" xfId="3" applyNumberFormat="1" applyFont="1" applyAlignment="1">
      <alignment horizontal="center"/>
    </xf>
    <xf numFmtId="1" fontId="20" fillId="0" borderId="0" xfId="3" applyNumberFormat="1" applyFont="1"/>
    <xf numFmtId="0" fontId="5" fillId="0" borderId="0" xfId="3" applyAlignment="1">
      <alignment horizontal="left"/>
    </xf>
    <xf numFmtId="0" fontId="31" fillId="3" borderId="1" xfId="4" applyFont="1" applyFill="1" applyBorder="1" applyAlignment="1">
      <alignment horizontal="center"/>
    </xf>
    <xf numFmtId="3" fontId="11" fillId="3" borderId="8" xfId="3" applyNumberFormat="1" applyFont="1" applyFill="1" applyBorder="1" applyAlignment="1">
      <alignment horizontal="right"/>
    </xf>
    <xf numFmtId="3" fontId="12" fillId="3" borderId="8" xfId="3" applyNumberFormat="1" applyFont="1" applyFill="1" applyBorder="1"/>
    <xf numFmtId="0" fontId="12" fillId="3" borderId="1" xfId="4" applyFont="1" applyFill="1" applyBorder="1" applyAlignment="1">
      <alignment horizontal="center"/>
    </xf>
    <xf numFmtId="0" fontId="12" fillId="3" borderId="1" xfId="3" applyFont="1" applyFill="1" applyBorder="1" applyAlignment="1">
      <alignment horizontal="center"/>
    </xf>
    <xf numFmtId="3" fontId="11" fillId="3" borderId="8" xfId="3" applyNumberFormat="1" applyFont="1" applyFill="1" applyBorder="1"/>
    <xf numFmtId="0" fontId="33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3" fontId="12" fillId="3" borderId="8" xfId="3" applyNumberFormat="1" applyFont="1" applyFill="1" applyBorder="1" applyAlignment="1">
      <alignment horizontal="right"/>
    </xf>
    <xf numFmtId="0" fontId="6" fillId="3" borderId="1" xfId="3" applyFont="1" applyFill="1" applyBorder="1" applyAlignment="1">
      <alignment horizontal="center"/>
    </xf>
    <xf numFmtId="0" fontId="31" fillId="3" borderId="22" xfId="4" applyFont="1" applyFill="1" applyBorder="1" applyAlignment="1">
      <alignment horizontal="center"/>
    </xf>
    <xf numFmtId="0" fontId="6" fillId="7" borderId="18" xfId="3" applyFont="1" applyFill="1" applyBorder="1" applyAlignment="1">
      <alignment horizontal="center"/>
    </xf>
    <xf numFmtId="0" fontId="24" fillId="0" borderId="0" xfId="3" applyFont="1" applyAlignment="1">
      <alignment horizontal="center"/>
    </xf>
    <xf numFmtId="3" fontId="12" fillId="3" borderId="30" xfId="3" applyNumberFormat="1" applyFont="1" applyFill="1" applyBorder="1"/>
    <xf numFmtId="3" fontId="22" fillId="3" borderId="30" xfId="3" applyNumberFormat="1" applyFont="1" applyFill="1" applyBorder="1"/>
    <xf numFmtId="3" fontId="22" fillId="3" borderId="31" xfId="3" applyNumberFormat="1" applyFont="1" applyFill="1" applyBorder="1"/>
    <xf numFmtId="3" fontId="22" fillId="3" borderId="22" xfId="3" applyNumberFormat="1" applyFont="1" applyFill="1" applyBorder="1"/>
    <xf numFmtId="3" fontId="22" fillId="5" borderId="17" xfId="3" applyNumberFormat="1" applyFont="1" applyFill="1" applyBorder="1"/>
    <xf numFmtId="3" fontId="22" fillId="5" borderId="18" xfId="3" applyNumberFormat="1" applyFont="1" applyFill="1" applyBorder="1"/>
    <xf numFmtId="3" fontId="22" fillId="3" borderId="8" xfId="3" applyNumberFormat="1" applyFont="1" applyFill="1" applyBorder="1"/>
    <xf numFmtId="0" fontId="18" fillId="0" borderId="0" xfId="3" applyFont="1" applyAlignment="1">
      <alignment horizontal="left"/>
    </xf>
    <xf numFmtId="3" fontId="13" fillId="3" borderId="30" xfId="3" applyNumberFormat="1" applyFont="1" applyFill="1" applyBorder="1"/>
    <xf numFmtId="3" fontId="13" fillId="3" borderId="30" xfId="3" applyNumberFormat="1" applyFont="1" applyFill="1" applyBorder="1" applyAlignment="1">
      <alignment horizontal="right"/>
    </xf>
    <xf numFmtId="4" fontId="22" fillId="3" borderId="22" xfId="3" applyNumberFormat="1" applyFont="1" applyFill="1" applyBorder="1"/>
    <xf numFmtId="4" fontId="22" fillId="5" borderId="18" xfId="3" applyNumberFormat="1" applyFont="1" applyFill="1" applyBorder="1"/>
    <xf numFmtId="4" fontId="22" fillId="5" borderId="19" xfId="3" applyNumberFormat="1" applyFont="1" applyFill="1" applyBorder="1"/>
    <xf numFmtId="0" fontId="25" fillId="0" borderId="8" xfId="3" applyFont="1" applyBorder="1" applyAlignment="1">
      <alignment horizontal="center"/>
    </xf>
    <xf numFmtId="0" fontId="22" fillId="3" borderId="8" xfId="3" applyFont="1" applyFill="1" applyBorder="1" applyAlignment="1">
      <alignment horizontal="center"/>
    </xf>
    <xf numFmtId="0" fontId="13" fillId="3" borderId="8" xfId="3" applyFont="1" applyFill="1" applyBorder="1" applyAlignment="1">
      <alignment horizontal="center"/>
    </xf>
    <xf numFmtId="4" fontId="13" fillId="3" borderId="1" xfId="3" applyNumberFormat="1" applyFont="1" applyFill="1" applyBorder="1"/>
    <xf numFmtId="4" fontId="13" fillId="3" borderId="1" xfId="3" applyNumberFormat="1" applyFont="1" applyFill="1" applyBorder="1" applyAlignment="1">
      <alignment horizontal="right"/>
    </xf>
    <xf numFmtId="1" fontId="13" fillId="3" borderId="22" xfId="3" applyNumberFormat="1" applyFont="1" applyFill="1" applyBorder="1" applyAlignment="1">
      <alignment horizontal="center"/>
    </xf>
    <xf numFmtId="0" fontId="28" fillId="7" borderId="17" xfId="3" applyFont="1" applyFill="1" applyBorder="1" applyAlignment="1">
      <alignment horizontal="center"/>
    </xf>
    <xf numFmtId="1" fontId="12" fillId="7" borderId="18" xfId="3" applyNumberFormat="1" applyFont="1" applyFill="1" applyBorder="1" applyAlignment="1">
      <alignment horizontal="center"/>
    </xf>
    <xf numFmtId="0" fontId="13" fillId="3" borderId="28" xfId="3" applyFont="1" applyFill="1" applyBorder="1" applyAlignment="1">
      <alignment horizontal="center"/>
    </xf>
    <xf numFmtId="0" fontId="24" fillId="5" borderId="17" xfId="3" applyFont="1" applyFill="1" applyBorder="1" applyAlignment="1">
      <alignment horizontal="center"/>
    </xf>
    <xf numFmtId="1" fontId="5" fillId="5" borderId="18" xfId="3" applyNumberFormat="1" applyFill="1" applyBorder="1" applyAlignment="1">
      <alignment horizontal="center"/>
    </xf>
    <xf numFmtId="0" fontId="22" fillId="3" borderId="28" xfId="3" applyFont="1" applyFill="1" applyBorder="1" applyAlignment="1">
      <alignment horizontal="center"/>
    </xf>
    <xf numFmtId="0" fontId="22" fillId="3" borderId="22" xfId="3" applyFont="1" applyFill="1" applyBorder="1" applyAlignment="1">
      <alignment horizontal="center"/>
    </xf>
    <xf numFmtId="0" fontId="27" fillId="5" borderId="17" xfId="3" applyFont="1" applyFill="1" applyBorder="1" applyAlignment="1">
      <alignment horizontal="center"/>
    </xf>
    <xf numFmtId="3" fontId="11" fillId="3" borderId="1" xfId="3" applyNumberFormat="1" applyFont="1" applyFill="1" applyBorder="1" applyAlignment="1">
      <alignment horizontal="right"/>
    </xf>
    <xf numFmtId="3" fontId="11" fillId="3" borderId="1" xfId="3" applyNumberFormat="1" applyFont="1" applyFill="1" applyBorder="1"/>
    <xf numFmtId="3" fontId="12" fillId="3" borderId="22" xfId="3" applyNumberFormat="1" applyFont="1" applyFill="1" applyBorder="1"/>
    <xf numFmtId="3" fontId="12" fillId="7" borderId="18" xfId="3" applyNumberFormat="1" applyFont="1" applyFill="1" applyBorder="1"/>
    <xf numFmtId="3" fontId="12" fillId="3" borderId="11" xfId="3" applyNumberFormat="1" applyFont="1" applyFill="1" applyBorder="1"/>
    <xf numFmtId="3" fontId="37" fillId="0" borderId="0" xfId="5" applyNumberFormat="1" applyFont="1" applyAlignment="1"/>
    <xf numFmtId="4" fontId="37" fillId="0" borderId="0" xfId="5" applyNumberFormat="1" applyFont="1" applyAlignment="1"/>
    <xf numFmtId="3" fontId="4" fillId="0" borderId="0" xfId="5" applyNumberFormat="1"/>
    <xf numFmtId="4" fontId="4" fillId="0" borderId="0" xfId="5" applyNumberFormat="1"/>
    <xf numFmtId="0" fontId="36" fillId="0" borderId="0" xfId="5" applyFont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 applyAlignment="1">
      <alignment horizontal="center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 applyAlignment="1">
      <alignment horizontal="right"/>
    </xf>
    <xf numFmtId="0" fontId="12" fillId="3" borderId="22" xfId="5" applyFont="1" applyFill="1" applyBorder="1" applyAlignment="1">
      <alignment horizontal="center"/>
    </xf>
    <xf numFmtId="3" fontId="39" fillId="7" borderId="20" xfId="5" applyNumberFormat="1" applyFont="1" applyFill="1" applyBorder="1"/>
    <xf numFmtId="3" fontId="12" fillId="7" borderId="18" xfId="5" applyNumberFormat="1" applyFont="1" applyFill="1" applyBorder="1"/>
    <xf numFmtId="0" fontId="36" fillId="0" borderId="0" xfId="5" applyFont="1" applyBorder="1"/>
    <xf numFmtId="4" fontId="37" fillId="0" borderId="0" xfId="5" applyNumberFormat="1" applyFont="1" applyBorder="1"/>
    <xf numFmtId="3" fontId="37" fillId="0" borderId="0" xfId="5" applyNumberFormat="1" applyFont="1" applyAlignment="1">
      <alignment horizontal="right"/>
    </xf>
    <xf numFmtId="0" fontId="36" fillId="0" borderId="0" xfId="5" applyFont="1" applyAlignment="1">
      <alignment horizontal="right"/>
    </xf>
    <xf numFmtId="4" fontId="37" fillId="0" borderId="0" xfId="5" applyNumberFormat="1" applyFont="1" applyAlignment="1">
      <alignment horizontal="right"/>
    </xf>
    <xf numFmtId="3" fontId="36" fillId="0" borderId="0" xfId="5" applyNumberFormat="1" applyFont="1"/>
    <xf numFmtId="4" fontId="36" fillId="0" borderId="0" xfId="5" applyNumberFormat="1" applyFont="1"/>
    <xf numFmtId="3" fontId="36" fillId="0" borderId="0" xfId="5" applyNumberFormat="1" applyFont="1" applyBorder="1"/>
    <xf numFmtId="4" fontId="36" fillId="0" borderId="0" xfId="5" applyNumberFormat="1" applyFont="1" applyBorder="1"/>
    <xf numFmtId="0" fontId="36" fillId="0" borderId="0" xfId="5" applyFont="1" applyAlignment="1">
      <alignment horizontal="center"/>
    </xf>
    <xf numFmtId="0" fontId="4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4" fillId="0" borderId="0" xfId="5"/>
    <xf numFmtId="0" fontId="23" fillId="0" borderId="0" xfId="5" applyFont="1"/>
    <xf numFmtId="0" fontId="36" fillId="0" borderId="0" xfId="5" applyFont="1" applyAlignment="1">
      <alignment horizontal="center"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25" fillId="0" borderId="0" xfId="5" applyFont="1"/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0" fontId="7" fillId="2" borderId="9" xfId="5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3" fontId="13" fillId="3" borderId="8" xfId="5" applyNumberFormat="1" applyFont="1" applyFill="1" applyBorder="1" applyAlignment="1">
      <alignment horizontal="right"/>
    </xf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13" fillId="3" borderId="22" xfId="5" applyFont="1" applyFill="1" applyBorder="1"/>
    <xf numFmtId="0" fontId="13" fillId="3" borderId="22" xfId="5" applyFont="1" applyFill="1" applyBorder="1" applyAlignment="1">
      <alignment horizontal="center" wrapText="1"/>
    </xf>
    <xf numFmtId="0" fontId="7" fillId="3" borderId="22" xfId="5" applyFont="1" applyFill="1" applyBorder="1"/>
    <xf numFmtId="0" fontId="7" fillId="3" borderId="32" xfId="5" applyFont="1" applyFill="1" applyBorder="1"/>
    <xf numFmtId="3" fontId="13" fillId="6" borderId="18" xfId="5" applyNumberFormat="1" applyFont="1" applyFill="1" applyBorder="1"/>
    <xf numFmtId="3" fontId="13" fillId="6" borderId="20" xfId="5" applyNumberFormat="1" applyFont="1" applyFill="1" applyBorder="1"/>
    <xf numFmtId="0" fontId="25" fillId="0" borderId="0" xfId="5" applyFont="1" applyAlignment="1">
      <alignment horizontal="center"/>
    </xf>
    <xf numFmtId="3" fontId="4" fillId="0" borderId="0" xfId="5" applyNumberFormat="1" applyAlignment="1">
      <alignment horizontal="center"/>
    </xf>
    <xf numFmtId="3" fontId="21" fillId="0" borderId="0" xfId="5" applyNumberFormat="1" applyFont="1" applyFill="1" applyBorder="1" applyAlignment="1">
      <alignment horizontal="center" vertical="center"/>
    </xf>
    <xf numFmtId="3" fontId="39" fillId="7" borderId="43" xfId="5" applyNumberFormat="1" applyFont="1" applyFill="1" applyBorder="1" applyAlignment="1">
      <alignment horizontal="center"/>
    </xf>
    <xf numFmtId="0" fontId="23" fillId="0" borderId="0" xfId="5" applyFont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8" xfId="5" applyNumberFormat="1" applyFont="1" applyFill="1" applyBorder="1" applyAlignment="1">
      <alignment horizontal="center"/>
    </xf>
    <xf numFmtId="3" fontId="13" fillId="6" borderId="17" xfId="5" applyNumberFormat="1" applyFont="1" applyFill="1" applyBorder="1" applyAlignment="1">
      <alignment horizontal="center"/>
    </xf>
    <xf numFmtId="3" fontId="11" fillId="3" borderId="30" xfId="3" applyNumberFormat="1" applyFont="1" applyFill="1" applyBorder="1" applyAlignment="1">
      <alignment horizontal="right"/>
    </xf>
    <xf numFmtId="3" fontId="11" fillId="3" borderId="30" xfId="3" applyNumberFormat="1" applyFont="1" applyFill="1" applyBorder="1"/>
    <xf numFmtId="3" fontId="12" fillId="3" borderId="30" xfId="3" applyNumberFormat="1" applyFont="1" applyFill="1" applyBorder="1" applyAlignment="1">
      <alignment horizontal="right"/>
    </xf>
    <xf numFmtId="3" fontId="12" fillId="3" borderId="45" xfId="3" applyNumberFormat="1" applyFont="1" applyFill="1" applyBorder="1"/>
    <xf numFmtId="3" fontId="12" fillId="7" borderId="52" xfId="3" applyNumberFormat="1" applyFont="1" applyFill="1" applyBorder="1"/>
    <xf numFmtId="0" fontId="20" fillId="0" borderId="0" xfId="5" applyFont="1"/>
    <xf numFmtId="0" fontId="25" fillId="0" borderId="4" xfId="3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Alignment="1">
      <alignment horizontal="center"/>
    </xf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0" fontId="13" fillId="0" borderId="47" xfId="0" applyFont="1" applyBorder="1" applyAlignment="1">
      <alignment horizontal="left"/>
    </xf>
    <xf numFmtId="3" fontId="14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6" fillId="0" borderId="0" xfId="5" applyNumberFormat="1" applyFont="1" applyBorder="1"/>
    <xf numFmtId="3" fontId="6" fillId="0" borderId="26" xfId="5" applyNumberFormat="1" applyFont="1" applyBorder="1"/>
    <xf numFmtId="0" fontId="13" fillId="0" borderId="44" xfId="0" applyFont="1" applyBorder="1" applyAlignment="1">
      <alignment horizontal="left"/>
    </xf>
    <xf numFmtId="4" fontId="14" fillId="4" borderId="20" xfId="0" applyNumberFormat="1" applyFont="1" applyFill="1" applyBorder="1"/>
    <xf numFmtId="3" fontId="14" fillId="4" borderId="24" xfId="0" applyNumberFormat="1" applyFont="1" applyFill="1" applyBorder="1"/>
    <xf numFmtId="0" fontId="13" fillId="0" borderId="16" xfId="0" applyFont="1" applyBorder="1" applyAlignment="1">
      <alignment horizontal="left"/>
    </xf>
    <xf numFmtId="3" fontId="11" fillId="3" borderId="30" xfId="2" applyNumberFormat="1" applyFont="1" applyFill="1" applyBorder="1"/>
    <xf numFmtId="3" fontId="11" fillId="3" borderId="31" xfId="2" applyNumberFormat="1" applyFont="1" applyFill="1" applyBorder="1"/>
    <xf numFmtId="4" fontId="12" fillId="3" borderId="22" xfId="0" applyNumberFormat="1" applyFont="1" applyFill="1" applyBorder="1" applyAlignment="1">
      <alignment horizontal="right"/>
    </xf>
    <xf numFmtId="4" fontId="12" fillId="3" borderId="29" xfId="0" applyNumberFormat="1" applyFont="1" applyFill="1" applyBorder="1" applyAlignment="1">
      <alignment horizontal="right"/>
    </xf>
    <xf numFmtId="3" fontId="12" fillId="3" borderId="30" xfId="0" applyNumberFormat="1" applyFont="1" applyFill="1" applyBorder="1"/>
    <xf numFmtId="3" fontId="12" fillId="3" borderId="30" xfId="0" applyNumberFormat="1" applyFont="1" applyFill="1" applyBorder="1" applyAlignment="1">
      <alignment horizontal="right"/>
    </xf>
    <xf numFmtId="3" fontId="12" fillId="3" borderId="31" xfId="0" applyNumberFormat="1" applyFont="1" applyFill="1" applyBorder="1"/>
    <xf numFmtId="3" fontId="22" fillId="5" borderId="24" xfId="3" applyNumberFormat="1" applyFont="1" applyFill="1" applyBorder="1"/>
    <xf numFmtId="4" fontId="12" fillId="3" borderId="10" xfId="3" applyNumberFormat="1" applyFont="1" applyFill="1" applyBorder="1"/>
    <xf numFmtId="4" fontId="22" fillId="3" borderId="10" xfId="3" applyNumberFormat="1" applyFont="1" applyFill="1" applyBorder="1"/>
    <xf numFmtId="4" fontId="22" fillId="3" borderId="29" xfId="3" applyNumberFormat="1" applyFont="1" applyFill="1" applyBorder="1"/>
    <xf numFmtId="0" fontId="12" fillId="3" borderId="1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left"/>
    </xf>
    <xf numFmtId="0" fontId="11" fillId="3" borderId="8" xfId="2" applyFont="1" applyFill="1" applyBorder="1" applyAlignment="1">
      <alignment horizontal="center"/>
    </xf>
    <xf numFmtId="3" fontId="12" fillId="3" borderId="31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8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2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left"/>
    </xf>
    <xf numFmtId="0" fontId="12" fillId="3" borderId="28" xfId="0" applyFont="1" applyFill="1" applyBorder="1" applyAlignment="1">
      <alignment horizontal="center"/>
    </xf>
    <xf numFmtId="0" fontId="12" fillId="3" borderId="22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6" xfId="2" applyFont="1" applyFill="1" applyBorder="1" applyAlignment="1">
      <alignment horizontal="center" vertical="center"/>
    </xf>
    <xf numFmtId="0" fontId="12" fillId="3" borderId="1" xfId="0" applyFont="1" applyFill="1" applyBorder="1"/>
    <xf numFmtId="3" fontId="12" fillId="4" borderId="24" xfId="0" applyNumberFormat="1" applyFont="1" applyFill="1" applyBorder="1"/>
    <xf numFmtId="3" fontId="13" fillId="3" borderId="8" xfId="3" applyNumberFormat="1" applyFont="1" applyFill="1" applyBorder="1"/>
    <xf numFmtId="3" fontId="13" fillId="3" borderId="8" xfId="3" applyNumberFormat="1" applyFont="1" applyFill="1" applyBorder="1" applyAlignment="1">
      <alignment horizontal="right"/>
    </xf>
    <xf numFmtId="4" fontId="13" fillId="3" borderId="10" xfId="3" applyNumberFormat="1" applyFont="1" applyFill="1" applyBorder="1"/>
    <xf numFmtId="4" fontId="13" fillId="3" borderId="10" xfId="3" applyNumberFormat="1" applyFont="1" applyFill="1" applyBorder="1" applyAlignment="1">
      <alignment horizontal="right"/>
    </xf>
    <xf numFmtId="0" fontId="22" fillId="3" borderId="1" xfId="3" applyFont="1" applyFill="1" applyBorder="1"/>
    <xf numFmtId="0" fontId="25" fillId="3" borderId="1" xfId="3" applyFont="1" applyFill="1" applyBorder="1"/>
    <xf numFmtId="0" fontId="22" fillId="3" borderId="22" xfId="3" applyFont="1" applyFill="1" applyBorder="1"/>
    <xf numFmtId="0" fontId="25" fillId="3" borderId="22" xfId="3" applyFont="1" applyFill="1" applyBorder="1"/>
    <xf numFmtId="0" fontId="19" fillId="0" borderId="0" xfId="0" applyFont="1" applyAlignment="1">
      <alignment horizontal="left"/>
    </xf>
    <xf numFmtId="4" fontId="12" fillId="3" borderId="1" xfId="3" applyNumberFormat="1" applyFont="1" applyFill="1" applyBorder="1" applyAlignment="1">
      <alignment horizontal="right"/>
    </xf>
    <xf numFmtId="4" fontId="12" fillId="3" borderId="10" xfId="3" applyNumberFormat="1" applyFont="1" applyFill="1" applyBorder="1" applyAlignment="1">
      <alignment horizontal="right"/>
    </xf>
    <xf numFmtId="0" fontId="24" fillId="0" borderId="8" xfId="3" applyFont="1" applyBorder="1" applyAlignment="1">
      <alignment horizontal="right"/>
    </xf>
    <xf numFmtId="0" fontId="30" fillId="3" borderId="8" xfId="4" applyFont="1" applyFill="1" applyBorder="1" applyAlignment="1">
      <alignment horizontal="right"/>
    </xf>
    <xf numFmtId="0" fontId="34" fillId="3" borderId="8" xfId="4" applyFont="1" applyFill="1" applyBorder="1" applyAlignment="1">
      <alignment horizontal="right"/>
    </xf>
    <xf numFmtId="0" fontId="28" fillId="3" borderId="8" xfId="4" applyFont="1" applyFill="1" applyBorder="1" applyAlignment="1">
      <alignment horizontal="right"/>
    </xf>
    <xf numFmtId="0" fontId="24" fillId="0" borderId="4" xfId="3" applyFont="1" applyBorder="1" applyAlignment="1">
      <alignment horizontal="right"/>
    </xf>
    <xf numFmtId="0" fontId="28" fillId="3" borderId="28" xfId="4" applyFont="1" applyFill="1" applyBorder="1" applyAlignment="1">
      <alignment horizontal="right"/>
    </xf>
    <xf numFmtId="0" fontId="12" fillId="3" borderId="22" xfId="4" applyFont="1" applyFill="1" applyBorder="1" applyAlignment="1">
      <alignment horizontal="center"/>
    </xf>
    <xf numFmtId="0" fontId="28" fillId="7" borderId="17" xfId="3" applyFont="1" applyFill="1" applyBorder="1" applyAlignment="1">
      <alignment horizontal="right"/>
    </xf>
    <xf numFmtId="3" fontId="12" fillId="3" borderId="31" xfId="3" applyNumberFormat="1" applyFont="1" applyFill="1" applyBorder="1"/>
    <xf numFmtId="4" fontId="11" fillId="3" borderId="1" xfId="3" applyNumberFormat="1" applyFont="1" applyFill="1" applyBorder="1" applyAlignment="1">
      <alignment horizontal="right"/>
    </xf>
    <xf numFmtId="4" fontId="11" fillId="3" borderId="10" xfId="3" applyNumberFormat="1" applyFont="1" applyFill="1" applyBorder="1" applyAlignment="1">
      <alignment horizontal="right"/>
    </xf>
    <xf numFmtId="4" fontId="11" fillId="3" borderId="1" xfId="3" applyNumberFormat="1" applyFont="1" applyFill="1" applyBorder="1"/>
    <xf numFmtId="4" fontId="11" fillId="3" borderId="10" xfId="3" applyNumberFormat="1" applyFont="1" applyFill="1" applyBorder="1"/>
    <xf numFmtId="3" fontId="37" fillId="0" borderId="0" xfId="5" applyNumberFormat="1" applyFont="1" applyBorder="1"/>
    <xf numFmtId="3" fontId="6" fillId="0" borderId="5" xfId="5" applyNumberFormat="1" applyFont="1" applyBorder="1"/>
    <xf numFmtId="4" fontId="22" fillId="0" borderId="22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/>
    <xf numFmtId="3" fontId="7" fillId="0" borderId="5" xfId="0" applyNumberFormat="1" applyFont="1" applyBorder="1"/>
    <xf numFmtId="4" fontId="7" fillId="0" borderId="5" xfId="0" applyNumberFormat="1" applyFont="1" applyBorder="1"/>
    <xf numFmtId="4" fontId="7" fillId="0" borderId="7" xfId="0" applyNumberFormat="1" applyFont="1" applyBorder="1"/>
    <xf numFmtId="3" fontId="7" fillId="0" borderId="40" xfId="0" applyNumberFormat="1" applyFont="1" applyBorder="1"/>
    <xf numFmtId="4" fontId="7" fillId="0" borderId="6" xfId="0" applyNumberFormat="1" applyFont="1" applyBorder="1"/>
    <xf numFmtId="3" fontId="7" fillId="0" borderId="8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7" fillId="0" borderId="10" xfId="0" applyNumberFormat="1" applyFont="1" applyBorder="1"/>
    <xf numFmtId="3" fontId="7" fillId="0" borderId="30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5" xfId="0" applyNumberFormat="1" applyFont="1" applyBorder="1"/>
    <xf numFmtId="4" fontId="7" fillId="0" borderId="13" xfId="0" applyNumberFormat="1" applyFont="1" applyBorder="1"/>
    <xf numFmtId="4" fontId="36" fillId="0" borderId="0" xfId="5" applyNumberFormat="1" applyFont="1" applyAlignment="1">
      <alignment horizontal="right"/>
    </xf>
    <xf numFmtId="4" fontId="22" fillId="0" borderId="32" xfId="0" applyNumberFormat="1" applyFont="1" applyFill="1" applyBorder="1" applyAlignment="1">
      <alignment horizontal="center" vertical="center" wrapText="1"/>
    </xf>
    <xf numFmtId="0" fontId="14" fillId="0" borderId="70" xfId="0" applyFont="1" applyBorder="1" applyAlignment="1"/>
    <xf numFmtId="0" fontId="14" fillId="0" borderId="3" xfId="0" applyFont="1" applyBorder="1" applyAlignment="1"/>
    <xf numFmtId="0" fontId="14" fillId="0" borderId="16" xfId="0" applyFont="1" applyBorder="1" applyAlignment="1"/>
    <xf numFmtId="0" fontId="14" fillId="0" borderId="43" xfId="0" applyFont="1" applyBorder="1" applyAlignment="1"/>
    <xf numFmtId="3" fontId="12" fillId="3" borderId="30" xfId="5" applyNumberFormat="1" applyFont="1" applyFill="1" applyBorder="1" applyAlignment="1">
      <alignment horizontal="right"/>
    </xf>
    <xf numFmtId="3" fontId="12" fillId="7" borderId="41" xfId="3" applyNumberFormat="1" applyFont="1" applyFill="1" applyBorder="1"/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3" fontId="13" fillId="3" borderId="30" xfId="5" applyNumberFormat="1" applyFont="1" applyFill="1" applyBorder="1" applyAlignment="1">
      <alignment horizontal="right"/>
    </xf>
    <xf numFmtId="4" fontId="12" fillId="3" borderId="22" xfId="3" applyNumberFormat="1" applyFont="1" applyFill="1" applyBorder="1"/>
    <xf numFmtId="4" fontId="12" fillId="3" borderId="29" xfId="3" applyNumberFormat="1" applyFont="1" applyFill="1" applyBorder="1"/>
    <xf numFmtId="4" fontId="12" fillId="7" borderId="18" xfId="3" applyNumberFormat="1" applyFont="1" applyFill="1" applyBorder="1"/>
    <xf numFmtId="4" fontId="12" fillId="7" borderId="19" xfId="3" applyNumberFormat="1" applyFont="1" applyFill="1" applyBorder="1"/>
    <xf numFmtId="3" fontId="6" fillId="0" borderId="50" xfId="5" applyNumberFormat="1" applyFont="1" applyBorder="1"/>
    <xf numFmtId="4" fontId="37" fillId="0" borderId="50" xfId="5" applyNumberFormat="1" applyFont="1" applyBorder="1"/>
    <xf numFmtId="3" fontId="14" fillId="4" borderId="48" xfId="0" applyNumberFormat="1" applyFont="1" applyFill="1" applyBorder="1"/>
    <xf numFmtId="3" fontId="14" fillId="4" borderId="52" xfId="0" applyNumberFormat="1" applyFont="1" applyFill="1" applyBorder="1"/>
    <xf numFmtId="4" fontId="14" fillId="4" borderId="52" xfId="0" applyNumberFormat="1" applyFont="1" applyFill="1" applyBorder="1"/>
    <xf numFmtId="4" fontId="14" fillId="4" borderId="50" xfId="0" applyNumberFormat="1" applyFont="1" applyFill="1" applyBorder="1"/>
    <xf numFmtId="3" fontId="14" fillId="4" borderId="41" xfId="0" applyNumberFormat="1" applyFont="1" applyFill="1" applyBorder="1"/>
    <xf numFmtId="4" fontId="14" fillId="4" borderId="49" xfId="0" applyNumberFormat="1" applyFont="1" applyFill="1" applyBorder="1"/>
    <xf numFmtId="3" fontId="37" fillId="0" borderId="50" xfId="5" applyNumberFormat="1" applyFont="1" applyBorder="1"/>
    <xf numFmtId="0" fontId="36" fillId="0" borderId="50" xfId="5" applyFont="1" applyBorder="1"/>
    <xf numFmtId="4" fontId="14" fillId="4" borderId="46" xfId="0" applyNumberFormat="1" applyFont="1" applyFill="1" applyBorder="1"/>
    <xf numFmtId="4" fontId="7" fillId="0" borderId="42" xfId="0" applyNumberFormat="1" applyFont="1" applyBorder="1"/>
    <xf numFmtId="4" fontId="7" fillId="0" borderId="53" xfId="0" applyNumberFormat="1" applyFont="1" applyBorder="1"/>
    <xf numFmtId="4" fontId="7" fillId="0" borderId="65" xfId="0" applyNumberFormat="1" applyFont="1" applyBorder="1"/>
    <xf numFmtId="4" fontId="7" fillId="0" borderId="40" xfId="0" applyNumberFormat="1" applyFont="1" applyBorder="1"/>
    <xf numFmtId="4" fontId="7" fillId="0" borderId="30" xfId="0" applyNumberFormat="1" applyFont="1" applyBorder="1"/>
    <xf numFmtId="4" fontId="7" fillId="0" borderId="45" xfId="0" applyNumberFormat="1" applyFont="1" applyBorder="1"/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12" fillId="3" borderId="9" xfId="3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1" fillId="3" borderId="32" xfId="4" applyFont="1" applyFill="1" applyBorder="1" applyAlignment="1">
      <alignment horizontal="left"/>
    </xf>
    <xf numFmtId="0" fontId="12" fillId="3" borderId="9" xfId="0" applyFont="1" applyFill="1" applyBorder="1"/>
    <xf numFmtId="4" fontId="11" fillId="3" borderId="30" xfId="3" applyNumberFormat="1" applyFont="1" applyFill="1" applyBorder="1" applyAlignment="1">
      <alignment horizontal="right"/>
    </xf>
    <xf numFmtId="4" fontId="12" fillId="3" borderId="30" xfId="3" applyNumberFormat="1" applyFont="1" applyFill="1" applyBorder="1"/>
    <xf numFmtId="4" fontId="11" fillId="3" borderId="30" xfId="3" applyNumberFormat="1" applyFont="1" applyFill="1" applyBorder="1"/>
    <xf numFmtId="4" fontId="12" fillId="3" borderId="30" xfId="3" applyNumberFormat="1" applyFont="1" applyFill="1" applyBorder="1" applyAlignment="1">
      <alignment horizontal="right"/>
    </xf>
    <xf numFmtId="4" fontId="12" fillId="3" borderId="45" xfId="3" applyNumberFormat="1" applyFont="1" applyFill="1" applyBorder="1"/>
    <xf numFmtId="4" fontId="12" fillId="7" borderId="52" xfId="3" applyNumberFormat="1" applyFont="1" applyFill="1" applyBorder="1"/>
    <xf numFmtId="4" fontId="14" fillId="4" borderId="24" xfId="0" applyNumberFormat="1" applyFont="1" applyFill="1" applyBorder="1"/>
    <xf numFmtId="3" fontId="12" fillId="3" borderId="28" xfId="3" applyNumberFormat="1" applyFont="1" applyFill="1" applyBorder="1"/>
    <xf numFmtId="3" fontId="12" fillId="7" borderId="17" xfId="3" applyNumberFormat="1" applyFont="1" applyFill="1" applyBorder="1"/>
    <xf numFmtId="4" fontId="11" fillId="3" borderId="9" xfId="3" applyNumberFormat="1" applyFont="1" applyFill="1" applyBorder="1" applyAlignment="1">
      <alignment horizontal="right"/>
    </xf>
    <xf numFmtId="4" fontId="12" fillId="3" borderId="9" xfId="3" applyNumberFormat="1" applyFont="1" applyFill="1" applyBorder="1"/>
    <xf numFmtId="4" fontId="11" fillId="3" borderId="9" xfId="3" applyNumberFormat="1" applyFont="1" applyFill="1" applyBorder="1"/>
    <xf numFmtId="4" fontId="12" fillId="3" borderId="9" xfId="3" applyNumberFormat="1" applyFont="1" applyFill="1" applyBorder="1" applyAlignment="1">
      <alignment horizontal="right"/>
    </xf>
    <xf numFmtId="4" fontId="12" fillId="3" borderId="32" xfId="3" applyNumberFormat="1" applyFont="1" applyFill="1" applyBorder="1"/>
    <xf numFmtId="4" fontId="12" fillId="7" borderId="20" xfId="3" applyNumberFormat="1" applyFont="1" applyFill="1" applyBorder="1"/>
    <xf numFmtId="0" fontId="6" fillId="7" borderId="20" xfId="3" applyFont="1" applyFill="1" applyBorder="1" applyAlignment="1">
      <alignment horizontal="left"/>
    </xf>
    <xf numFmtId="4" fontId="11" fillId="3" borderId="75" xfId="3" applyNumberFormat="1" applyFont="1" applyFill="1" applyBorder="1" applyAlignment="1">
      <alignment horizontal="right"/>
    </xf>
    <xf numFmtId="4" fontId="12" fillId="3" borderId="75" xfId="3" applyNumberFormat="1" applyFont="1" applyFill="1" applyBorder="1"/>
    <xf numFmtId="4" fontId="11" fillId="3" borderId="75" xfId="3" applyNumberFormat="1" applyFont="1" applyFill="1" applyBorder="1"/>
    <xf numFmtId="4" fontId="12" fillId="3" borderId="75" xfId="3" applyNumberFormat="1" applyFont="1" applyFill="1" applyBorder="1" applyAlignment="1">
      <alignment horizontal="right"/>
    </xf>
    <xf numFmtId="4" fontId="12" fillId="3" borderId="76" xfId="3" applyNumberFormat="1" applyFont="1" applyFill="1" applyBorder="1"/>
    <xf numFmtId="4" fontId="12" fillId="7" borderId="71" xfId="3" applyNumberFormat="1" applyFont="1" applyFill="1" applyBorder="1"/>
    <xf numFmtId="4" fontId="14" fillId="4" borderId="21" xfId="0" applyNumberFormat="1" applyFont="1" applyFill="1" applyBorder="1"/>
    <xf numFmtId="4" fontId="7" fillId="0" borderId="33" xfId="0" applyNumberFormat="1" applyFont="1" applyBorder="1"/>
    <xf numFmtId="4" fontId="7" fillId="0" borderId="75" xfId="0" applyNumberFormat="1" applyFont="1" applyBorder="1"/>
    <xf numFmtId="4" fontId="7" fillId="0" borderId="76" xfId="0" applyNumberFormat="1" applyFont="1" applyBorder="1"/>
    <xf numFmtId="0" fontId="5" fillId="5" borderId="46" xfId="3" applyFill="1" applyBorder="1"/>
    <xf numFmtId="4" fontId="22" fillId="3" borderId="9" xfId="3" applyNumberFormat="1" applyFont="1" applyFill="1" applyBorder="1"/>
    <xf numFmtId="3" fontId="22" fillId="3" borderId="28" xfId="3" applyNumberFormat="1" applyFont="1" applyFill="1" applyBorder="1"/>
    <xf numFmtId="4" fontId="22" fillId="3" borderId="32" xfId="3" applyNumberFormat="1" applyFont="1" applyFill="1" applyBorder="1"/>
    <xf numFmtId="4" fontId="22" fillId="5" borderId="20" xfId="3" applyNumberFormat="1" applyFont="1" applyFill="1" applyBorder="1"/>
    <xf numFmtId="4" fontId="13" fillId="3" borderId="9" xfId="3" applyNumberFormat="1" applyFont="1" applyFill="1" applyBorder="1"/>
    <xf numFmtId="4" fontId="13" fillId="3" borderId="9" xfId="3" applyNumberFormat="1" applyFont="1" applyFill="1" applyBorder="1" applyAlignment="1">
      <alignment horizontal="right"/>
    </xf>
    <xf numFmtId="3" fontId="25" fillId="0" borderId="1" xfId="0" applyNumberFormat="1" applyFont="1" applyBorder="1"/>
    <xf numFmtId="4" fontId="36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4" fontId="25" fillId="0" borderId="1" xfId="0" applyNumberFormat="1" applyFont="1" applyBorder="1"/>
    <xf numFmtId="4" fontId="13" fillId="3" borderId="30" xfId="5" applyNumberFormat="1" applyFont="1" applyFill="1" applyBorder="1" applyAlignment="1">
      <alignment horizontal="right"/>
    </xf>
    <xf numFmtId="4" fontId="4" fillId="0" borderId="0" xfId="5" applyNumberFormat="1" applyAlignment="1">
      <alignment horizontal="center"/>
    </xf>
    <xf numFmtId="3" fontId="13" fillId="0" borderId="11" xfId="0" applyNumberFormat="1" applyFont="1" applyBorder="1" applyAlignment="1">
      <alignment horizontal="center" vertical="center" wrapText="1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3" fontId="22" fillId="3" borderId="5" xfId="3" applyNumberFormat="1" applyFont="1" applyFill="1" applyBorder="1"/>
    <xf numFmtId="1" fontId="12" fillId="3" borderId="1" xfId="3" applyNumberFormat="1" applyFont="1" applyFill="1" applyBorder="1" applyAlignment="1">
      <alignment horizontal="right"/>
    </xf>
    <xf numFmtId="3" fontId="11" fillId="3" borderId="5" xfId="3" applyNumberFormat="1" applyFont="1" applyFill="1" applyBorder="1" applyAlignment="1">
      <alignment horizontal="right"/>
    </xf>
    <xf numFmtId="3" fontId="22" fillId="3" borderId="40" xfId="3" applyNumberFormat="1" applyFont="1" applyFill="1" applyBorder="1"/>
    <xf numFmtId="3" fontId="12" fillId="7" borderId="24" xfId="3" applyNumberFormat="1" applyFont="1" applyFill="1" applyBorder="1"/>
    <xf numFmtId="4" fontId="20" fillId="8" borderId="24" xfId="5" applyNumberFormat="1" applyFont="1" applyFill="1" applyBorder="1" applyAlignment="1">
      <alignment horizontal="center"/>
    </xf>
    <xf numFmtId="3" fontId="13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3" fontId="6" fillId="0" borderId="1" xfId="0" applyNumberFormat="1" applyFont="1" applyFill="1" applyBorder="1"/>
    <xf numFmtId="4" fontId="6" fillId="0" borderId="1" xfId="0" applyNumberFormat="1" applyFont="1" applyFill="1" applyBorder="1"/>
    <xf numFmtId="3" fontId="8" fillId="0" borderId="26" xfId="0" applyNumberFormat="1" applyFont="1" applyFill="1" applyBorder="1" applyAlignment="1">
      <alignment horizontal="right"/>
    </xf>
    <xf numFmtId="4" fontId="8" fillId="0" borderId="26" xfId="0" applyNumberFormat="1" applyFont="1" applyFill="1" applyBorder="1" applyAlignment="1">
      <alignment horizontal="right"/>
    </xf>
    <xf numFmtId="4" fontId="8" fillId="0" borderId="27" xfId="0" applyNumberFormat="1" applyFont="1" applyFill="1" applyBorder="1" applyAlignment="1">
      <alignment horizontal="right"/>
    </xf>
    <xf numFmtId="4" fontId="8" fillId="0" borderId="10" xfId="0" applyNumberFormat="1" applyFont="1" applyFill="1" applyBorder="1" applyAlignment="1">
      <alignment horizontal="right"/>
    </xf>
    <xf numFmtId="4" fontId="6" fillId="0" borderId="10" xfId="0" applyNumberFormat="1" applyFont="1" applyFill="1" applyBorder="1"/>
    <xf numFmtId="3" fontId="8" fillId="0" borderId="51" xfId="0" applyNumberFormat="1" applyFont="1" applyFill="1" applyBorder="1" applyAlignment="1">
      <alignment horizontal="right"/>
    </xf>
    <xf numFmtId="3" fontId="8" fillId="0" borderId="30" xfId="0" applyNumberFormat="1" applyFont="1" applyFill="1" applyBorder="1" applyAlignment="1">
      <alignment horizontal="right"/>
    </xf>
    <xf numFmtId="3" fontId="6" fillId="0" borderId="30" xfId="0" applyNumberFormat="1" applyFont="1" applyFill="1" applyBorder="1"/>
    <xf numFmtId="3" fontId="12" fillId="3" borderId="9" xfId="3" applyNumberFormat="1" applyFont="1" applyFill="1" applyBorder="1"/>
    <xf numFmtId="3" fontId="22" fillId="3" borderId="9" xfId="3" applyNumberFormat="1" applyFont="1" applyFill="1" applyBorder="1"/>
    <xf numFmtId="3" fontId="22" fillId="3" borderId="32" xfId="3" applyNumberFormat="1" applyFont="1" applyFill="1" applyBorder="1"/>
    <xf numFmtId="3" fontId="22" fillId="5" borderId="20" xfId="3" applyNumberFormat="1" applyFont="1" applyFill="1" applyBorder="1"/>
    <xf numFmtId="3" fontId="22" fillId="3" borderId="12" xfId="3" applyNumberFormat="1" applyFont="1" applyFill="1" applyBorder="1"/>
    <xf numFmtId="0" fontId="17" fillId="0" borderId="0" xfId="0" applyFont="1" applyAlignment="1">
      <alignment horizontal="left"/>
    </xf>
    <xf numFmtId="3" fontId="3" fillId="0" borderId="0" xfId="5" applyNumberFormat="1" applyFont="1"/>
    <xf numFmtId="4" fontId="3" fillId="0" borderId="0" xfId="5" applyNumberFormat="1" applyFont="1"/>
    <xf numFmtId="3" fontId="24" fillId="0" borderId="0" xfId="5" applyNumberFormat="1" applyFont="1"/>
    <xf numFmtId="4" fontId="24" fillId="0" borderId="0" xfId="5" applyNumberFormat="1" applyFont="1"/>
    <xf numFmtId="3" fontId="21" fillId="0" borderId="0" xfId="5" applyNumberFormat="1" applyFont="1" applyAlignment="1">
      <alignment vertical="center"/>
    </xf>
    <xf numFmtId="4" fontId="21" fillId="0" borderId="0" xfId="5" applyNumberFormat="1" applyFont="1" applyAlignment="1">
      <alignment vertical="center"/>
    </xf>
    <xf numFmtId="3" fontId="22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/>
    </xf>
    <xf numFmtId="4" fontId="13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4" fontId="21" fillId="0" borderId="0" xfId="5" applyNumberFormat="1" applyFont="1" applyAlignment="1">
      <alignment horizontal="center" vertical="center"/>
    </xf>
    <xf numFmtId="4" fontId="13" fillId="0" borderId="0" xfId="5" applyNumberFormat="1" applyFont="1" applyAlignment="1">
      <alignment horizontal="center" vertical="center"/>
    </xf>
    <xf numFmtId="0" fontId="9" fillId="0" borderId="0" xfId="0" applyFont="1"/>
    <xf numFmtId="0" fontId="18" fillId="0" borderId="0" xfId="0" applyFont="1"/>
    <xf numFmtId="0" fontId="19" fillId="0" borderId="0" xfId="0" applyFont="1"/>
    <xf numFmtId="0" fontId="37" fillId="0" borderId="0" xfId="5" applyFont="1" applyAlignment="1">
      <alignment vertical="center"/>
    </xf>
    <xf numFmtId="0" fontId="37" fillId="0" borderId="18" xfId="5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4" fontId="22" fillId="0" borderId="22" xfId="0" applyNumberFormat="1" applyFont="1" applyBorder="1" applyAlignment="1">
      <alignment horizontal="center" vertical="center" wrapText="1"/>
    </xf>
    <xf numFmtId="4" fontId="22" fillId="0" borderId="32" xfId="0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0" fontId="8" fillId="0" borderId="5" xfId="3" applyFont="1" applyBorder="1" applyAlignment="1">
      <alignment horizontal="center"/>
    </xf>
    <xf numFmtId="0" fontId="6" fillId="0" borderId="40" xfId="3" applyFont="1" applyBorder="1"/>
    <xf numFmtId="0" fontId="8" fillId="0" borderId="6" xfId="3" applyFont="1" applyBorder="1"/>
    <xf numFmtId="3" fontId="36" fillId="0" borderId="25" xfId="5" applyNumberFormat="1" applyFont="1" applyBorder="1"/>
    <xf numFmtId="3" fontId="36" fillId="0" borderId="26" xfId="5" applyNumberFormat="1" applyFont="1" applyBorder="1"/>
    <xf numFmtId="3" fontId="36" fillId="0" borderId="5" xfId="5" applyNumberFormat="1" applyFont="1" applyBorder="1"/>
    <xf numFmtId="4" fontId="25" fillId="0" borderId="26" xfId="5" applyNumberFormat="1" applyFont="1" applyBorder="1"/>
    <xf numFmtId="4" fontId="36" fillId="0" borderId="26" xfId="5" applyNumberFormat="1" applyFont="1" applyBorder="1"/>
    <xf numFmtId="4" fontId="36" fillId="0" borderId="27" xfId="5" applyNumberFormat="1" applyFont="1" applyBorder="1"/>
    <xf numFmtId="3" fontId="7" fillId="0" borderId="40" xfId="5" applyNumberFormat="1" applyFont="1" applyBorder="1"/>
    <xf numFmtId="3" fontId="7" fillId="0" borderId="5" xfId="5" applyNumberFormat="1" applyFont="1" applyBorder="1"/>
    <xf numFmtId="3" fontId="7" fillId="0" borderId="6" xfId="5" applyNumberFormat="1" applyFont="1" applyBorder="1"/>
    <xf numFmtId="4" fontId="7" fillId="0" borderId="5" xfId="5" applyNumberFormat="1" applyFont="1" applyBorder="1"/>
    <xf numFmtId="4" fontId="7" fillId="0" borderId="7" xfId="5" applyNumberFormat="1" applyFont="1" applyBorder="1"/>
    <xf numFmtId="3" fontId="7" fillId="0" borderId="51" xfId="5" applyNumberFormat="1" applyFont="1" applyBorder="1"/>
    <xf numFmtId="3" fontId="7" fillId="0" borderId="26" xfId="5" applyNumberFormat="1" applyFont="1" applyBorder="1"/>
    <xf numFmtId="3" fontId="7" fillId="0" borderId="1" xfId="5" applyNumberFormat="1" applyFont="1" applyBorder="1"/>
    <xf numFmtId="4" fontId="7" fillId="0" borderId="26" xfId="5" applyNumberFormat="1" applyFont="1" applyBorder="1"/>
    <xf numFmtId="4" fontId="7" fillId="0" borderId="27" xfId="5" applyNumberFormat="1" applyFont="1" applyBorder="1"/>
    <xf numFmtId="0" fontId="11" fillId="3" borderId="30" xfId="3" applyFont="1" applyFill="1" applyBorder="1"/>
    <xf numFmtId="0" fontId="8" fillId="3" borderId="9" xfId="3" applyFont="1" applyFill="1" applyBorder="1"/>
    <xf numFmtId="0" fontId="24" fillId="0" borderId="66" xfId="3" applyFont="1" applyBorder="1" applyAlignment="1">
      <alignment horizontal="center"/>
    </xf>
    <xf numFmtId="0" fontId="25" fillId="0" borderId="30" xfId="3" applyFont="1" applyBorder="1"/>
    <xf numFmtId="0" fontId="25" fillId="0" borderId="9" xfId="3" applyFont="1" applyBorder="1"/>
    <xf numFmtId="0" fontId="25" fillId="0" borderId="9" xfId="3" applyFont="1" applyBorder="1" applyAlignment="1">
      <alignment horizontal="left"/>
    </xf>
    <xf numFmtId="3" fontId="36" fillId="0" borderId="8" xfId="5" applyNumberFormat="1" applyFont="1" applyBorder="1"/>
    <xf numFmtId="3" fontId="36" fillId="0" borderId="1" xfId="5" applyNumberFormat="1" applyFont="1" applyBorder="1"/>
    <xf numFmtId="4" fontId="25" fillId="0" borderId="1" xfId="5" applyNumberFormat="1" applyFont="1" applyBorder="1"/>
    <xf numFmtId="4" fontId="36" fillId="0" borderId="10" xfId="5" applyNumberFormat="1" applyFont="1" applyBorder="1"/>
    <xf numFmtId="3" fontId="7" fillId="0" borderId="30" xfId="5" applyNumberFormat="1" applyFont="1" applyBorder="1"/>
    <xf numFmtId="3" fontId="7" fillId="0" borderId="9" xfId="5" applyNumberFormat="1" applyFont="1" applyBorder="1"/>
    <xf numFmtId="4" fontId="7" fillId="0" borderId="1" xfId="5" applyNumberFormat="1" applyFont="1" applyBorder="1"/>
    <xf numFmtId="4" fontId="7" fillId="0" borderId="10" xfId="5" applyNumberFormat="1" applyFont="1" applyBorder="1"/>
    <xf numFmtId="0" fontId="8" fillId="0" borderId="9" xfId="0" applyFont="1" applyBorder="1" applyAlignment="1">
      <alignment horizontal="left"/>
    </xf>
    <xf numFmtId="0" fontId="26" fillId="3" borderId="66" xfId="3" applyFont="1" applyFill="1" applyBorder="1" applyAlignment="1">
      <alignment horizontal="center"/>
    </xf>
    <xf numFmtId="0" fontId="8" fillId="0" borderId="9" xfId="3" applyFont="1" applyBorder="1"/>
    <xf numFmtId="0" fontId="25" fillId="0" borderId="31" xfId="3" applyFont="1" applyBorder="1"/>
    <xf numFmtId="0" fontId="25" fillId="0" borderId="22" xfId="3" applyFont="1" applyBorder="1" applyAlignment="1">
      <alignment horizontal="center"/>
    </xf>
    <xf numFmtId="0" fontId="25" fillId="0" borderId="32" xfId="3" applyFont="1" applyBorder="1"/>
    <xf numFmtId="3" fontId="37" fillId="0" borderId="0" xfId="5" applyNumberFormat="1" applyFont="1"/>
    <xf numFmtId="4" fontId="37" fillId="0" borderId="0" xfId="5" applyNumberFormat="1" applyFont="1"/>
    <xf numFmtId="3" fontId="13" fillId="0" borderId="50" xfId="5" applyNumberFormat="1" applyFont="1" applyBorder="1"/>
    <xf numFmtId="3" fontId="7" fillId="0" borderId="50" xfId="5" applyNumberFormat="1" applyFont="1" applyBorder="1"/>
    <xf numFmtId="4" fontId="7" fillId="0" borderId="50" xfId="5" applyNumberFormat="1" applyFont="1" applyBorder="1"/>
    <xf numFmtId="4" fontId="13" fillId="0" borderId="50" xfId="5" applyNumberFormat="1" applyFont="1" applyBorder="1"/>
    <xf numFmtId="0" fontId="7" fillId="0" borderId="5" xfId="3" applyFont="1" applyBorder="1" applyAlignment="1">
      <alignment horizontal="center"/>
    </xf>
    <xf numFmtId="1" fontId="7" fillId="0" borderId="5" xfId="3" applyNumberFormat="1" applyFont="1" applyBorder="1" applyAlignment="1">
      <alignment horizontal="center"/>
    </xf>
    <xf numFmtId="0" fontId="25" fillId="0" borderId="5" xfId="3" applyFont="1" applyBorder="1"/>
    <xf numFmtId="0" fontId="25" fillId="0" borderId="6" xfId="3" applyFont="1" applyBorder="1"/>
    <xf numFmtId="3" fontId="36" fillId="0" borderId="4" xfId="5" applyNumberFormat="1" applyFont="1" applyBorder="1"/>
    <xf numFmtId="3" fontId="25" fillId="0" borderId="5" xfId="0" applyNumberFormat="1" applyFont="1" applyBorder="1"/>
    <xf numFmtId="4" fontId="25" fillId="0" borderId="5" xfId="5" applyNumberFormat="1" applyFont="1" applyBorder="1"/>
    <xf numFmtId="4" fontId="36" fillId="0" borderId="5" xfId="5" applyNumberFormat="1" applyFont="1" applyBorder="1"/>
    <xf numFmtId="4" fontId="36" fillId="0" borderId="7" xfId="5" applyNumberFormat="1" applyFont="1" applyBorder="1"/>
    <xf numFmtId="4" fontId="7" fillId="0" borderId="6" xfId="5" applyNumberFormat="1" applyFont="1" applyBorder="1"/>
    <xf numFmtId="3" fontId="7" fillId="0" borderId="4" xfId="5" applyNumberFormat="1" applyFont="1" applyBorder="1"/>
    <xf numFmtId="0" fontId="7" fillId="0" borderId="1" xfId="3" applyFont="1" applyBorder="1" applyAlignment="1">
      <alignment horizontal="center"/>
    </xf>
    <xf numFmtId="1" fontId="7" fillId="0" borderId="1" xfId="3" applyNumberFormat="1" applyFont="1" applyBorder="1" applyAlignment="1">
      <alignment horizontal="center"/>
    </xf>
    <xf numFmtId="0" fontId="25" fillId="0" borderId="1" xfId="3" applyFont="1" applyBorder="1"/>
    <xf numFmtId="4" fontId="7" fillId="0" borderId="9" xfId="5" applyNumberFormat="1" applyFont="1" applyBorder="1"/>
    <xf numFmtId="3" fontId="7" fillId="0" borderId="8" xfId="5" applyNumberFormat="1" applyFont="1" applyBorder="1"/>
    <xf numFmtId="0" fontId="8" fillId="0" borderId="1" xfId="0" applyFont="1" applyBorder="1" applyAlignment="1">
      <alignment horizontal="left"/>
    </xf>
    <xf numFmtId="1" fontId="24" fillId="0" borderId="1" xfId="3" applyNumberFormat="1" applyFont="1" applyBorder="1" applyAlignment="1">
      <alignment horizontal="center"/>
    </xf>
    <xf numFmtId="0" fontId="7" fillId="0" borderId="40" xfId="3" applyFont="1" applyBorder="1"/>
    <xf numFmtId="0" fontId="7" fillId="0" borderId="6" xfId="3" applyFont="1" applyBorder="1"/>
    <xf numFmtId="0" fontId="7" fillId="0" borderId="9" xfId="3" applyFont="1" applyBorder="1"/>
    <xf numFmtId="0" fontId="7" fillId="0" borderId="30" xfId="3" applyFont="1" applyBorder="1"/>
    <xf numFmtId="0" fontId="7" fillId="0" borderId="31" xfId="3" applyFont="1" applyBorder="1"/>
    <xf numFmtId="0" fontId="7" fillId="0" borderId="22" xfId="3" applyFont="1" applyBorder="1" applyAlignment="1">
      <alignment horizontal="center"/>
    </xf>
    <xf numFmtId="0" fontId="13" fillId="3" borderId="31" xfId="3" applyFont="1" applyFill="1" applyBorder="1"/>
    <xf numFmtId="0" fontId="13" fillId="3" borderId="32" xfId="3" applyFont="1" applyFill="1" applyBorder="1"/>
    <xf numFmtId="0" fontId="13" fillId="3" borderId="54" xfId="3" applyFont="1" applyFill="1" applyBorder="1"/>
    <xf numFmtId="0" fontId="12" fillId="7" borderId="20" xfId="3" applyFont="1" applyFill="1" applyBorder="1"/>
    <xf numFmtId="0" fontId="6" fillId="0" borderId="5" xfId="3" applyFont="1" applyBorder="1"/>
    <xf numFmtId="0" fontId="8" fillId="0" borderId="5" xfId="3" applyFont="1" applyBorder="1"/>
    <xf numFmtId="0" fontId="25" fillId="0" borderId="6" xfId="3" applyFont="1" applyBorder="1" applyAlignment="1">
      <alignment horizontal="left"/>
    </xf>
    <xf numFmtId="4" fontId="7" fillId="0" borderId="34" xfId="5" applyNumberFormat="1" applyFont="1" applyBorder="1"/>
    <xf numFmtId="3" fontId="7" fillId="0" borderId="25" xfId="5" applyNumberFormat="1" applyFont="1" applyBorder="1"/>
    <xf numFmtId="3" fontId="7" fillId="0" borderId="34" xfId="5" applyNumberFormat="1" applyFont="1" applyBorder="1"/>
    <xf numFmtId="0" fontId="8" fillId="0" borderId="1" xfId="3" applyFont="1" applyBorder="1" applyAlignment="1">
      <alignment horizontal="center"/>
    </xf>
    <xf numFmtId="0" fontId="6" fillId="0" borderId="1" xfId="3" applyFont="1" applyBorder="1"/>
    <xf numFmtId="0" fontId="29" fillId="0" borderId="1" xfId="4" applyFont="1" applyBorder="1" applyAlignment="1">
      <alignment horizontal="center"/>
    </xf>
    <xf numFmtId="0" fontId="29" fillId="0" borderId="1" xfId="4" applyFont="1" applyBorder="1"/>
    <xf numFmtId="0" fontId="8" fillId="0" borderId="1" xfId="3" applyFont="1" applyBorder="1"/>
    <xf numFmtId="0" fontId="31" fillId="3" borderId="1" xfId="4" applyFont="1" applyFill="1" applyBorder="1"/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12" fillId="3" borderId="1" xfId="3" applyFont="1" applyFill="1" applyBorder="1"/>
    <xf numFmtId="0" fontId="33" fillId="3" borderId="1" xfId="4" applyFont="1" applyFill="1" applyBorder="1"/>
    <xf numFmtId="0" fontId="29" fillId="3" borderId="1" xfId="4" applyFont="1" applyFill="1" applyBorder="1"/>
    <xf numFmtId="3" fontId="36" fillId="0" borderId="30" xfId="5" applyNumberFormat="1" applyFont="1" applyBorder="1"/>
    <xf numFmtId="0" fontId="35" fillId="0" borderId="1" xfId="4" applyFont="1" applyBorder="1"/>
    <xf numFmtId="0" fontId="31" fillId="3" borderId="22" xfId="4" applyFont="1" applyFill="1" applyBorder="1"/>
    <xf numFmtId="0" fontId="6" fillId="7" borderId="18" xfId="3" applyFont="1" applyFill="1" applyBorder="1"/>
    <xf numFmtId="0" fontId="13" fillId="0" borderId="0" xfId="0" applyFont="1" applyAlignment="1">
      <alignment horizontal="left"/>
    </xf>
    <xf numFmtId="0" fontId="37" fillId="0" borderId="0" xfId="5" applyFont="1" applyAlignment="1">
      <alignment horizontal="center"/>
    </xf>
    <xf numFmtId="0" fontId="37" fillId="0" borderId="0" xfId="5" applyFont="1" applyAlignment="1">
      <alignment horizontal="right"/>
    </xf>
    <xf numFmtId="0" fontId="37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0" fontId="12" fillId="3" borderId="1" xfId="5" applyFont="1" applyFill="1" applyBorder="1"/>
    <xf numFmtId="0" fontId="12" fillId="3" borderId="9" xfId="5" applyFont="1" applyFill="1" applyBorder="1"/>
    <xf numFmtId="3" fontId="12" fillId="3" borderId="8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3" fontId="12" fillId="3" borderId="30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horizont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9" xfId="5" applyFont="1" applyBorder="1"/>
    <xf numFmtId="4" fontId="36" fillId="0" borderId="1" xfId="5" applyNumberFormat="1" applyFont="1" applyBorder="1" applyAlignment="1">
      <alignment horizontal="right"/>
    </xf>
    <xf numFmtId="3" fontId="3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wrapText="1"/>
    </xf>
    <xf numFmtId="3" fontId="37" fillId="3" borderId="8" xfId="5" applyNumberFormat="1" applyFont="1" applyFill="1" applyBorder="1"/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3" fontId="37" fillId="3" borderId="30" xfId="5" applyNumberFormat="1" applyFont="1" applyFill="1" applyBorder="1"/>
    <xf numFmtId="4" fontId="37" fillId="3" borderId="10" xfId="5" applyNumberFormat="1" applyFont="1" applyFill="1" applyBorder="1"/>
    <xf numFmtId="0" fontId="12" fillId="3" borderId="22" xfId="5" applyFont="1" applyFill="1" applyBorder="1" applyAlignment="1" applyProtection="1">
      <alignment horizontal="right"/>
      <protection locked="0"/>
    </xf>
    <xf numFmtId="0" fontId="12" fillId="3" borderId="22" xfId="5" applyFont="1" applyFill="1" applyBorder="1"/>
    <xf numFmtId="0" fontId="12" fillId="3" borderId="32" xfId="5" applyFont="1" applyFill="1" applyBorder="1"/>
    <xf numFmtId="3" fontId="12" fillId="3" borderId="31" xfId="5" applyNumberFormat="1" applyFont="1" applyFill="1" applyBorder="1"/>
    <xf numFmtId="3" fontId="12" fillId="3" borderId="28" xfId="5" applyNumberFormat="1" applyFont="1" applyFill="1" applyBorder="1"/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29" xfId="5" applyNumberFormat="1" applyFont="1" applyFill="1" applyBorder="1"/>
    <xf numFmtId="3" fontId="13" fillId="0" borderId="60" xfId="5" applyNumberFormat="1" applyFont="1" applyBorder="1"/>
    <xf numFmtId="3" fontId="7" fillId="0" borderId="60" xfId="5" applyNumberFormat="1" applyFont="1" applyBorder="1"/>
    <xf numFmtId="0" fontId="36" fillId="0" borderId="0" xfId="5" applyFont="1" applyAlignment="1">
      <alignment horizontal="left"/>
    </xf>
    <xf numFmtId="0" fontId="23" fillId="0" borderId="0" xfId="5" applyFont="1" applyAlignment="1">
      <alignment horizontal="center" vertical="center" wrapText="1"/>
    </xf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 applyProtection="1">
      <protection locked="0"/>
    </xf>
    <xf numFmtId="0" fontId="7" fillId="0" borderId="6" xfId="5" applyFont="1" applyBorder="1"/>
    <xf numFmtId="0" fontId="13" fillId="3" borderId="1" xfId="5" applyFont="1" applyFill="1" applyBorder="1" applyProtection="1">
      <protection locked="0"/>
    </xf>
    <xf numFmtId="3" fontId="13" fillId="3" borderId="8" xfId="5" applyNumberFormat="1" applyFont="1" applyFill="1" applyBorder="1"/>
    <xf numFmtId="3" fontId="13" fillId="3" borderId="30" xfId="5" applyNumberFormat="1" applyFont="1" applyFill="1" applyBorder="1"/>
    <xf numFmtId="4" fontId="13" fillId="3" borderId="30" xfId="5" applyNumberFormat="1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3" fontId="7" fillId="0" borderId="8" xfId="5" applyNumberFormat="1" applyFont="1" applyBorder="1" applyAlignment="1">
      <alignment horizontal="center"/>
    </xf>
    <xf numFmtId="0" fontId="7" fillId="0" borderId="1" xfId="5" applyFont="1" applyBorder="1" applyProtection="1">
      <protection locked="0"/>
    </xf>
    <xf numFmtId="0" fontId="7" fillId="0" borderId="9" xfId="5" applyFont="1" applyBorder="1"/>
    <xf numFmtId="3" fontId="25" fillId="0" borderId="1" xfId="5" applyNumberFormat="1" applyFont="1" applyBorder="1"/>
    <xf numFmtId="0" fontId="13" fillId="3" borderId="22" xfId="5" applyFont="1" applyFill="1" applyBorder="1" applyProtection="1">
      <protection locked="0"/>
    </xf>
    <xf numFmtId="3" fontId="13" fillId="3" borderId="28" xfId="5" applyNumberFormat="1" applyFont="1" applyFill="1" applyBorder="1"/>
    <xf numFmtId="3" fontId="13" fillId="3" borderId="31" xfId="5" applyNumberFormat="1" applyFont="1" applyFill="1" applyBorder="1"/>
    <xf numFmtId="4" fontId="13" fillId="3" borderId="31" xfId="5" applyNumberFormat="1" applyFont="1" applyFill="1" applyBorder="1"/>
    <xf numFmtId="3" fontId="13" fillId="3" borderId="22" xfId="5" applyNumberFormat="1" applyFont="1" applyFill="1" applyBorder="1"/>
    <xf numFmtId="4" fontId="13" fillId="3" borderId="22" xfId="5" applyNumberFormat="1" applyFont="1" applyFill="1" applyBorder="1"/>
    <xf numFmtId="4" fontId="13" fillId="3" borderId="29" xfId="5" applyNumberFormat="1" applyFont="1" applyFill="1" applyBorder="1"/>
    <xf numFmtId="3" fontId="13" fillId="6" borderId="17" xfId="5" applyNumberFormat="1" applyFont="1" applyFill="1" applyBorder="1"/>
    <xf numFmtId="3" fontId="13" fillId="6" borderId="24" xfId="5" applyNumberFormat="1" applyFont="1" applyFill="1" applyBorder="1"/>
    <xf numFmtId="4" fontId="13" fillId="6" borderId="24" xfId="5" applyNumberFormat="1" applyFont="1" applyFill="1" applyBorder="1"/>
    <xf numFmtId="4" fontId="13" fillId="6" borderId="18" xfId="5" applyNumberFormat="1" applyFont="1" applyFill="1" applyBorder="1"/>
    <xf numFmtId="4" fontId="13" fillId="6" borderId="19" xfId="5" applyNumberFormat="1" applyFont="1" applyFill="1" applyBorder="1"/>
    <xf numFmtId="3" fontId="13" fillId="0" borderId="0" xfId="5" applyNumberFormat="1" applyFont="1" applyAlignment="1">
      <alignment horizontal="center"/>
    </xf>
    <xf numFmtId="4" fontId="14" fillId="4" borderId="68" xfId="0" applyNumberFormat="1" applyFont="1" applyFill="1" applyBorder="1"/>
    <xf numFmtId="4" fontId="14" fillId="4" borderId="17" xfId="0" applyNumberFormat="1" applyFont="1" applyFill="1" applyBorder="1"/>
    <xf numFmtId="4" fontId="7" fillId="0" borderId="4" xfId="0" applyNumberFormat="1" applyFont="1" applyBorder="1"/>
    <xf numFmtId="4" fontId="7" fillId="0" borderId="8" xfId="0" applyNumberFormat="1" applyFont="1" applyBorder="1"/>
    <xf numFmtId="4" fontId="7" fillId="0" borderId="11" xfId="0" applyNumberFormat="1" applyFont="1" applyBorder="1"/>
    <xf numFmtId="0" fontId="36" fillId="0" borderId="0" xfId="5" applyFont="1" applyFill="1"/>
    <xf numFmtId="0" fontId="6" fillId="0" borderId="8" xfId="5" applyFont="1" applyBorder="1" applyAlignment="1">
      <alignment horizontal="righ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horizontal="left"/>
    </xf>
    <xf numFmtId="0" fontId="6" fillId="0" borderId="40" xfId="5" applyFont="1" applyBorder="1" applyAlignment="1" applyProtection="1">
      <alignment horizontal="center"/>
      <protection locked="0"/>
    </xf>
    <xf numFmtId="0" fontId="6" fillId="0" borderId="6" xfId="5" applyFont="1" applyBorder="1" applyProtection="1">
      <protection locked="0"/>
    </xf>
    <xf numFmtId="1" fontId="6" fillId="0" borderId="58" xfId="5" applyNumberFormat="1" applyFont="1" applyBorder="1" applyAlignment="1">
      <alignment horizontal="right"/>
    </xf>
    <xf numFmtId="0" fontId="6" fillId="0" borderId="30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13" xfId="0" applyFont="1" applyFill="1" applyBorder="1" applyProtection="1">
      <protection locked="0"/>
    </xf>
    <xf numFmtId="4" fontId="25" fillId="0" borderId="5" xfId="0" applyNumberFormat="1" applyFont="1" applyBorder="1"/>
    <xf numFmtId="3" fontId="39" fillId="7" borderId="17" xfId="5" applyNumberFormat="1" applyFont="1" applyFill="1" applyBorder="1"/>
    <xf numFmtId="3" fontId="39" fillId="7" borderId="18" xfId="5" applyNumberFormat="1" applyFont="1" applyFill="1" applyBorder="1"/>
    <xf numFmtId="3" fontId="39" fillId="7" borderId="19" xfId="5" applyNumberFormat="1" applyFont="1" applyFill="1" applyBorder="1"/>
    <xf numFmtId="3" fontId="13" fillId="0" borderId="0" xfId="5" applyNumberFormat="1" applyFont="1" applyBorder="1"/>
    <xf numFmtId="3" fontId="7" fillId="0" borderId="0" xfId="5" applyNumberFormat="1" applyFont="1" applyBorder="1"/>
    <xf numFmtId="4" fontId="7" fillId="0" borderId="0" xfId="5" applyNumberFormat="1" applyFont="1" applyBorder="1"/>
    <xf numFmtId="4" fontId="13" fillId="0" borderId="0" xfId="5" applyNumberFormat="1" applyFont="1" applyBorder="1"/>
    <xf numFmtId="4" fontId="39" fillId="7" borderId="18" xfId="5" applyNumberFormat="1" applyFont="1" applyFill="1" applyBorder="1"/>
    <xf numFmtId="4" fontId="39" fillId="7" borderId="19" xfId="5" applyNumberFormat="1" applyFont="1" applyFill="1" applyBorder="1"/>
    <xf numFmtId="0" fontId="6" fillId="3" borderId="1" xfId="5" applyFont="1" applyFill="1" applyBorder="1" applyAlignment="1">
      <alignment horizontal="center"/>
    </xf>
    <xf numFmtId="0" fontId="12" fillId="3" borderId="45" xfId="0" applyFont="1" applyFill="1" applyBorder="1" applyAlignment="1" applyProtection="1">
      <alignment horizontal="center"/>
      <protection locked="0"/>
    </xf>
    <xf numFmtId="0" fontId="12" fillId="3" borderId="12" xfId="5" applyFont="1" applyFill="1" applyBorder="1" applyAlignment="1">
      <alignment horizontal="left"/>
    </xf>
    <xf numFmtId="3" fontId="39" fillId="7" borderId="52" xfId="5" applyNumberFormat="1" applyFont="1" applyFill="1" applyBorder="1"/>
    <xf numFmtId="4" fontId="39" fillId="7" borderId="52" xfId="5" applyNumberFormat="1" applyFont="1" applyFill="1" applyBorder="1"/>
    <xf numFmtId="4" fontId="39" fillId="7" borderId="68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13" fillId="6" borderId="48" xfId="5" applyNumberFormat="1" applyFont="1" applyFill="1" applyBorder="1"/>
    <xf numFmtId="3" fontId="13" fillId="6" borderId="52" xfId="5" applyNumberFormat="1" applyFont="1" applyFill="1" applyBorder="1"/>
    <xf numFmtId="4" fontId="13" fillId="6" borderId="52" xfId="5" applyNumberFormat="1" applyFont="1" applyFill="1" applyBorder="1"/>
    <xf numFmtId="4" fontId="13" fillId="6" borderId="7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0" fontId="12" fillId="3" borderId="8" xfId="5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3" fontId="36" fillId="0" borderId="50" xfId="5" applyNumberFormat="1" applyFont="1" applyBorder="1"/>
    <xf numFmtId="3" fontId="13" fillId="3" borderId="45" xfId="5" applyNumberFormat="1" applyFont="1" applyFill="1" applyBorder="1"/>
    <xf numFmtId="4" fontId="25" fillId="0" borderId="10" xfId="0" applyNumberFormat="1" applyFont="1" applyBorder="1"/>
    <xf numFmtId="4" fontId="25" fillId="0" borderId="10" xfId="5" applyNumberFormat="1" applyFont="1" applyBorder="1"/>
    <xf numFmtId="3" fontId="12" fillId="3" borderId="45" xfId="5" applyNumberFormat="1" applyFont="1" applyFill="1" applyBorder="1"/>
    <xf numFmtId="3" fontId="39" fillId="7" borderId="48" xfId="5" applyNumberFormat="1" applyFont="1" applyFill="1" applyBorder="1"/>
    <xf numFmtId="4" fontId="36" fillId="0" borderId="10" xfId="5" applyNumberFormat="1" applyFont="1" applyBorder="1" applyAlignment="1">
      <alignment horizontal="right"/>
    </xf>
    <xf numFmtId="4" fontId="25" fillId="0" borderId="7" xfId="0" applyNumberFormat="1" applyFont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8" fillId="0" borderId="5" xfId="2" applyFont="1" applyBorder="1" applyAlignment="1">
      <alignment horizontal="left"/>
    </xf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1" xfId="2" applyFont="1" applyBorder="1" applyAlignment="1">
      <alignment horizontal="left"/>
    </xf>
    <xf numFmtId="0" fontId="8" fillId="0" borderId="9" xfId="2" applyFont="1" applyBorder="1"/>
    <xf numFmtId="0" fontId="11" fillId="3" borderId="22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12" fillId="3" borderId="22" xfId="0" applyFont="1" applyFill="1" applyBorder="1"/>
    <xf numFmtId="0" fontId="12" fillId="3" borderId="32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3" fontId="13" fillId="0" borderId="0" xfId="0" applyNumberFormat="1" applyFont="1"/>
    <xf numFmtId="3" fontId="25" fillId="0" borderId="0" xfId="5" applyNumberFormat="1" applyFont="1" applyAlignment="1">
      <alignment vertical="center" wrapText="1"/>
    </xf>
    <xf numFmtId="3" fontId="12" fillId="5" borderId="22" xfId="2" applyNumberFormat="1" applyFont="1" applyFill="1" applyBorder="1" applyAlignment="1">
      <alignment horizontal="center" vertical="center" wrapText="1"/>
    </xf>
    <xf numFmtId="3" fontId="12" fillId="4" borderId="22" xfId="2" applyNumberFormat="1" applyFont="1" applyFill="1" applyBorder="1" applyAlignment="1">
      <alignment horizontal="center" vertical="center" wrapText="1"/>
    </xf>
    <xf numFmtId="3" fontId="11" fillId="4" borderId="22" xfId="2" applyNumberFormat="1" applyFont="1" applyFill="1" applyBorder="1" applyAlignment="1">
      <alignment horizontal="center" vertical="center" wrapText="1"/>
    </xf>
    <xf numFmtId="4" fontId="11" fillId="0" borderId="22" xfId="0" applyNumberFormat="1" applyFont="1" applyFill="1" applyBorder="1" applyAlignment="1">
      <alignment horizontal="center" vertical="center" wrapText="1"/>
    </xf>
    <xf numFmtId="4" fontId="11" fillId="0" borderId="29" xfId="0" applyNumberFormat="1" applyFont="1" applyFill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right"/>
    </xf>
    <xf numFmtId="4" fontId="8" fillId="0" borderId="22" xfId="0" applyNumberFormat="1" applyFont="1" applyFill="1" applyBorder="1" applyAlignment="1">
      <alignment horizontal="right"/>
    </xf>
    <xf numFmtId="4" fontId="8" fillId="0" borderId="29" xfId="0" applyNumberFormat="1" applyFont="1" applyFill="1" applyBorder="1" applyAlignment="1">
      <alignment horizontal="right"/>
    </xf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3" fontId="8" fillId="0" borderId="31" xfId="0" applyNumberFormat="1" applyFont="1" applyFill="1" applyBorder="1" applyAlignment="1">
      <alignment horizontal="right"/>
    </xf>
    <xf numFmtId="0" fontId="0" fillId="0" borderId="0" xfId="0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4" fontId="13" fillId="0" borderId="0" xfId="5" applyNumberFormat="1" applyFont="1"/>
    <xf numFmtId="3" fontId="6" fillId="0" borderId="51" xfId="5" applyNumberFormat="1" applyFont="1" applyBorder="1"/>
    <xf numFmtId="3" fontId="6" fillId="0" borderId="30" xfId="5" applyNumberFormat="1" applyFont="1" applyBorder="1"/>
    <xf numFmtId="3" fontId="39" fillId="7" borderId="24" xfId="5" applyNumberFormat="1" applyFont="1" applyFill="1" applyBorder="1"/>
    <xf numFmtId="4" fontId="20" fillId="8" borderId="17" xfId="5" applyNumberFormat="1" applyFont="1" applyFill="1" applyBorder="1" applyAlignment="1">
      <alignment horizontal="center"/>
    </xf>
    <xf numFmtId="0" fontId="8" fillId="0" borderId="6" xfId="2" applyFont="1" applyBorder="1"/>
    <xf numFmtId="0" fontId="11" fillId="3" borderId="9" xfId="2" applyFont="1" applyFill="1" applyBorder="1"/>
    <xf numFmtId="4" fontId="11" fillId="3" borderId="30" xfId="2" applyNumberFormat="1" applyFont="1" applyFill="1" applyBorder="1"/>
    <xf numFmtId="4" fontId="11" fillId="3" borderId="75" xfId="2" applyNumberFormat="1" applyFont="1" applyFill="1" applyBorder="1"/>
    <xf numFmtId="4" fontId="11" fillId="3" borderId="9" xfId="2" applyNumberFormat="1" applyFont="1" applyFill="1" applyBorder="1"/>
    <xf numFmtId="0" fontId="11" fillId="3" borderId="32" xfId="2" applyFont="1" applyFill="1" applyBorder="1"/>
    <xf numFmtId="4" fontId="11" fillId="3" borderId="31" xfId="2" applyNumberFormat="1" applyFont="1" applyFill="1" applyBorder="1"/>
    <xf numFmtId="4" fontId="11" fillId="3" borderId="59" xfId="2" applyNumberFormat="1" applyFont="1" applyFill="1" applyBorder="1"/>
    <xf numFmtId="4" fontId="11" fillId="3" borderId="32" xfId="2" applyNumberFormat="1" applyFont="1" applyFill="1" applyBorder="1"/>
    <xf numFmtId="0" fontId="11" fillId="4" borderId="20" xfId="2" applyFont="1" applyFill="1" applyBorder="1"/>
    <xf numFmtId="4" fontId="11" fillId="4" borderId="24" xfId="2" applyNumberFormat="1" applyFont="1" applyFill="1" applyBorder="1"/>
    <xf numFmtId="4" fontId="11" fillId="4" borderId="20" xfId="2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4" fontId="12" fillId="3" borderId="32" xfId="0" applyNumberFormat="1" applyFont="1" applyFill="1" applyBorder="1" applyAlignment="1">
      <alignment horizontal="right"/>
    </xf>
    <xf numFmtId="0" fontId="12" fillId="4" borderId="20" xfId="0" applyFont="1" applyFill="1" applyBorder="1"/>
    <xf numFmtId="4" fontId="36" fillId="0" borderId="34" xfId="5" applyNumberFormat="1" applyFont="1" applyBorder="1"/>
    <xf numFmtId="4" fontId="36" fillId="0" borderId="9" xfId="5" applyNumberFormat="1" applyFont="1" applyBorder="1"/>
    <xf numFmtId="3" fontId="12" fillId="3" borderId="28" xfId="0" applyNumberFormat="1" applyFont="1" applyFill="1" applyBorder="1"/>
    <xf numFmtId="0" fontId="8" fillId="0" borderId="6" xfId="0" applyFont="1" applyBorder="1"/>
    <xf numFmtId="0" fontId="8" fillId="0" borderId="9" xfId="0" applyFont="1" applyBorder="1"/>
    <xf numFmtId="3" fontId="12" fillId="4" borderId="17" xfId="0" applyNumberFormat="1" applyFont="1" applyFill="1" applyBorder="1"/>
    <xf numFmtId="0" fontId="44" fillId="0" borderId="0" xfId="0" applyFont="1"/>
    <xf numFmtId="0" fontId="6" fillId="0" borderId="55" xfId="5" applyFont="1" applyBorder="1" applyAlignment="1">
      <alignment horizontal="center"/>
    </xf>
    <xf numFmtId="0" fontId="17" fillId="0" borderId="0" xfId="0" applyFont="1" applyAlignment="1">
      <alignment horizontal="left"/>
    </xf>
    <xf numFmtId="3" fontId="1" fillId="0" borderId="0" xfId="5" applyNumberFormat="1" applyFont="1"/>
    <xf numFmtId="4" fontId="1" fillId="0" borderId="0" xfId="5" applyNumberFormat="1" applyFont="1"/>
    <xf numFmtId="3" fontId="8" fillId="0" borderId="5" xfId="0" applyNumberFormat="1" applyFont="1" applyFill="1" applyBorder="1" applyAlignment="1">
      <alignment horizontal="right"/>
    </xf>
    <xf numFmtId="4" fontId="8" fillId="0" borderId="5" xfId="0" applyNumberFormat="1" applyFont="1" applyFill="1" applyBorder="1" applyAlignment="1">
      <alignment horizontal="right"/>
    </xf>
    <xf numFmtId="4" fontId="8" fillId="0" borderId="7" xfId="0" applyNumberFormat="1" applyFont="1" applyFill="1" applyBorder="1" applyAlignment="1">
      <alignment horizontal="right"/>
    </xf>
    <xf numFmtId="3" fontId="8" fillId="0" borderId="40" xfId="0" applyNumberFormat="1" applyFont="1" applyFill="1" applyBorder="1" applyAlignment="1">
      <alignment horizontal="right"/>
    </xf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1" xfId="0" applyNumberFormat="1" applyFont="1" applyFill="1" applyBorder="1" applyAlignment="1">
      <alignment horizontal="right"/>
    </xf>
    <xf numFmtId="3" fontId="11" fillId="4" borderId="48" xfId="0" applyNumberFormat="1" applyFont="1" applyFill="1" applyBorder="1" applyAlignment="1">
      <alignment horizontal="right"/>
    </xf>
    <xf numFmtId="4" fontId="11" fillId="4" borderId="68" xfId="0" applyNumberFormat="1" applyFont="1" applyFill="1" applyBorder="1" applyAlignment="1">
      <alignment horizontal="right"/>
    </xf>
    <xf numFmtId="3" fontId="8" fillId="0" borderId="11" xfId="0" applyNumberFormat="1" applyFont="1" applyFill="1" applyBorder="1" applyAlignment="1">
      <alignment horizontal="right"/>
    </xf>
    <xf numFmtId="3" fontId="8" fillId="0" borderId="12" xfId="0" applyNumberFormat="1" applyFont="1" applyFill="1" applyBorder="1" applyAlignment="1">
      <alignment horizontal="right"/>
    </xf>
    <xf numFmtId="4" fontId="8" fillId="0" borderId="12" xfId="0" applyNumberFormat="1" applyFont="1" applyFill="1" applyBorder="1" applyAlignment="1">
      <alignment horizontal="right"/>
    </xf>
    <xf numFmtId="4" fontId="8" fillId="0" borderId="14" xfId="0" applyNumberFormat="1" applyFont="1" applyFill="1" applyBorder="1" applyAlignment="1">
      <alignment horizontal="right"/>
    </xf>
    <xf numFmtId="4" fontId="8" fillId="0" borderId="51" xfId="0" applyNumberFormat="1" applyFont="1" applyFill="1" applyBorder="1" applyAlignment="1">
      <alignment horizontal="right"/>
    </xf>
    <xf numFmtId="4" fontId="8" fillId="0" borderId="30" xfId="0" applyNumberFormat="1" applyFont="1" applyFill="1" applyBorder="1" applyAlignment="1">
      <alignment horizontal="right"/>
    </xf>
    <xf numFmtId="4" fontId="6" fillId="0" borderId="30" xfId="0" applyNumberFormat="1" applyFont="1" applyFill="1" applyBorder="1"/>
    <xf numFmtId="4" fontId="8" fillId="0" borderId="45" xfId="0" applyNumberFormat="1" applyFont="1" applyFill="1" applyBorder="1" applyAlignment="1">
      <alignment horizontal="right"/>
    </xf>
    <xf numFmtId="4" fontId="11" fillId="4" borderId="48" xfId="0" applyNumberFormat="1" applyFont="1" applyFill="1" applyBorder="1" applyAlignment="1">
      <alignment horizontal="right"/>
    </xf>
    <xf numFmtId="3" fontId="8" fillId="0" borderId="45" xfId="0" applyNumberFormat="1" applyFont="1" applyFill="1" applyBorder="1" applyAlignment="1">
      <alignment horizontal="right"/>
    </xf>
    <xf numFmtId="0" fontId="45" fillId="0" borderId="0" xfId="0" applyFont="1"/>
    <xf numFmtId="3" fontId="7" fillId="0" borderId="22" xfId="5" applyNumberFormat="1" applyFont="1" applyBorder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28" fillId="0" borderId="0" xfId="0" applyFont="1"/>
    <xf numFmtId="0" fontId="53" fillId="9" borderId="0" xfId="0" applyFont="1" applyFill="1"/>
    <xf numFmtId="0" fontId="54" fillId="9" borderId="0" xfId="0" applyFont="1" applyFill="1"/>
    <xf numFmtId="0" fontId="55" fillId="9" borderId="0" xfId="0" applyFont="1" applyFill="1"/>
    <xf numFmtId="0" fontId="10" fillId="0" borderId="0" xfId="0" applyFont="1" applyFill="1"/>
    <xf numFmtId="0" fontId="45" fillId="0" borderId="0" xfId="0" applyFont="1" applyFill="1"/>
    <xf numFmtId="0" fontId="0" fillId="0" borderId="0" xfId="0" applyFill="1"/>
    <xf numFmtId="3" fontId="21" fillId="5" borderId="64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7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3" fontId="22" fillId="0" borderId="74" xfId="0" applyNumberFormat="1" applyFont="1" applyBorder="1" applyAlignment="1">
      <alignment horizontal="center" vertical="center" wrapText="1"/>
    </xf>
    <xf numFmtId="3" fontId="22" fillId="0" borderId="54" xfId="0" applyNumberFormat="1" applyFont="1" applyBorder="1" applyAlignment="1">
      <alignment horizontal="center" vertical="center" wrapText="1"/>
    </xf>
    <xf numFmtId="3" fontId="22" fillId="0" borderId="31" xfId="0" applyNumberFormat="1" applyFont="1" applyBorder="1" applyAlignment="1">
      <alignment horizontal="center" vertical="center" wrapText="1"/>
    </xf>
    <xf numFmtId="3" fontId="22" fillId="0" borderId="63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3" fontId="22" fillId="0" borderId="57" xfId="0" applyNumberFormat="1" applyFont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>
      <alignment horizontal="center" vertical="center" wrapText="1"/>
    </xf>
    <xf numFmtId="3" fontId="22" fillId="0" borderId="40" xfId="0" applyNumberFormat="1" applyFont="1" applyBorder="1" applyAlignment="1">
      <alignment horizontal="center" vertical="center" wrapText="1"/>
    </xf>
    <xf numFmtId="3" fontId="22" fillId="0" borderId="32" xfId="0" applyNumberFormat="1" applyFont="1" applyBorder="1" applyAlignment="1">
      <alignment horizontal="center" vertical="center" wrapText="1"/>
    </xf>
    <xf numFmtId="3" fontId="22" fillId="0" borderId="56" xfId="0" applyNumberFormat="1" applyFont="1" applyBorder="1" applyAlignment="1">
      <alignment horizontal="center" vertical="center" wrapText="1"/>
    </xf>
    <xf numFmtId="3" fontId="22" fillId="0" borderId="6" xfId="0" applyNumberFormat="1" applyFont="1" applyBorder="1" applyAlignment="1">
      <alignment horizontal="center" vertical="center" wrapText="1"/>
    </xf>
    <xf numFmtId="3" fontId="13" fillId="5" borderId="22" xfId="0" applyNumberFormat="1" applyFont="1" applyFill="1" applyBorder="1" applyAlignment="1">
      <alignment horizontal="center" vertical="center" wrapText="1"/>
    </xf>
    <xf numFmtId="3" fontId="13" fillId="5" borderId="58" xfId="0" applyNumberFormat="1" applyFont="1" applyFill="1" applyBorder="1" applyAlignment="1">
      <alignment horizontal="center" vertical="center" wrapText="1"/>
    </xf>
    <xf numFmtId="3" fontId="13" fillId="5" borderId="52" xfId="0" applyNumberFormat="1" applyFont="1" applyFill="1" applyBorder="1" applyAlignment="1">
      <alignment horizontal="center" vertical="center" wrapText="1"/>
    </xf>
    <xf numFmtId="3" fontId="13" fillId="5" borderId="32" xfId="0" applyNumberFormat="1" applyFont="1" applyFill="1" applyBorder="1" applyAlignment="1">
      <alignment horizontal="center" vertical="center"/>
    </xf>
    <xf numFmtId="3" fontId="13" fillId="5" borderId="54" xfId="0" applyNumberFormat="1" applyFont="1" applyFill="1" applyBorder="1" applyAlignment="1">
      <alignment horizontal="center" vertical="center"/>
    </xf>
    <xf numFmtId="3" fontId="13" fillId="5" borderId="31" xfId="0" applyNumberFormat="1" applyFont="1" applyFill="1" applyBorder="1" applyAlignment="1">
      <alignment horizontal="center" vertical="center"/>
    </xf>
    <xf numFmtId="3" fontId="13" fillId="5" borderId="56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7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3" fontId="13" fillId="5" borderId="42" xfId="0" applyNumberFormat="1" applyFont="1" applyFill="1" applyBorder="1" applyAlignment="1">
      <alignment horizontal="center" vertical="center"/>
    </xf>
    <xf numFmtId="3" fontId="13" fillId="5" borderId="40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53" xfId="0" applyNumberFormat="1" applyFont="1" applyFill="1" applyBorder="1" applyAlignment="1">
      <alignment horizontal="center" vertical="center"/>
    </xf>
    <xf numFmtId="4" fontId="13" fillId="5" borderId="75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40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59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42" xfId="0" applyNumberFormat="1" applyFont="1" applyFill="1" applyBorder="1" applyAlignment="1">
      <alignment horizontal="center" vertical="center" wrapText="1"/>
    </xf>
    <xf numFmtId="4" fontId="13" fillId="5" borderId="33" xfId="0" applyNumberFormat="1" applyFont="1" applyFill="1" applyBorder="1" applyAlignment="1">
      <alignment horizontal="center" vertical="center" wrapText="1"/>
    </xf>
    <xf numFmtId="3" fontId="11" fillId="4" borderId="35" xfId="2" applyNumberFormat="1" applyFont="1" applyFill="1" applyBorder="1" applyAlignment="1">
      <alignment horizontal="center" vertical="center" wrapText="1"/>
    </xf>
    <xf numFmtId="3" fontId="11" fillId="4" borderId="55" xfId="2" applyNumberFormat="1" applyFont="1" applyFill="1" applyBorder="1" applyAlignment="1">
      <alignment horizontal="center" vertical="center" wrapText="1"/>
    </xf>
    <xf numFmtId="3" fontId="11" fillId="4" borderId="41" xfId="2" applyNumberFormat="1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>
      <alignment horizontal="left"/>
    </xf>
    <xf numFmtId="3" fontId="13" fillId="0" borderId="60" xfId="0" applyNumberFormat="1" applyFont="1" applyBorder="1" applyAlignment="1">
      <alignment horizontal="left"/>
    </xf>
    <xf numFmtId="3" fontId="13" fillId="0" borderId="61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42" xfId="0" applyNumberFormat="1" applyFont="1" applyBorder="1" applyAlignment="1">
      <alignment horizontal="left"/>
    </xf>
    <xf numFmtId="3" fontId="13" fillId="0" borderId="40" xfId="0" applyNumberFormat="1" applyFont="1" applyBorder="1" applyAlignment="1">
      <alignment horizontal="left"/>
    </xf>
    <xf numFmtId="4" fontId="13" fillId="4" borderId="36" xfId="0" applyNumberFormat="1" applyFont="1" applyFill="1" applyBorder="1" applyAlignment="1">
      <alignment horizontal="center" vertical="center" wrapText="1"/>
    </xf>
    <xf numFmtId="4" fontId="13" fillId="4" borderId="58" xfId="0" applyNumberFormat="1" applyFont="1" applyFill="1" applyBorder="1" applyAlignment="1">
      <alignment horizontal="center" vertical="center" wrapText="1"/>
    </xf>
    <xf numFmtId="4" fontId="13" fillId="4" borderId="52" xfId="0" applyNumberFormat="1" applyFont="1" applyFill="1" applyBorder="1" applyAlignment="1">
      <alignment horizontal="center" vertical="center" wrapText="1"/>
    </xf>
    <xf numFmtId="4" fontId="13" fillId="0" borderId="38" xfId="0" applyNumberFormat="1" applyFont="1" applyBorder="1" applyAlignment="1">
      <alignment horizontal="left"/>
    </xf>
    <xf numFmtId="4" fontId="13" fillId="0" borderId="62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3" xfId="0" applyNumberFormat="1" applyFont="1" applyBorder="1" applyAlignment="1">
      <alignment horizontal="left"/>
    </xf>
    <xf numFmtId="4" fontId="13" fillId="5" borderId="22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3" fontId="16" fillId="4" borderId="64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62" xfId="0" applyNumberFormat="1" applyFont="1" applyFill="1" applyBorder="1" applyAlignment="1">
      <alignment horizontal="center"/>
    </xf>
    <xf numFmtId="3" fontId="16" fillId="4" borderId="67" xfId="0" applyNumberFormat="1" applyFont="1" applyFill="1" applyBorder="1" applyAlignment="1">
      <alignment horizontal="center"/>
    </xf>
    <xf numFmtId="3" fontId="16" fillId="4" borderId="50" xfId="0" applyNumberFormat="1" applyFont="1" applyFill="1" applyBorder="1" applyAlignment="1">
      <alignment horizontal="center"/>
    </xf>
    <xf numFmtId="3" fontId="16" fillId="4" borderId="49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4" fontId="13" fillId="0" borderId="60" xfId="0" applyNumberFormat="1" applyFont="1" applyBorder="1" applyAlignment="1">
      <alignment horizontal="left"/>
    </xf>
    <xf numFmtId="4" fontId="13" fillId="0" borderId="61" xfId="0" applyNumberFormat="1" applyFont="1" applyBorder="1" applyAlignment="1">
      <alignment horizontal="left"/>
    </xf>
    <xf numFmtId="4" fontId="13" fillId="0" borderId="42" xfId="0" applyNumberFormat="1" applyFont="1" applyBorder="1" applyAlignment="1">
      <alignment horizontal="left"/>
    </xf>
    <xf numFmtId="4" fontId="13" fillId="0" borderId="40" xfId="0" applyNumberFormat="1" applyFont="1" applyBorder="1" applyAlignment="1">
      <alignment horizontal="left"/>
    </xf>
    <xf numFmtId="3" fontId="21" fillId="5" borderId="70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3" fontId="21" fillId="5" borderId="73" xfId="0" applyNumberFormat="1" applyFont="1" applyFill="1" applyBorder="1" applyAlignment="1">
      <alignment horizontal="center" vertical="center"/>
    </xf>
    <xf numFmtId="3" fontId="22" fillId="5" borderId="74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3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Alignment="1">
      <alignment horizontal="center" vertical="center" wrapText="1"/>
    </xf>
    <xf numFmtId="3" fontId="22" fillId="5" borderId="57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28" xfId="2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left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22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left"/>
    </xf>
    <xf numFmtId="4" fontId="13" fillId="0" borderId="10" xfId="0" applyNumberFormat="1" applyFont="1" applyFill="1" applyBorder="1" applyAlignment="1">
      <alignment horizontal="left"/>
    </xf>
    <xf numFmtId="4" fontId="17" fillId="0" borderId="0" xfId="0" applyNumberFormat="1" applyFont="1" applyAlignment="1">
      <alignment horizontal="left" wrapText="1"/>
    </xf>
    <xf numFmtId="4" fontId="13" fillId="0" borderId="38" xfId="0" applyNumberFormat="1" applyFont="1" applyFill="1" applyBorder="1" applyAlignment="1">
      <alignment horizontal="left"/>
    </xf>
    <xf numFmtId="4" fontId="13" fillId="0" borderId="60" xfId="0" applyNumberFormat="1" applyFont="1" applyFill="1" applyBorder="1" applyAlignment="1">
      <alignment horizontal="left"/>
    </xf>
    <xf numFmtId="4" fontId="13" fillId="0" borderId="61" xfId="0" applyNumberFormat="1" applyFont="1" applyFill="1" applyBorder="1" applyAlignment="1">
      <alignment horizontal="left"/>
    </xf>
    <xf numFmtId="4" fontId="13" fillId="0" borderId="6" xfId="0" applyNumberFormat="1" applyFont="1" applyFill="1" applyBorder="1" applyAlignment="1">
      <alignment horizontal="left"/>
    </xf>
    <xf numFmtId="4" fontId="13" fillId="0" borderId="42" xfId="0" applyNumberFormat="1" applyFont="1" applyFill="1" applyBorder="1" applyAlignment="1">
      <alignment horizontal="left"/>
    </xf>
    <xf numFmtId="4" fontId="13" fillId="0" borderId="40" xfId="0" applyNumberFormat="1" applyFont="1" applyFill="1" applyBorder="1" applyAlignment="1">
      <alignment horizontal="left"/>
    </xf>
    <xf numFmtId="4" fontId="13" fillId="0" borderId="62" xfId="0" applyNumberFormat="1" applyFont="1" applyFill="1" applyBorder="1" applyAlignment="1">
      <alignment horizontal="left"/>
    </xf>
    <xf numFmtId="4" fontId="13" fillId="0" borderId="33" xfId="0" applyNumberFormat="1" applyFont="1" applyFill="1" applyBorder="1" applyAlignment="1">
      <alignment horizontal="left"/>
    </xf>
    <xf numFmtId="3" fontId="22" fillId="5" borderId="0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Border="1" applyAlignment="1">
      <alignment horizontal="center" vertical="center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3000000}"/>
    <cellStyle name="Normální 2 2" xfId="6" xr:uid="{00000000-0005-0000-0000-000004000000}"/>
    <cellStyle name="Normální 2 3" xfId="7" xr:uid="{00000000-0005-0000-0000-000005000000}"/>
    <cellStyle name="Normální 3" xfId="3" xr:uid="{00000000-0005-0000-0000-000006000000}"/>
    <cellStyle name="Normální 3 2" xfId="8" xr:uid="{EC4E5E83-08CA-4C3B-9D7A-2F893BB5C65D}"/>
    <cellStyle name="Normální 4" xfId="5" xr:uid="{00000000-0005-0000-0000-000007000000}"/>
    <cellStyle name="Normální 4 2" xfId="9" xr:uid="{6F39F31D-77F1-4AC7-B5FB-7E30A40D94FA}"/>
    <cellStyle name="normální_OIII.TURN.e" xfId="4" xr:uid="{00000000-0005-0000-0000-000008000000}"/>
  </cellStyles>
  <dxfs count="0"/>
  <tableStyles count="0" defaultTableStyle="TableStyleMedium2" defaultPivotStyle="PivotStyleLight16"/>
  <colors>
    <mruColors>
      <color rgb="FFFF5050"/>
      <color rgb="FFFF00FF"/>
      <color rgb="FFCC3300"/>
      <color rgb="FFA6A6A6"/>
      <color rgb="FFFABF8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590"/>
  <sheetViews>
    <sheetView zoomScaleNormal="100" workbookViewId="0">
      <pane xSplit="8" ySplit="11" topLeftCell="AM36" activePane="bottomRight" state="frozen"/>
      <selection activeCell="AY53" sqref="AY53:BD55"/>
      <selection pane="topRight" activeCell="AY53" sqref="AY53:BD55"/>
      <selection pane="bottomLeft" activeCell="AY53" sqref="AY53:BD55"/>
      <selection pane="bottomRight" activeCell="AO6" sqref="AO6:AX7"/>
    </sheetView>
  </sheetViews>
  <sheetFormatPr defaultColWidth="9.140625" defaultRowHeight="11.25" x14ac:dyDescent="0.2"/>
  <cols>
    <col min="1" max="1" width="5" style="199" customWidth="1"/>
    <col min="2" max="2" width="4.7109375" style="193" customWidth="1"/>
    <col min="3" max="3" width="8.7109375" style="193" customWidth="1"/>
    <col min="4" max="4" width="7.85546875" style="193" customWidth="1"/>
    <col min="5" max="5" width="28.5703125" style="199" customWidth="1"/>
    <col min="6" max="6" width="4.42578125" style="199" customWidth="1"/>
    <col min="7" max="7" width="10.28515625" style="199" bestFit="1" customWidth="1"/>
    <col min="8" max="8" width="8" style="199" customWidth="1"/>
    <col min="9" max="9" width="10.85546875" style="195" customWidth="1"/>
    <col min="10" max="15" width="10.85546875" style="509" customWidth="1"/>
    <col min="16" max="16" width="11.7109375" style="196" customWidth="1"/>
    <col min="17" max="18" width="10.85546875" style="510" customWidth="1"/>
    <col min="19" max="19" width="9.140625" style="195" customWidth="1"/>
    <col min="20" max="20" width="10" style="195" customWidth="1"/>
    <col min="21" max="21" width="10.85546875" style="195" customWidth="1"/>
    <col min="22" max="23" width="9.28515625" style="195" customWidth="1"/>
    <col min="24" max="24" width="10.28515625" style="195" customWidth="1"/>
    <col min="25" max="26" width="10.42578125" style="195" customWidth="1"/>
    <col min="27" max="32" width="9.28515625" style="195" customWidth="1"/>
    <col min="33" max="39" width="9.28515625" style="196" customWidth="1"/>
    <col min="40" max="40" width="10.85546875" style="196" customWidth="1"/>
    <col min="41" max="42" width="10.85546875" style="195" customWidth="1"/>
    <col min="43" max="43" width="9.5703125" style="195" customWidth="1"/>
    <col min="44" max="44" width="10.5703125" style="195" customWidth="1"/>
    <col min="45" max="46" width="9.28515625" style="195" customWidth="1"/>
    <col min="47" max="47" width="11.85546875" style="195" customWidth="1"/>
    <col min="48" max="48" width="11.28515625" style="196" customWidth="1"/>
    <col min="49" max="49" width="9.28515625" style="196" customWidth="1"/>
    <col min="50" max="53" width="9.140625" style="177" customWidth="1"/>
    <col min="54" max="16384" width="9.140625" style="177"/>
  </cols>
  <sheetData>
    <row r="1" spans="1:50" s="203" customFormat="1" ht="12.75" customHeight="1" x14ac:dyDescent="0.25">
      <c r="A1" s="682" t="s">
        <v>2</v>
      </c>
      <c r="B1" s="682"/>
      <c r="C1" s="78"/>
      <c r="D1" s="682"/>
      <c r="E1" s="682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2.75" customHeight="1" x14ac:dyDescent="0.2">
      <c r="A2" s="446" t="s">
        <v>3</v>
      </c>
      <c r="B2" s="446"/>
      <c r="C2" s="78"/>
      <c r="D2" s="446"/>
      <c r="E2" s="446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1"/>
      <c r="AV2" s="452"/>
      <c r="AW2" s="452"/>
    </row>
    <row r="3" spans="1:50" ht="12.75" customHeight="1" x14ac:dyDescent="0.2">
      <c r="A3" s="873" t="s">
        <v>4</v>
      </c>
      <c r="B3" s="873"/>
      <c r="C3" s="873"/>
      <c r="D3" s="873"/>
      <c r="E3" s="873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5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1"/>
      <c r="AV3" s="452"/>
      <c r="AW3" s="452"/>
    </row>
    <row r="4" spans="1:50" ht="12.75" customHeight="1" x14ac:dyDescent="0.2">
      <c r="A4" s="446"/>
      <c r="B4" s="446"/>
      <c r="C4" s="446"/>
      <c r="D4" s="446"/>
      <c r="E4" s="446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5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1"/>
      <c r="AV4" s="452"/>
      <c r="AW4" s="452"/>
    </row>
    <row r="5" spans="1:50" ht="16.5" customHeight="1" thickBot="1" x14ac:dyDescent="0.3">
      <c r="A5" s="148" t="s">
        <v>849</v>
      </c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W5" s="453"/>
      <c r="X5" s="453"/>
      <c r="Y5" s="454"/>
      <c r="Z5" s="454"/>
      <c r="AA5" s="454"/>
      <c r="AB5" s="455"/>
      <c r="AC5" s="455"/>
      <c r="AD5" s="455"/>
      <c r="AE5" s="454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7"/>
      <c r="AV5" s="458"/>
      <c r="AW5" s="458"/>
    </row>
    <row r="6" spans="1:50" ht="12.75" customHeight="1" x14ac:dyDescent="0.2"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customHeight="1" thickBot="1" x14ac:dyDescent="0.3">
      <c r="B7" s="460"/>
      <c r="C7"/>
      <c r="D7" s="461"/>
      <c r="E7" s="46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12" t="s">
        <v>289</v>
      </c>
      <c r="T7" s="813"/>
      <c r="U7" s="813"/>
      <c r="V7" s="814"/>
      <c r="W7" s="821" t="s">
        <v>290</v>
      </c>
      <c r="X7" s="813"/>
      <c r="Y7" s="814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5" customHeight="1" x14ac:dyDescent="0.2">
      <c r="A8" s="570"/>
      <c r="B8" s="571"/>
      <c r="C8" s="571"/>
      <c r="D8" s="571"/>
      <c r="E8" s="572"/>
      <c r="F8" s="205"/>
      <c r="G8" s="463"/>
      <c r="H8" s="463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15"/>
      <c r="T8" s="816"/>
      <c r="U8" s="816"/>
      <c r="V8" s="817"/>
      <c r="W8" s="822"/>
      <c r="X8" s="816"/>
      <c r="Y8" s="817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5" customHeight="1" thickBot="1" x14ac:dyDescent="0.25">
      <c r="A9" s="302" t="s">
        <v>825</v>
      </c>
      <c r="B9"/>
      <c r="C9"/>
      <c r="D9" s="462"/>
      <c r="E9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18"/>
      <c r="T9" s="819"/>
      <c r="U9" s="819"/>
      <c r="V9" s="820"/>
      <c r="W9" s="823"/>
      <c r="X9" s="819"/>
      <c r="Y9" s="820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6.5" customHeight="1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6" t="s">
        <v>274</v>
      </c>
      <c r="J11" s="257" t="s">
        <v>275</v>
      </c>
      <c r="K11" s="251" t="s">
        <v>281</v>
      </c>
      <c r="L11" s="251" t="s">
        <v>834</v>
      </c>
      <c r="M11" s="251" t="s">
        <v>276</v>
      </c>
      <c r="N11" s="257" t="s">
        <v>277</v>
      </c>
      <c r="O11" s="257" t="s">
        <v>278</v>
      </c>
      <c r="P11" s="347" t="s">
        <v>279</v>
      </c>
      <c r="Q11" s="258" t="s">
        <v>571</v>
      </c>
      <c r="R11" s="348" t="s">
        <v>572</v>
      </c>
      <c r="S11" s="419" t="s">
        <v>303</v>
      </c>
      <c r="T11" s="257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8" t="s">
        <v>313</v>
      </c>
      <c r="AL11" s="258" t="s">
        <v>312</v>
      </c>
      <c r="AM11" s="258" t="s">
        <v>313</v>
      </c>
      <c r="AN11" s="348" t="s">
        <v>314</v>
      </c>
      <c r="AO11" s="419" t="s">
        <v>274</v>
      </c>
      <c r="AP11" s="257" t="s">
        <v>275</v>
      </c>
      <c r="AQ11" s="257" t="s">
        <v>281</v>
      </c>
      <c r="AR11" s="251" t="s">
        <v>834</v>
      </c>
      <c r="AS11" s="257" t="s">
        <v>276</v>
      </c>
      <c r="AT11" s="257" t="s">
        <v>277</v>
      </c>
      <c r="AU11" s="257" t="s">
        <v>278</v>
      </c>
      <c r="AV11" s="258" t="s">
        <v>279</v>
      </c>
      <c r="AW11" s="258" t="s">
        <v>571</v>
      </c>
      <c r="AX11" s="348" t="s">
        <v>572</v>
      </c>
    </row>
    <row r="12" spans="1:50" ht="14.1" customHeight="1" x14ac:dyDescent="0.2">
      <c r="A12" s="573">
        <v>1</v>
      </c>
      <c r="B12" s="574">
        <v>2330</v>
      </c>
      <c r="C12" s="575">
        <v>691009571</v>
      </c>
      <c r="D12" s="574">
        <v>71294511</v>
      </c>
      <c r="E12" s="576" t="s">
        <v>573</v>
      </c>
      <c r="F12" s="573">
        <v>3233</v>
      </c>
      <c r="G12" s="576" t="s">
        <v>324</v>
      </c>
      <c r="H12" s="577" t="s">
        <v>284</v>
      </c>
      <c r="I12" s="473">
        <v>13504343</v>
      </c>
      <c r="J12" s="474">
        <v>8523634</v>
      </c>
      <c r="K12" s="475">
        <v>1300000</v>
      </c>
      <c r="L12" s="475">
        <v>0</v>
      </c>
      <c r="M12" s="475">
        <v>3320388</v>
      </c>
      <c r="N12" s="474">
        <v>170473</v>
      </c>
      <c r="O12" s="474">
        <v>189848</v>
      </c>
      <c r="P12" s="477">
        <v>21.169999999999998</v>
      </c>
      <c r="Q12" s="476">
        <v>11.42</v>
      </c>
      <c r="R12" s="478">
        <v>9.75</v>
      </c>
      <c r="S12" s="484">
        <v>0</v>
      </c>
      <c r="T12" s="485">
        <v>0</v>
      </c>
      <c r="U12" s="485">
        <v>0</v>
      </c>
      <c r="V12" s="485">
        <f>SUM(S12:U12)</f>
        <v>0</v>
      </c>
      <c r="W12" s="485">
        <v>0</v>
      </c>
      <c r="X12" s="485">
        <v>0</v>
      </c>
      <c r="Y12" s="485">
        <f>SUM(W12:X12)</f>
        <v>0</v>
      </c>
      <c r="Z12" s="485">
        <f>V12+Y12</f>
        <v>0</v>
      </c>
      <c r="AA12" s="319">
        <f>ROUND((V12+W12)*33.8%,0)</f>
        <v>0</v>
      </c>
      <c r="AB12" s="744">
        <f>ROUND(V12*2%,0)</f>
        <v>0</v>
      </c>
      <c r="AC12" s="485">
        <v>0</v>
      </c>
      <c r="AD12" s="485">
        <v>0</v>
      </c>
      <c r="AE12" s="485">
        <f>SUM(AC12:AD12)</f>
        <v>0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487">
        <f>AG12+AI12+AJ12</f>
        <v>0</v>
      </c>
      <c r="AM12" s="487">
        <f>AH12+AK12</f>
        <v>0</v>
      </c>
      <c r="AN12" s="488">
        <f>SUM(AL12:AM12)</f>
        <v>0</v>
      </c>
      <c r="AO12" s="484">
        <f>I12+AF12</f>
        <v>13504343</v>
      </c>
      <c r="AP12" s="485">
        <f>J12+V12</f>
        <v>8523634</v>
      </c>
      <c r="AQ12" s="485">
        <f>K12+Y12</f>
        <v>1300000</v>
      </c>
      <c r="AR12" s="480">
        <f>L12</f>
        <v>0</v>
      </c>
      <c r="AS12" s="485">
        <f>M12+AA12</f>
        <v>3320388</v>
      </c>
      <c r="AT12" s="485">
        <f>N12+AB12</f>
        <v>170473</v>
      </c>
      <c r="AU12" s="485">
        <f>O12+AE12</f>
        <v>189848</v>
      </c>
      <c r="AV12" s="487">
        <f>P12+AN12</f>
        <v>21.169999999999998</v>
      </c>
      <c r="AW12" s="487">
        <f>Q12+AL12</f>
        <v>11.42</v>
      </c>
      <c r="AX12" s="488">
        <f>R12+AM12</f>
        <v>9.75</v>
      </c>
    </row>
    <row r="13" spans="1:50" ht="14.1" customHeight="1" x14ac:dyDescent="0.2">
      <c r="A13" s="181">
        <v>1</v>
      </c>
      <c r="B13" s="179">
        <v>2330</v>
      </c>
      <c r="C13" s="180">
        <v>691009571</v>
      </c>
      <c r="D13" s="179">
        <v>71294511</v>
      </c>
      <c r="E13" s="578" t="s">
        <v>574</v>
      </c>
      <c r="F13" s="181"/>
      <c r="G13" s="578"/>
      <c r="H13" s="579"/>
      <c r="I13" s="580">
        <v>13504343</v>
      </c>
      <c r="J13" s="581">
        <v>8523634</v>
      </c>
      <c r="K13" s="581">
        <v>1300000</v>
      </c>
      <c r="L13" s="581">
        <v>0</v>
      </c>
      <c r="M13" s="581">
        <v>3320388</v>
      </c>
      <c r="N13" s="581">
        <v>170473</v>
      </c>
      <c r="O13" s="581">
        <v>189848</v>
      </c>
      <c r="P13" s="582">
        <v>21.169999999999998</v>
      </c>
      <c r="Q13" s="582">
        <v>11.42</v>
      </c>
      <c r="R13" s="584">
        <v>9.75</v>
      </c>
      <c r="S13" s="583">
        <f t="shared" ref="S13:AX13" si="0">SUM(S12)</f>
        <v>0</v>
      </c>
      <c r="T13" s="581">
        <f t="shared" si="0"/>
        <v>0</v>
      </c>
      <c r="U13" s="581">
        <f t="shared" si="0"/>
        <v>0</v>
      </c>
      <c r="V13" s="581">
        <f t="shared" si="0"/>
        <v>0</v>
      </c>
      <c r="W13" s="581">
        <f t="shared" si="0"/>
        <v>0</v>
      </c>
      <c r="X13" s="581">
        <f t="shared" si="0"/>
        <v>0</v>
      </c>
      <c r="Y13" s="581">
        <f t="shared" si="0"/>
        <v>0</v>
      </c>
      <c r="Z13" s="581">
        <f t="shared" si="0"/>
        <v>0</v>
      </c>
      <c r="AA13" s="581">
        <f t="shared" si="0"/>
        <v>0</v>
      </c>
      <c r="AB13" s="583">
        <f t="shared" si="0"/>
        <v>0</v>
      </c>
      <c r="AC13" s="581">
        <f t="shared" si="0"/>
        <v>0</v>
      </c>
      <c r="AD13" s="581">
        <f t="shared" si="0"/>
        <v>0</v>
      </c>
      <c r="AE13" s="581">
        <f t="shared" si="0"/>
        <v>0</v>
      </c>
      <c r="AF13" s="581">
        <f t="shared" si="0"/>
        <v>0</v>
      </c>
      <c r="AG13" s="582">
        <f t="shared" si="0"/>
        <v>0</v>
      </c>
      <c r="AH13" s="582">
        <f t="shared" si="0"/>
        <v>0</v>
      </c>
      <c r="AI13" s="582">
        <f t="shared" si="0"/>
        <v>0</v>
      </c>
      <c r="AJ13" s="582">
        <f t="shared" si="0"/>
        <v>0</v>
      </c>
      <c r="AK13" s="582">
        <f t="shared" si="0"/>
        <v>0</v>
      </c>
      <c r="AL13" s="582">
        <f t="shared" si="0"/>
        <v>0</v>
      </c>
      <c r="AM13" s="582">
        <f t="shared" si="0"/>
        <v>0</v>
      </c>
      <c r="AN13" s="584">
        <f t="shared" si="0"/>
        <v>0</v>
      </c>
      <c r="AO13" s="583">
        <f t="shared" si="0"/>
        <v>13504343</v>
      </c>
      <c r="AP13" s="581">
        <f t="shared" si="0"/>
        <v>8523634</v>
      </c>
      <c r="AQ13" s="581">
        <f t="shared" si="0"/>
        <v>1300000</v>
      </c>
      <c r="AR13" s="581">
        <f t="shared" si="0"/>
        <v>0</v>
      </c>
      <c r="AS13" s="581">
        <f t="shared" si="0"/>
        <v>3320388</v>
      </c>
      <c r="AT13" s="581">
        <f t="shared" si="0"/>
        <v>170473</v>
      </c>
      <c r="AU13" s="581">
        <f t="shared" si="0"/>
        <v>189848</v>
      </c>
      <c r="AV13" s="582">
        <f t="shared" si="0"/>
        <v>21.169999999999998</v>
      </c>
      <c r="AW13" s="582">
        <f t="shared" si="0"/>
        <v>11.42</v>
      </c>
      <c r="AX13" s="584">
        <f t="shared" si="0"/>
        <v>9.75</v>
      </c>
    </row>
    <row r="14" spans="1:50" ht="14.1" customHeight="1" x14ac:dyDescent="0.2">
      <c r="A14" s="585">
        <v>2</v>
      </c>
      <c r="B14" s="586">
        <v>2415</v>
      </c>
      <c r="C14" s="587">
        <v>600079465</v>
      </c>
      <c r="D14" s="586">
        <v>72742186</v>
      </c>
      <c r="E14" s="588" t="s">
        <v>575</v>
      </c>
      <c r="F14" s="585">
        <v>3111</v>
      </c>
      <c r="G14" s="588" t="s">
        <v>317</v>
      </c>
      <c r="H14" s="589" t="s">
        <v>283</v>
      </c>
      <c r="I14" s="495">
        <v>7138533</v>
      </c>
      <c r="J14" s="411">
        <v>5132720</v>
      </c>
      <c r="K14" s="520">
        <v>25000</v>
      </c>
      <c r="L14" s="520">
        <v>0</v>
      </c>
      <c r="M14" s="475">
        <v>1743309</v>
      </c>
      <c r="N14" s="496">
        <v>102654</v>
      </c>
      <c r="O14" s="411">
        <v>134850</v>
      </c>
      <c r="P14" s="412">
        <v>12.134799999999998</v>
      </c>
      <c r="Q14" s="415">
        <v>9.1896000000000004</v>
      </c>
      <c r="R14" s="685">
        <v>2.9451999999999998</v>
      </c>
      <c r="S14" s="499"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178">
        <f t="shared" ref="AA14:AA76" si="1">ROUND((V14+W14)*33.8%,0)</f>
        <v>0</v>
      </c>
      <c r="AB14" s="745">
        <f>ROUND(V14*2%,0)</f>
        <v>0</v>
      </c>
      <c r="AC14" s="486">
        <v>0</v>
      </c>
      <c r="AD14" s="486">
        <v>0</v>
      </c>
      <c r="AE14" s="486">
        <f t="shared" ref="AE14:AE76" si="2">SUM(AC14:AD14)</f>
        <v>0</v>
      </c>
      <c r="AF14" s="486">
        <f t="shared" ref="AF14:AF76" si="3">Z14+AA14+AB14+AE14</f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02">
        <f t="shared" ref="AN14:AN76" si="4">SUM(AL14:AM14)</f>
        <v>0</v>
      </c>
      <c r="AO14" s="499">
        <f>I14+AF14</f>
        <v>7138533</v>
      </c>
      <c r="AP14" s="486">
        <f>J14+V14</f>
        <v>5132720</v>
      </c>
      <c r="AQ14" s="486">
        <f>K14+Y14</f>
        <v>25000</v>
      </c>
      <c r="AR14" s="486">
        <f>L14</f>
        <v>0</v>
      </c>
      <c r="AS14" s="486">
        <f t="shared" ref="AS14:AT17" si="5">M14+AA14</f>
        <v>1743309</v>
      </c>
      <c r="AT14" s="486">
        <f t="shared" si="5"/>
        <v>102654</v>
      </c>
      <c r="AU14" s="486">
        <f>O14+AE14</f>
        <v>134850</v>
      </c>
      <c r="AV14" s="501">
        <f>P14+AN14</f>
        <v>12.134799999999998</v>
      </c>
      <c r="AW14" s="501">
        <f t="shared" ref="AW14:AX17" si="6">Q14+AL14</f>
        <v>9.1896000000000004</v>
      </c>
      <c r="AX14" s="502">
        <f t="shared" si="6"/>
        <v>2.9451999999999998</v>
      </c>
    </row>
    <row r="15" spans="1:50" ht="14.1" customHeight="1" x14ac:dyDescent="0.2">
      <c r="A15" s="585">
        <v>2</v>
      </c>
      <c r="B15" s="586">
        <v>2415</v>
      </c>
      <c r="C15" s="587">
        <v>600079465</v>
      </c>
      <c r="D15" s="586">
        <v>72742186</v>
      </c>
      <c r="E15" s="588" t="s">
        <v>575</v>
      </c>
      <c r="F15" s="585">
        <v>3111</v>
      </c>
      <c r="G15" s="588" t="s">
        <v>318</v>
      </c>
      <c r="H15" s="589" t="s">
        <v>284</v>
      </c>
      <c r="I15" s="495">
        <v>0</v>
      </c>
      <c r="J15" s="411">
        <v>0</v>
      </c>
      <c r="K15" s="520">
        <v>0</v>
      </c>
      <c r="L15" s="520">
        <v>0</v>
      </c>
      <c r="M15" s="475">
        <v>0</v>
      </c>
      <c r="N15" s="496">
        <v>0</v>
      </c>
      <c r="O15" s="411">
        <v>0</v>
      </c>
      <c r="P15" s="412">
        <v>0</v>
      </c>
      <c r="Q15" s="415">
        <v>0</v>
      </c>
      <c r="R15" s="685">
        <v>0</v>
      </c>
      <c r="S15" s="499">
        <v>0</v>
      </c>
      <c r="T15" s="486">
        <v>30190</v>
      </c>
      <c r="U15" s="486">
        <v>0</v>
      </c>
      <c r="V15" s="486">
        <f>SUM(S15:U15)</f>
        <v>30190</v>
      </c>
      <c r="W15" s="486">
        <v>0</v>
      </c>
      <c r="X15" s="486">
        <v>0</v>
      </c>
      <c r="Y15" s="486">
        <f>SUM(W15:X15)</f>
        <v>0</v>
      </c>
      <c r="Z15" s="486">
        <f>V15+Y15</f>
        <v>30190</v>
      </c>
      <c r="AA15" s="178">
        <f t="shared" ref="AA15" si="7">ROUND((V15+W15)*33.8%,0)</f>
        <v>10204</v>
      </c>
      <c r="AB15" s="745">
        <f>ROUND(V15*2%,0)</f>
        <v>604</v>
      </c>
      <c r="AC15" s="486">
        <v>0</v>
      </c>
      <c r="AD15" s="486">
        <v>0</v>
      </c>
      <c r="AE15" s="486">
        <f t="shared" ref="AE15" si="8">SUM(AC15:AD15)</f>
        <v>0</v>
      </c>
      <c r="AF15" s="486">
        <f t="shared" ref="AF15" si="9">Z15+AA15+AB15+AE15</f>
        <v>40998</v>
      </c>
      <c r="AG15" s="501">
        <v>0</v>
      </c>
      <c r="AH15" s="501">
        <v>0</v>
      </c>
      <c r="AI15" s="501">
        <v>0.08</v>
      </c>
      <c r="AJ15" s="501">
        <v>0</v>
      </c>
      <c r="AK15" s="501">
        <v>0</v>
      </c>
      <c r="AL15" s="501">
        <f>AG15+AI15+AJ15</f>
        <v>0.08</v>
      </c>
      <c r="AM15" s="501">
        <f>AH15+AK15</f>
        <v>0</v>
      </c>
      <c r="AN15" s="502">
        <f t="shared" ref="AN15" si="10">SUM(AL15:AM15)</f>
        <v>0.08</v>
      </c>
      <c r="AO15" s="499">
        <f>I15+AF15</f>
        <v>40998</v>
      </c>
      <c r="AP15" s="486">
        <f>J15+V15</f>
        <v>30190</v>
      </c>
      <c r="AQ15" s="486">
        <f>K15+Y15</f>
        <v>0</v>
      </c>
      <c r="AR15" s="486">
        <f>L15</f>
        <v>0</v>
      </c>
      <c r="AS15" s="486">
        <f t="shared" ref="AS15" si="11">M15+AA15</f>
        <v>10204</v>
      </c>
      <c r="AT15" s="486">
        <f t="shared" ref="AT15" si="12">N15+AB15</f>
        <v>604</v>
      </c>
      <c r="AU15" s="486">
        <f>O15+AE15</f>
        <v>0</v>
      </c>
      <c r="AV15" s="501">
        <f>P15+AN15</f>
        <v>0.08</v>
      </c>
      <c r="AW15" s="501">
        <f t="shared" ref="AW15" si="13">Q15+AL15</f>
        <v>0.08</v>
      </c>
      <c r="AX15" s="502">
        <f t="shared" ref="AX15" si="14">R15+AM15</f>
        <v>0</v>
      </c>
    </row>
    <row r="16" spans="1:50" ht="14.1" customHeight="1" x14ac:dyDescent="0.2">
      <c r="A16" s="585">
        <v>2</v>
      </c>
      <c r="B16" s="586">
        <v>2415</v>
      </c>
      <c r="C16" s="587">
        <v>600079465</v>
      </c>
      <c r="D16" s="586">
        <v>72742186</v>
      </c>
      <c r="E16" s="588" t="s">
        <v>575</v>
      </c>
      <c r="F16" s="585">
        <v>3111</v>
      </c>
      <c r="G16" s="503" t="s">
        <v>319</v>
      </c>
      <c r="H16" s="589" t="s">
        <v>283</v>
      </c>
      <c r="I16" s="495">
        <v>386933</v>
      </c>
      <c r="J16" s="411">
        <v>284928</v>
      </c>
      <c r="K16" s="520">
        <v>0</v>
      </c>
      <c r="L16" s="520">
        <v>0</v>
      </c>
      <c r="M16" s="475">
        <v>96306</v>
      </c>
      <c r="N16" s="496">
        <v>5699</v>
      </c>
      <c r="O16" s="496">
        <v>0</v>
      </c>
      <c r="P16" s="412">
        <v>1</v>
      </c>
      <c r="Q16" s="415">
        <v>1</v>
      </c>
      <c r="R16" s="498">
        <v>0</v>
      </c>
      <c r="S16" s="499"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178">
        <f t="shared" si="1"/>
        <v>0</v>
      </c>
      <c r="AB16" s="745">
        <f>ROUND(V16*2%,0)</f>
        <v>0</v>
      </c>
      <c r="AC16" s="486">
        <v>0</v>
      </c>
      <c r="AD16" s="486">
        <v>0</v>
      </c>
      <c r="AE16" s="486">
        <f t="shared" si="2"/>
        <v>0</v>
      </c>
      <c r="AF16" s="486">
        <f t="shared" si="3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ref="AL16:AL17" si="15">AG16+AI16+AJ16</f>
        <v>0</v>
      </c>
      <c r="AM16" s="501">
        <f t="shared" ref="AM16:AM17" si="16">AH16+AK16</f>
        <v>0</v>
      </c>
      <c r="AN16" s="502">
        <f t="shared" si="4"/>
        <v>0</v>
      </c>
      <c r="AO16" s="499">
        <f>I16+AF16</f>
        <v>386933</v>
      </c>
      <c r="AP16" s="486">
        <f>J16+V16</f>
        <v>284928</v>
      </c>
      <c r="AQ16" s="486">
        <f>K16+Y16</f>
        <v>0</v>
      </c>
      <c r="AR16" s="486">
        <f>L16</f>
        <v>0</v>
      </c>
      <c r="AS16" s="486">
        <f t="shared" si="5"/>
        <v>96306</v>
      </c>
      <c r="AT16" s="486">
        <f t="shared" si="5"/>
        <v>5699</v>
      </c>
      <c r="AU16" s="486">
        <f>O16+AE16</f>
        <v>0</v>
      </c>
      <c r="AV16" s="501">
        <f>P16+AN16</f>
        <v>1</v>
      </c>
      <c r="AW16" s="501">
        <f t="shared" si="6"/>
        <v>1</v>
      </c>
      <c r="AX16" s="502">
        <f t="shared" si="6"/>
        <v>0</v>
      </c>
    </row>
    <row r="17" spans="1:50" ht="14.1" customHeight="1" x14ac:dyDescent="0.2">
      <c r="A17" s="585">
        <v>2</v>
      </c>
      <c r="B17" s="586">
        <v>2415</v>
      </c>
      <c r="C17" s="587">
        <v>600079465</v>
      </c>
      <c r="D17" s="586">
        <v>72742186</v>
      </c>
      <c r="E17" s="588" t="s">
        <v>575</v>
      </c>
      <c r="F17" s="585">
        <v>3141</v>
      </c>
      <c r="G17" s="588" t="s">
        <v>321</v>
      </c>
      <c r="H17" s="589" t="s">
        <v>284</v>
      </c>
      <c r="I17" s="495">
        <v>898190</v>
      </c>
      <c r="J17" s="496">
        <v>657904</v>
      </c>
      <c r="K17" s="475">
        <v>0</v>
      </c>
      <c r="L17" s="475">
        <v>0</v>
      </c>
      <c r="M17" s="475">
        <v>222372</v>
      </c>
      <c r="N17" s="496">
        <v>13158</v>
      </c>
      <c r="O17" s="496">
        <v>4756</v>
      </c>
      <c r="P17" s="412">
        <v>2.2400000000000002</v>
      </c>
      <c r="Q17" s="497">
        <v>0</v>
      </c>
      <c r="R17" s="498">
        <v>2.2400000000000002</v>
      </c>
      <c r="S17" s="499"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178">
        <f t="shared" si="1"/>
        <v>0</v>
      </c>
      <c r="AB17" s="745">
        <f>ROUND(V17*2%,0)</f>
        <v>0</v>
      </c>
      <c r="AC17" s="486">
        <v>0</v>
      </c>
      <c r="AD17" s="486">
        <v>0</v>
      </c>
      <c r="AE17" s="486">
        <f t="shared" si="2"/>
        <v>0</v>
      </c>
      <c r="AF17" s="486">
        <f t="shared" si="3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15"/>
        <v>0</v>
      </c>
      <c r="AM17" s="501">
        <f t="shared" si="16"/>
        <v>0</v>
      </c>
      <c r="AN17" s="502">
        <f t="shared" si="4"/>
        <v>0</v>
      </c>
      <c r="AO17" s="499">
        <f>I17+AF17</f>
        <v>898190</v>
      </c>
      <c r="AP17" s="486">
        <f>J17+V17</f>
        <v>657904</v>
      </c>
      <c r="AQ17" s="486">
        <f>K17+Y17</f>
        <v>0</v>
      </c>
      <c r="AR17" s="486">
        <f>L17</f>
        <v>0</v>
      </c>
      <c r="AS17" s="486">
        <f t="shared" si="5"/>
        <v>222372</v>
      </c>
      <c r="AT17" s="486">
        <f t="shared" si="5"/>
        <v>13158</v>
      </c>
      <c r="AU17" s="486">
        <f>O17+AE17</f>
        <v>4756</v>
      </c>
      <c r="AV17" s="501">
        <f>P17+AN17</f>
        <v>2.2400000000000002</v>
      </c>
      <c r="AW17" s="501">
        <f t="shared" si="6"/>
        <v>0</v>
      </c>
      <c r="AX17" s="502">
        <f t="shared" si="6"/>
        <v>2.2400000000000002</v>
      </c>
    </row>
    <row r="18" spans="1:50" ht="14.1" customHeight="1" x14ac:dyDescent="0.2">
      <c r="A18" s="181">
        <v>2</v>
      </c>
      <c r="B18" s="179">
        <v>2415</v>
      </c>
      <c r="C18" s="180">
        <v>600079465</v>
      </c>
      <c r="D18" s="179">
        <v>72742186</v>
      </c>
      <c r="E18" s="578" t="s">
        <v>576</v>
      </c>
      <c r="F18" s="181"/>
      <c r="G18" s="578"/>
      <c r="H18" s="579"/>
      <c r="I18" s="580">
        <v>8423656</v>
      </c>
      <c r="J18" s="581">
        <v>6075552</v>
      </c>
      <c r="K18" s="581">
        <v>25000</v>
      </c>
      <c r="L18" s="581">
        <v>0</v>
      </c>
      <c r="M18" s="581">
        <v>2061987</v>
      </c>
      <c r="N18" s="581">
        <v>121511</v>
      </c>
      <c r="O18" s="581">
        <v>139606</v>
      </c>
      <c r="P18" s="582">
        <v>15.374799999999999</v>
      </c>
      <c r="Q18" s="582">
        <v>10.1896</v>
      </c>
      <c r="R18" s="584">
        <v>5.1852</v>
      </c>
      <c r="S18" s="583">
        <f t="shared" ref="S18:AX18" si="17">SUM(S14:S17)</f>
        <v>0</v>
      </c>
      <c r="T18" s="581">
        <f t="shared" si="17"/>
        <v>30190</v>
      </c>
      <c r="U18" s="581">
        <f t="shared" si="17"/>
        <v>0</v>
      </c>
      <c r="V18" s="581">
        <f t="shared" si="17"/>
        <v>30190</v>
      </c>
      <c r="W18" s="581">
        <f t="shared" si="17"/>
        <v>0</v>
      </c>
      <c r="X18" s="581">
        <f t="shared" si="17"/>
        <v>0</v>
      </c>
      <c r="Y18" s="581">
        <f t="shared" si="17"/>
        <v>0</v>
      </c>
      <c r="Z18" s="581">
        <f t="shared" si="17"/>
        <v>30190</v>
      </c>
      <c r="AA18" s="581">
        <f t="shared" si="17"/>
        <v>10204</v>
      </c>
      <c r="AB18" s="583">
        <f t="shared" si="17"/>
        <v>604</v>
      </c>
      <c r="AC18" s="581">
        <f t="shared" si="17"/>
        <v>0</v>
      </c>
      <c r="AD18" s="581">
        <f t="shared" si="17"/>
        <v>0</v>
      </c>
      <c r="AE18" s="581">
        <f t="shared" si="17"/>
        <v>0</v>
      </c>
      <c r="AF18" s="581">
        <f t="shared" si="17"/>
        <v>40998</v>
      </c>
      <c r="AG18" s="582">
        <f t="shared" si="17"/>
        <v>0</v>
      </c>
      <c r="AH18" s="582">
        <f t="shared" si="17"/>
        <v>0</v>
      </c>
      <c r="AI18" s="582">
        <f t="shared" si="17"/>
        <v>0.08</v>
      </c>
      <c r="AJ18" s="582">
        <f t="shared" si="17"/>
        <v>0</v>
      </c>
      <c r="AK18" s="582">
        <f t="shared" si="17"/>
        <v>0</v>
      </c>
      <c r="AL18" s="582">
        <f t="shared" si="17"/>
        <v>0.08</v>
      </c>
      <c r="AM18" s="582">
        <f t="shared" si="17"/>
        <v>0</v>
      </c>
      <c r="AN18" s="584">
        <f t="shared" si="17"/>
        <v>0.08</v>
      </c>
      <c r="AO18" s="583">
        <f t="shared" si="17"/>
        <v>8464654</v>
      </c>
      <c r="AP18" s="581">
        <f t="shared" si="17"/>
        <v>6105742</v>
      </c>
      <c r="AQ18" s="581">
        <f t="shared" si="17"/>
        <v>25000</v>
      </c>
      <c r="AR18" s="581">
        <f t="shared" si="17"/>
        <v>0</v>
      </c>
      <c r="AS18" s="581">
        <f t="shared" si="17"/>
        <v>2072191</v>
      </c>
      <c r="AT18" s="581">
        <f t="shared" si="17"/>
        <v>122115</v>
      </c>
      <c r="AU18" s="581">
        <f t="shared" si="17"/>
        <v>139606</v>
      </c>
      <c r="AV18" s="582">
        <f t="shared" si="17"/>
        <v>15.454799999999999</v>
      </c>
      <c r="AW18" s="582">
        <f t="shared" si="17"/>
        <v>10.269600000000001</v>
      </c>
      <c r="AX18" s="584">
        <f t="shared" si="17"/>
        <v>5.1852</v>
      </c>
    </row>
    <row r="19" spans="1:50" ht="14.1" customHeight="1" x14ac:dyDescent="0.2">
      <c r="A19" s="585">
        <v>3</v>
      </c>
      <c r="B19" s="586">
        <v>2442</v>
      </c>
      <c r="C19" s="587">
        <v>600079066</v>
      </c>
      <c r="D19" s="586">
        <v>72742101</v>
      </c>
      <c r="E19" s="588" t="s">
        <v>577</v>
      </c>
      <c r="F19" s="585">
        <v>3111</v>
      </c>
      <c r="G19" s="588" t="s">
        <v>317</v>
      </c>
      <c r="H19" s="589" t="s">
        <v>283</v>
      </c>
      <c r="I19" s="495">
        <v>7842012</v>
      </c>
      <c r="J19" s="411">
        <v>5713566</v>
      </c>
      <c r="K19" s="520">
        <v>5000</v>
      </c>
      <c r="L19" s="520">
        <v>0</v>
      </c>
      <c r="M19" s="475">
        <v>1932875</v>
      </c>
      <c r="N19" s="496">
        <v>114271</v>
      </c>
      <c r="O19" s="411">
        <v>76300</v>
      </c>
      <c r="P19" s="412">
        <v>13.5322</v>
      </c>
      <c r="Q19" s="415">
        <v>10</v>
      </c>
      <c r="R19" s="685">
        <v>3.5322000000000005</v>
      </c>
      <c r="S19" s="499">
        <v>0</v>
      </c>
      <c r="T19" s="486">
        <v>0</v>
      </c>
      <c r="U19" s="486">
        <v>0</v>
      </c>
      <c r="V19" s="486">
        <f>SUM(S19:U19)</f>
        <v>0</v>
      </c>
      <c r="W19" s="486">
        <v>0</v>
      </c>
      <c r="X19" s="486">
        <v>0</v>
      </c>
      <c r="Y19" s="486">
        <f>SUM(W19:X19)</f>
        <v>0</v>
      </c>
      <c r="Z19" s="486">
        <f>V19+Y19</f>
        <v>0</v>
      </c>
      <c r="AA19" s="178">
        <f t="shared" si="1"/>
        <v>0</v>
      </c>
      <c r="AB19" s="745">
        <f>ROUND(V19*2%,0)</f>
        <v>0</v>
      </c>
      <c r="AC19" s="486">
        <v>0</v>
      </c>
      <c r="AD19" s="486">
        <v>0</v>
      </c>
      <c r="AE19" s="486">
        <f t="shared" si="2"/>
        <v>0</v>
      </c>
      <c r="AF19" s="486">
        <f t="shared" si="3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ref="AL19:AL21" si="18">AG19+AI19+AJ19</f>
        <v>0</v>
      </c>
      <c r="AM19" s="501">
        <f t="shared" ref="AM19:AM21" si="19">AH19+AK19</f>
        <v>0</v>
      </c>
      <c r="AN19" s="502">
        <f t="shared" si="4"/>
        <v>0</v>
      </c>
      <c r="AO19" s="499">
        <f>I19+AF19</f>
        <v>7842012</v>
      </c>
      <c r="AP19" s="486">
        <f>J19+V19</f>
        <v>5713566</v>
      </c>
      <c r="AQ19" s="486">
        <f>K19+Y19</f>
        <v>5000</v>
      </c>
      <c r="AR19" s="486">
        <f>L19</f>
        <v>0</v>
      </c>
      <c r="AS19" s="486">
        <f t="shared" ref="AS19:AT21" si="20">M19+AA19</f>
        <v>1932875</v>
      </c>
      <c r="AT19" s="486">
        <f t="shared" si="20"/>
        <v>114271</v>
      </c>
      <c r="AU19" s="486">
        <f>O19+AE19</f>
        <v>76300</v>
      </c>
      <c r="AV19" s="501">
        <f>P19+AN19</f>
        <v>13.5322</v>
      </c>
      <c r="AW19" s="501">
        <f t="shared" ref="AW19:AX21" si="21">Q19+AL19</f>
        <v>10</v>
      </c>
      <c r="AX19" s="502">
        <f t="shared" si="21"/>
        <v>3.5322000000000005</v>
      </c>
    </row>
    <row r="20" spans="1:50" ht="14.1" customHeight="1" x14ac:dyDescent="0.2">
      <c r="A20" s="585">
        <v>3</v>
      </c>
      <c r="B20" s="586">
        <v>2442</v>
      </c>
      <c r="C20" s="587">
        <v>600079066</v>
      </c>
      <c r="D20" s="586">
        <v>72742101</v>
      </c>
      <c r="E20" s="588" t="s">
        <v>577</v>
      </c>
      <c r="F20" s="585">
        <v>3111</v>
      </c>
      <c r="G20" s="208" t="s">
        <v>318</v>
      </c>
      <c r="H20" s="589" t="s">
        <v>284</v>
      </c>
      <c r="I20" s="495">
        <v>491979</v>
      </c>
      <c r="J20" s="496">
        <v>362282</v>
      </c>
      <c r="K20" s="475">
        <v>0</v>
      </c>
      <c r="L20" s="475">
        <v>0</v>
      </c>
      <c r="M20" s="475">
        <v>122451</v>
      </c>
      <c r="N20" s="496">
        <v>7246</v>
      </c>
      <c r="O20" s="496">
        <v>0</v>
      </c>
      <c r="P20" s="412">
        <v>1.05</v>
      </c>
      <c r="Q20" s="497">
        <v>1.05</v>
      </c>
      <c r="R20" s="498">
        <v>0</v>
      </c>
      <c r="S20" s="499"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178">
        <f t="shared" si="1"/>
        <v>0</v>
      </c>
      <c r="AB20" s="745">
        <f>ROUND(V20*2%,0)</f>
        <v>0</v>
      </c>
      <c r="AC20" s="486">
        <v>0</v>
      </c>
      <c r="AD20" s="486">
        <v>0</v>
      </c>
      <c r="AE20" s="486">
        <f t="shared" si="2"/>
        <v>0</v>
      </c>
      <c r="AF20" s="486">
        <f t="shared" si="3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8"/>
        <v>0</v>
      </c>
      <c r="AM20" s="501">
        <f t="shared" si="19"/>
        <v>0</v>
      </c>
      <c r="AN20" s="502">
        <f t="shared" si="4"/>
        <v>0</v>
      </c>
      <c r="AO20" s="499">
        <f>I20+AF20</f>
        <v>491979</v>
      </c>
      <c r="AP20" s="486">
        <f>J20+V20</f>
        <v>362282</v>
      </c>
      <c r="AQ20" s="486">
        <f>K20+Y20</f>
        <v>0</v>
      </c>
      <c r="AR20" s="486">
        <f>L20</f>
        <v>0</v>
      </c>
      <c r="AS20" s="486">
        <f t="shared" si="20"/>
        <v>122451</v>
      </c>
      <c r="AT20" s="486">
        <f t="shared" si="20"/>
        <v>7246</v>
      </c>
      <c r="AU20" s="486">
        <f>O20+AE20</f>
        <v>0</v>
      </c>
      <c r="AV20" s="501">
        <f>P20+AN20</f>
        <v>1.05</v>
      </c>
      <c r="AW20" s="501">
        <f t="shared" si="21"/>
        <v>1.05</v>
      </c>
      <c r="AX20" s="502">
        <f t="shared" si="21"/>
        <v>0</v>
      </c>
    </row>
    <row r="21" spans="1:50" ht="14.1" customHeight="1" x14ac:dyDescent="0.2">
      <c r="A21" s="585">
        <v>3</v>
      </c>
      <c r="B21" s="586">
        <v>2442</v>
      </c>
      <c r="C21" s="587">
        <v>600079066</v>
      </c>
      <c r="D21" s="586">
        <v>72742101</v>
      </c>
      <c r="E21" s="588" t="s">
        <v>577</v>
      </c>
      <c r="F21" s="585">
        <v>3141</v>
      </c>
      <c r="G21" s="588" t="s">
        <v>321</v>
      </c>
      <c r="H21" s="589" t="s">
        <v>284</v>
      </c>
      <c r="I21" s="495">
        <v>1096552</v>
      </c>
      <c r="J21" s="496">
        <v>799822</v>
      </c>
      <c r="K21" s="475">
        <v>3000</v>
      </c>
      <c r="L21" s="475">
        <v>0</v>
      </c>
      <c r="M21" s="475">
        <v>271354</v>
      </c>
      <c r="N21" s="496">
        <v>15996</v>
      </c>
      <c r="O21" s="496">
        <v>6380</v>
      </c>
      <c r="P21" s="412">
        <v>2.7300000000000004</v>
      </c>
      <c r="Q21" s="497">
        <v>0</v>
      </c>
      <c r="R21" s="498">
        <v>2.7300000000000004</v>
      </c>
      <c r="S21" s="499"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178">
        <f t="shared" si="1"/>
        <v>0</v>
      </c>
      <c r="AB21" s="745">
        <f>ROUND(V21*2%,0)</f>
        <v>0</v>
      </c>
      <c r="AC21" s="486">
        <v>0</v>
      </c>
      <c r="AD21" s="486">
        <v>0</v>
      </c>
      <c r="AE21" s="486">
        <f t="shared" si="2"/>
        <v>0</v>
      </c>
      <c r="AF21" s="486">
        <f t="shared" si="3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8"/>
        <v>0</v>
      </c>
      <c r="AM21" s="501">
        <f t="shared" si="19"/>
        <v>0</v>
      </c>
      <c r="AN21" s="502">
        <f t="shared" si="4"/>
        <v>0</v>
      </c>
      <c r="AO21" s="499">
        <f>I21+AF21</f>
        <v>1096552</v>
      </c>
      <c r="AP21" s="486">
        <f>J21+V21</f>
        <v>799822</v>
      </c>
      <c r="AQ21" s="486">
        <f>K21+Y21</f>
        <v>3000</v>
      </c>
      <c r="AR21" s="486">
        <f>L21</f>
        <v>0</v>
      </c>
      <c r="AS21" s="486">
        <f t="shared" si="20"/>
        <v>271354</v>
      </c>
      <c r="AT21" s="486">
        <f t="shared" si="20"/>
        <v>15996</v>
      </c>
      <c r="AU21" s="486">
        <f>O21+AE21</f>
        <v>6380</v>
      </c>
      <c r="AV21" s="501">
        <f>P21+AN21</f>
        <v>2.7300000000000004</v>
      </c>
      <c r="AW21" s="501">
        <f t="shared" si="21"/>
        <v>0</v>
      </c>
      <c r="AX21" s="502">
        <f t="shared" si="21"/>
        <v>2.7300000000000004</v>
      </c>
    </row>
    <row r="22" spans="1:50" ht="14.1" customHeight="1" x14ac:dyDescent="0.2">
      <c r="A22" s="181">
        <v>3</v>
      </c>
      <c r="B22" s="179">
        <v>2442</v>
      </c>
      <c r="C22" s="180">
        <v>600079066</v>
      </c>
      <c r="D22" s="179">
        <v>72742101</v>
      </c>
      <c r="E22" s="578" t="s">
        <v>578</v>
      </c>
      <c r="F22" s="181"/>
      <c r="G22" s="578"/>
      <c r="H22" s="579"/>
      <c r="I22" s="580">
        <v>9430543</v>
      </c>
      <c r="J22" s="581">
        <v>6875670</v>
      </c>
      <c r="K22" s="581">
        <v>8000</v>
      </c>
      <c r="L22" s="581">
        <v>0</v>
      </c>
      <c r="M22" s="581">
        <v>2326680</v>
      </c>
      <c r="N22" s="581">
        <v>137513</v>
      </c>
      <c r="O22" s="581">
        <v>82680</v>
      </c>
      <c r="P22" s="582">
        <v>17.312200000000001</v>
      </c>
      <c r="Q22" s="582">
        <v>11.05</v>
      </c>
      <c r="R22" s="584">
        <v>6.2622000000000009</v>
      </c>
      <c r="S22" s="583">
        <f t="shared" ref="S22:AX22" si="22">SUM(S19:S21)</f>
        <v>0</v>
      </c>
      <c r="T22" s="581">
        <f t="shared" si="22"/>
        <v>0</v>
      </c>
      <c r="U22" s="581">
        <f t="shared" si="22"/>
        <v>0</v>
      </c>
      <c r="V22" s="581">
        <f t="shared" si="22"/>
        <v>0</v>
      </c>
      <c r="W22" s="581">
        <f t="shared" si="22"/>
        <v>0</v>
      </c>
      <c r="X22" s="581">
        <f t="shared" si="22"/>
        <v>0</v>
      </c>
      <c r="Y22" s="581">
        <f t="shared" si="22"/>
        <v>0</v>
      </c>
      <c r="Z22" s="581">
        <f t="shared" si="22"/>
        <v>0</v>
      </c>
      <c r="AA22" s="581">
        <f t="shared" si="22"/>
        <v>0</v>
      </c>
      <c r="AB22" s="583">
        <f t="shared" si="22"/>
        <v>0</v>
      </c>
      <c r="AC22" s="581">
        <f t="shared" si="22"/>
        <v>0</v>
      </c>
      <c r="AD22" s="581">
        <f t="shared" si="22"/>
        <v>0</v>
      </c>
      <c r="AE22" s="581">
        <f t="shared" si="22"/>
        <v>0</v>
      </c>
      <c r="AF22" s="581">
        <f t="shared" si="22"/>
        <v>0</v>
      </c>
      <c r="AG22" s="582">
        <f t="shared" si="22"/>
        <v>0</v>
      </c>
      <c r="AH22" s="582">
        <f t="shared" si="22"/>
        <v>0</v>
      </c>
      <c r="AI22" s="582">
        <f t="shared" si="22"/>
        <v>0</v>
      </c>
      <c r="AJ22" s="582">
        <f t="shared" si="22"/>
        <v>0</v>
      </c>
      <c r="AK22" s="582">
        <f t="shared" si="22"/>
        <v>0</v>
      </c>
      <c r="AL22" s="582">
        <f t="shared" si="22"/>
        <v>0</v>
      </c>
      <c r="AM22" s="582">
        <f t="shared" si="22"/>
        <v>0</v>
      </c>
      <c r="AN22" s="584">
        <f t="shared" si="22"/>
        <v>0</v>
      </c>
      <c r="AO22" s="583">
        <f t="shared" si="22"/>
        <v>9430543</v>
      </c>
      <c r="AP22" s="581">
        <f t="shared" si="22"/>
        <v>6875670</v>
      </c>
      <c r="AQ22" s="581">
        <f t="shared" si="22"/>
        <v>8000</v>
      </c>
      <c r="AR22" s="581">
        <f t="shared" si="22"/>
        <v>0</v>
      </c>
      <c r="AS22" s="581">
        <f t="shared" si="22"/>
        <v>2326680</v>
      </c>
      <c r="AT22" s="581">
        <f t="shared" si="22"/>
        <v>137513</v>
      </c>
      <c r="AU22" s="581">
        <f t="shared" si="22"/>
        <v>82680</v>
      </c>
      <c r="AV22" s="582">
        <f t="shared" si="22"/>
        <v>17.312200000000001</v>
      </c>
      <c r="AW22" s="582">
        <f t="shared" si="22"/>
        <v>11.05</v>
      </c>
      <c r="AX22" s="584">
        <f t="shared" si="22"/>
        <v>6.2622000000000009</v>
      </c>
    </row>
    <row r="23" spans="1:50" ht="14.1" customHeight="1" x14ac:dyDescent="0.2">
      <c r="A23" s="585">
        <v>4</v>
      </c>
      <c r="B23" s="586">
        <v>2437</v>
      </c>
      <c r="C23" s="587">
        <v>600079074</v>
      </c>
      <c r="D23" s="586">
        <v>72743221</v>
      </c>
      <c r="E23" s="588" t="s">
        <v>579</v>
      </c>
      <c r="F23" s="585">
        <v>3111</v>
      </c>
      <c r="G23" s="588" t="s">
        <v>317</v>
      </c>
      <c r="H23" s="589" t="s">
        <v>283</v>
      </c>
      <c r="I23" s="495">
        <v>13007174</v>
      </c>
      <c r="J23" s="411">
        <v>9451527</v>
      </c>
      <c r="K23" s="520">
        <v>0</v>
      </c>
      <c r="L23" s="520">
        <v>0</v>
      </c>
      <c r="M23" s="475">
        <v>3194616</v>
      </c>
      <c r="N23" s="496">
        <v>189031</v>
      </c>
      <c r="O23" s="411">
        <v>172000</v>
      </c>
      <c r="P23" s="412">
        <v>22.127499999999998</v>
      </c>
      <c r="Q23" s="415">
        <v>16.483899999999998</v>
      </c>
      <c r="R23" s="685">
        <v>5.6435999999999993</v>
      </c>
      <c r="S23" s="499">
        <v>0</v>
      </c>
      <c r="T23" s="486">
        <v>0</v>
      </c>
      <c r="U23" s="486">
        <v>-36819</v>
      </c>
      <c r="V23" s="486">
        <f>SUM(S23:U23)</f>
        <v>-36819</v>
      </c>
      <c r="W23" s="486">
        <v>0</v>
      </c>
      <c r="X23" s="486">
        <v>0</v>
      </c>
      <c r="Y23" s="486">
        <f>SUM(W23:X23)</f>
        <v>0</v>
      </c>
      <c r="Z23" s="486">
        <f>V23+Y23</f>
        <v>-36819</v>
      </c>
      <c r="AA23" s="178">
        <f t="shared" si="1"/>
        <v>-12445</v>
      </c>
      <c r="AB23" s="745">
        <f>ROUND(V23*2%,0)</f>
        <v>-736</v>
      </c>
      <c r="AC23" s="486">
        <v>0</v>
      </c>
      <c r="AD23" s="486">
        <v>50000</v>
      </c>
      <c r="AE23" s="486">
        <f t="shared" si="2"/>
        <v>50000</v>
      </c>
      <c r="AF23" s="486">
        <f t="shared" si="3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ref="AL23:AL26" si="23">AG23+AI23+AJ23</f>
        <v>0</v>
      </c>
      <c r="AM23" s="501">
        <f t="shared" ref="AM23:AM26" si="24">AH23+AK23</f>
        <v>0</v>
      </c>
      <c r="AN23" s="502">
        <f t="shared" si="4"/>
        <v>0</v>
      </c>
      <c r="AO23" s="499">
        <f>I23+AF23</f>
        <v>13007174</v>
      </c>
      <c r="AP23" s="486">
        <f>J23+V23</f>
        <v>9414708</v>
      </c>
      <c r="AQ23" s="486">
        <f>K23+Y23</f>
        <v>0</v>
      </c>
      <c r="AR23" s="486">
        <f>L23</f>
        <v>0</v>
      </c>
      <c r="AS23" s="486">
        <f t="shared" ref="AS23:AT26" si="25">M23+AA23</f>
        <v>3182171</v>
      </c>
      <c r="AT23" s="486">
        <f t="shared" si="25"/>
        <v>188295</v>
      </c>
      <c r="AU23" s="486">
        <f>O23+AE23</f>
        <v>222000</v>
      </c>
      <c r="AV23" s="501">
        <f>P23+AN23</f>
        <v>22.127499999999998</v>
      </c>
      <c r="AW23" s="501">
        <f t="shared" ref="AW23:AX26" si="26">Q23+AL23</f>
        <v>16.483899999999998</v>
      </c>
      <c r="AX23" s="502">
        <f t="shared" si="26"/>
        <v>5.6435999999999993</v>
      </c>
    </row>
    <row r="24" spans="1:50" ht="14.1" customHeight="1" x14ac:dyDescent="0.2">
      <c r="A24" s="585">
        <v>4</v>
      </c>
      <c r="B24" s="586">
        <v>2437</v>
      </c>
      <c r="C24" s="587">
        <v>600079074</v>
      </c>
      <c r="D24" s="586">
        <v>72743221</v>
      </c>
      <c r="E24" s="588" t="s">
        <v>579</v>
      </c>
      <c r="F24" s="585">
        <v>3111</v>
      </c>
      <c r="G24" s="503" t="s">
        <v>319</v>
      </c>
      <c r="H24" s="589" t="s">
        <v>283</v>
      </c>
      <c r="I24" s="495">
        <v>695155</v>
      </c>
      <c r="J24" s="411">
        <v>511896</v>
      </c>
      <c r="K24" s="520">
        <v>0</v>
      </c>
      <c r="L24" s="520">
        <v>0</v>
      </c>
      <c r="M24" s="475">
        <v>173021</v>
      </c>
      <c r="N24" s="496">
        <v>10238</v>
      </c>
      <c r="O24" s="496">
        <v>0</v>
      </c>
      <c r="P24" s="412">
        <v>2</v>
      </c>
      <c r="Q24" s="415">
        <v>2</v>
      </c>
      <c r="R24" s="498">
        <v>0</v>
      </c>
      <c r="S24" s="499"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178">
        <f t="shared" si="1"/>
        <v>0</v>
      </c>
      <c r="AB24" s="745">
        <f>ROUND(V24*2%,0)</f>
        <v>0</v>
      </c>
      <c r="AC24" s="486">
        <v>0</v>
      </c>
      <c r="AD24" s="486">
        <v>0</v>
      </c>
      <c r="AE24" s="486">
        <f t="shared" si="2"/>
        <v>0</v>
      </c>
      <c r="AF24" s="486">
        <f t="shared" si="3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23"/>
        <v>0</v>
      </c>
      <c r="AM24" s="501">
        <f t="shared" si="24"/>
        <v>0</v>
      </c>
      <c r="AN24" s="502">
        <f t="shared" si="4"/>
        <v>0</v>
      </c>
      <c r="AO24" s="499">
        <f>I24+AF24</f>
        <v>695155</v>
      </c>
      <c r="AP24" s="486">
        <f>J24+V24</f>
        <v>511896</v>
      </c>
      <c r="AQ24" s="486">
        <f>K24+Y24</f>
        <v>0</v>
      </c>
      <c r="AR24" s="486">
        <f>L24</f>
        <v>0</v>
      </c>
      <c r="AS24" s="486">
        <f t="shared" si="25"/>
        <v>173021</v>
      </c>
      <c r="AT24" s="486">
        <f t="shared" si="25"/>
        <v>10238</v>
      </c>
      <c r="AU24" s="486">
        <f>O24+AE24</f>
        <v>0</v>
      </c>
      <c r="AV24" s="501">
        <f>P24+AN24</f>
        <v>2</v>
      </c>
      <c r="AW24" s="501">
        <f t="shared" si="26"/>
        <v>2</v>
      </c>
      <c r="AX24" s="502">
        <f t="shared" si="26"/>
        <v>0</v>
      </c>
    </row>
    <row r="25" spans="1:50" ht="14.1" customHeight="1" x14ac:dyDescent="0.2">
      <c r="A25" s="585">
        <v>4</v>
      </c>
      <c r="B25" s="586">
        <v>2437</v>
      </c>
      <c r="C25" s="587">
        <v>600079074</v>
      </c>
      <c r="D25" s="586">
        <v>72743221</v>
      </c>
      <c r="E25" s="588" t="s">
        <v>579</v>
      </c>
      <c r="F25" s="585">
        <v>3111</v>
      </c>
      <c r="G25" s="208" t="s">
        <v>318</v>
      </c>
      <c r="H25" s="589" t="s">
        <v>284</v>
      </c>
      <c r="I25" s="495">
        <v>0</v>
      </c>
      <c r="J25" s="496">
        <v>0</v>
      </c>
      <c r="K25" s="475">
        <v>0</v>
      </c>
      <c r="L25" s="475">
        <v>0</v>
      </c>
      <c r="M25" s="475">
        <v>0</v>
      </c>
      <c r="N25" s="496">
        <v>0</v>
      </c>
      <c r="O25" s="496">
        <v>0</v>
      </c>
      <c r="P25" s="412">
        <v>0</v>
      </c>
      <c r="Q25" s="497">
        <v>0</v>
      </c>
      <c r="R25" s="498">
        <v>0</v>
      </c>
      <c r="S25" s="499"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486">
        <v>0</v>
      </c>
      <c r="Y25" s="486">
        <f>SUM(W25:X25)</f>
        <v>0</v>
      </c>
      <c r="Z25" s="486">
        <f>V25+Y25</f>
        <v>0</v>
      </c>
      <c r="AA25" s="178">
        <f t="shared" si="1"/>
        <v>0</v>
      </c>
      <c r="AB25" s="745">
        <f>ROUND(V25*2%,0)</f>
        <v>0</v>
      </c>
      <c r="AC25" s="486">
        <v>0</v>
      </c>
      <c r="AD25" s="486">
        <v>0</v>
      </c>
      <c r="AE25" s="486">
        <f t="shared" si="2"/>
        <v>0</v>
      </c>
      <c r="AF25" s="486">
        <f t="shared" si="3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23"/>
        <v>0</v>
      </c>
      <c r="AM25" s="501">
        <f t="shared" si="24"/>
        <v>0</v>
      </c>
      <c r="AN25" s="502">
        <f t="shared" si="4"/>
        <v>0</v>
      </c>
      <c r="AO25" s="499">
        <f>I25+AF25</f>
        <v>0</v>
      </c>
      <c r="AP25" s="486">
        <f>J25+V25</f>
        <v>0</v>
      </c>
      <c r="AQ25" s="486">
        <f>K25+Y25</f>
        <v>0</v>
      </c>
      <c r="AR25" s="486">
        <f>L25</f>
        <v>0</v>
      </c>
      <c r="AS25" s="486">
        <f t="shared" si="25"/>
        <v>0</v>
      </c>
      <c r="AT25" s="486">
        <f t="shared" si="25"/>
        <v>0</v>
      </c>
      <c r="AU25" s="486">
        <f>O25+AE25</f>
        <v>0</v>
      </c>
      <c r="AV25" s="501">
        <f>P25+AN25</f>
        <v>0</v>
      </c>
      <c r="AW25" s="501">
        <f t="shared" si="26"/>
        <v>0</v>
      </c>
      <c r="AX25" s="502">
        <f t="shared" si="26"/>
        <v>0</v>
      </c>
    </row>
    <row r="26" spans="1:50" ht="14.1" customHeight="1" x14ac:dyDescent="0.2">
      <c r="A26" s="585">
        <v>4</v>
      </c>
      <c r="B26" s="586">
        <v>2437</v>
      </c>
      <c r="C26" s="587">
        <v>600079074</v>
      </c>
      <c r="D26" s="586">
        <v>72743221</v>
      </c>
      <c r="E26" s="588" t="s">
        <v>579</v>
      </c>
      <c r="F26" s="585">
        <v>3141</v>
      </c>
      <c r="G26" s="588" t="s">
        <v>321</v>
      </c>
      <c r="H26" s="589" t="s">
        <v>284</v>
      </c>
      <c r="I26" s="495">
        <v>1487071</v>
      </c>
      <c r="J26" s="496">
        <v>1088468</v>
      </c>
      <c r="K26" s="475">
        <v>0</v>
      </c>
      <c r="L26" s="475">
        <v>0</v>
      </c>
      <c r="M26" s="475">
        <v>367902</v>
      </c>
      <c r="N26" s="496">
        <v>21769</v>
      </c>
      <c r="O26" s="496">
        <v>8932</v>
      </c>
      <c r="P26" s="412">
        <v>3.6999999999999997</v>
      </c>
      <c r="Q26" s="497">
        <v>0</v>
      </c>
      <c r="R26" s="498">
        <v>3.6999999999999997</v>
      </c>
      <c r="S26" s="499">
        <v>0</v>
      </c>
      <c r="T26" s="486">
        <v>0</v>
      </c>
      <c r="U26" s="486">
        <v>0</v>
      </c>
      <c r="V26" s="486">
        <f>SUM(S26:U26)</f>
        <v>0</v>
      </c>
      <c r="W26" s="486">
        <v>0</v>
      </c>
      <c r="X26" s="486">
        <v>0</v>
      </c>
      <c r="Y26" s="486">
        <f>SUM(W26:X26)</f>
        <v>0</v>
      </c>
      <c r="Z26" s="486">
        <f>V26+Y26</f>
        <v>0</v>
      </c>
      <c r="AA26" s="178">
        <f t="shared" si="1"/>
        <v>0</v>
      </c>
      <c r="AB26" s="745">
        <f>ROUND(V26*2%,0)</f>
        <v>0</v>
      </c>
      <c r="AC26" s="486">
        <v>0</v>
      </c>
      <c r="AD26" s="486">
        <v>0</v>
      </c>
      <c r="AE26" s="486">
        <f t="shared" si="2"/>
        <v>0</v>
      </c>
      <c r="AF26" s="486">
        <f t="shared" si="3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23"/>
        <v>0</v>
      </c>
      <c r="AM26" s="501">
        <f t="shared" si="24"/>
        <v>0</v>
      </c>
      <c r="AN26" s="502">
        <f t="shared" si="4"/>
        <v>0</v>
      </c>
      <c r="AO26" s="499">
        <f>I26+AF26</f>
        <v>1487071</v>
      </c>
      <c r="AP26" s="486">
        <f>J26+V26</f>
        <v>1088468</v>
      </c>
      <c r="AQ26" s="486">
        <f>K26+Y26</f>
        <v>0</v>
      </c>
      <c r="AR26" s="486">
        <f>L26</f>
        <v>0</v>
      </c>
      <c r="AS26" s="486">
        <f t="shared" si="25"/>
        <v>367902</v>
      </c>
      <c r="AT26" s="486">
        <f t="shared" si="25"/>
        <v>21769</v>
      </c>
      <c r="AU26" s="486">
        <f>O26+AE26</f>
        <v>8932</v>
      </c>
      <c r="AV26" s="501">
        <f>P26+AN26</f>
        <v>3.6999999999999997</v>
      </c>
      <c r="AW26" s="501">
        <f t="shared" si="26"/>
        <v>0</v>
      </c>
      <c r="AX26" s="502">
        <f t="shared" si="26"/>
        <v>3.6999999999999997</v>
      </c>
    </row>
    <row r="27" spans="1:50" ht="14.1" customHeight="1" x14ac:dyDescent="0.2">
      <c r="A27" s="181">
        <v>4</v>
      </c>
      <c r="B27" s="179">
        <v>2437</v>
      </c>
      <c r="C27" s="180">
        <v>600079074</v>
      </c>
      <c r="D27" s="179">
        <v>72743221</v>
      </c>
      <c r="E27" s="578" t="s">
        <v>580</v>
      </c>
      <c r="F27" s="181"/>
      <c r="G27" s="578"/>
      <c r="H27" s="579"/>
      <c r="I27" s="580">
        <v>15189400</v>
      </c>
      <c r="J27" s="581">
        <v>11051891</v>
      </c>
      <c r="K27" s="581">
        <v>0</v>
      </c>
      <c r="L27" s="581">
        <v>0</v>
      </c>
      <c r="M27" s="581">
        <v>3735539</v>
      </c>
      <c r="N27" s="581">
        <v>221038</v>
      </c>
      <c r="O27" s="581">
        <v>180932</v>
      </c>
      <c r="P27" s="582">
        <v>27.827499999999997</v>
      </c>
      <c r="Q27" s="582">
        <v>18.483899999999998</v>
      </c>
      <c r="R27" s="584">
        <v>9.3435999999999986</v>
      </c>
      <c r="S27" s="583">
        <f t="shared" ref="S27:AX27" si="27">SUM(S23:S26)</f>
        <v>0</v>
      </c>
      <c r="T27" s="581">
        <f t="shared" si="27"/>
        <v>0</v>
      </c>
      <c r="U27" s="581">
        <f t="shared" si="27"/>
        <v>-36819</v>
      </c>
      <c r="V27" s="581">
        <f t="shared" si="27"/>
        <v>-36819</v>
      </c>
      <c r="W27" s="581">
        <f t="shared" si="27"/>
        <v>0</v>
      </c>
      <c r="X27" s="581">
        <f t="shared" si="27"/>
        <v>0</v>
      </c>
      <c r="Y27" s="581">
        <f t="shared" si="27"/>
        <v>0</v>
      </c>
      <c r="Z27" s="581">
        <f t="shared" si="27"/>
        <v>-36819</v>
      </c>
      <c r="AA27" s="581">
        <f t="shared" si="27"/>
        <v>-12445</v>
      </c>
      <c r="AB27" s="583">
        <f t="shared" si="27"/>
        <v>-736</v>
      </c>
      <c r="AC27" s="581">
        <f t="shared" si="27"/>
        <v>0</v>
      </c>
      <c r="AD27" s="581">
        <f t="shared" si="27"/>
        <v>50000</v>
      </c>
      <c r="AE27" s="581">
        <f t="shared" si="27"/>
        <v>50000</v>
      </c>
      <c r="AF27" s="581">
        <f t="shared" si="27"/>
        <v>0</v>
      </c>
      <c r="AG27" s="582">
        <f t="shared" si="27"/>
        <v>0</v>
      </c>
      <c r="AH27" s="582">
        <f t="shared" si="27"/>
        <v>0</v>
      </c>
      <c r="AI27" s="582">
        <f t="shared" si="27"/>
        <v>0</v>
      </c>
      <c r="AJ27" s="582">
        <f t="shared" si="27"/>
        <v>0</v>
      </c>
      <c r="AK27" s="582">
        <f t="shared" si="27"/>
        <v>0</v>
      </c>
      <c r="AL27" s="582">
        <f t="shared" si="27"/>
        <v>0</v>
      </c>
      <c r="AM27" s="582">
        <f t="shared" si="27"/>
        <v>0</v>
      </c>
      <c r="AN27" s="584">
        <f t="shared" si="27"/>
        <v>0</v>
      </c>
      <c r="AO27" s="583">
        <f t="shared" si="27"/>
        <v>15189400</v>
      </c>
      <c r="AP27" s="581">
        <f t="shared" si="27"/>
        <v>11015072</v>
      </c>
      <c r="AQ27" s="581">
        <f t="shared" si="27"/>
        <v>0</v>
      </c>
      <c r="AR27" s="581">
        <f t="shared" si="27"/>
        <v>0</v>
      </c>
      <c r="AS27" s="581">
        <f t="shared" si="27"/>
        <v>3723094</v>
      </c>
      <c r="AT27" s="581">
        <f t="shared" si="27"/>
        <v>220302</v>
      </c>
      <c r="AU27" s="581">
        <f t="shared" si="27"/>
        <v>230932</v>
      </c>
      <c r="AV27" s="582">
        <f t="shared" si="27"/>
        <v>27.827499999999997</v>
      </c>
      <c r="AW27" s="582">
        <f t="shared" si="27"/>
        <v>18.483899999999998</v>
      </c>
      <c r="AX27" s="584">
        <f t="shared" si="27"/>
        <v>9.3435999999999986</v>
      </c>
    </row>
    <row r="28" spans="1:50" ht="14.1" customHeight="1" x14ac:dyDescent="0.2">
      <c r="A28" s="585">
        <v>5</v>
      </c>
      <c r="B28" s="586">
        <v>2411</v>
      </c>
      <c r="C28" s="587">
        <v>600079554</v>
      </c>
      <c r="D28" s="586">
        <v>72742666</v>
      </c>
      <c r="E28" s="588" t="s">
        <v>581</v>
      </c>
      <c r="F28" s="585">
        <v>3111</v>
      </c>
      <c r="G28" s="588" t="s">
        <v>317</v>
      </c>
      <c r="H28" s="589" t="s">
        <v>283</v>
      </c>
      <c r="I28" s="495">
        <v>6762632</v>
      </c>
      <c r="J28" s="411">
        <v>4931864</v>
      </c>
      <c r="K28" s="520">
        <v>1092</v>
      </c>
      <c r="L28" s="520">
        <v>0</v>
      </c>
      <c r="M28" s="475">
        <v>1667339</v>
      </c>
      <c r="N28" s="496">
        <v>98637</v>
      </c>
      <c r="O28" s="411">
        <v>63700</v>
      </c>
      <c r="P28" s="412">
        <v>11.2875</v>
      </c>
      <c r="Q28" s="415">
        <v>8.4192999999999998</v>
      </c>
      <c r="R28" s="685">
        <v>2.8681999999999999</v>
      </c>
      <c r="S28" s="499">
        <v>0</v>
      </c>
      <c r="T28" s="486">
        <v>0</v>
      </c>
      <c r="U28" s="486">
        <v>0</v>
      </c>
      <c r="V28" s="486">
        <f>SUM(S28:U28)</f>
        <v>0</v>
      </c>
      <c r="W28" s="486">
        <v>0</v>
      </c>
      <c r="X28" s="486">
        <v>0</v>
      </c>
      <c r="Y28" s="486">
        <f>SUM(W28:X28)</f>
        <v>0</v>
      </c>
      <c r="Z28" s="486">
        <f>V28+Y28</f>
        <v>0</v>
      </c>
      <c r="AA28" s="178">
        <f t="shared" si="1"/>
        <v>0</v>
      </c>
      <c r="AB28" s="745">
        <f>ROUND(V28*2%,0)</f>
        <v>0</v>
      </c>
      <c r="AC28" s="486">
        <v>0</v>
      </c>
      <c r="AD28" s="486">
        <v>0</v>
      </c>
      <c r="AE28" s="486">
        <f t="shared" si="2"/>
        <v>0</v>
      </c>
      <c r="AF28" s="486">
        <f t="shared" si="3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ref="AL28:AL29" si="28">AG28+AI28+AJ28</f>
        <v>0</v>
      </c>
      <c r="AM28" s="501">
        <f t="shared" ref="AM28:AM29" si="29">AH28+AK28</f>
        <v>0</v>
      </c>
      <c r="AN28" s="502">
        <f t="shared" si="4"/>
        <v>0</v>
      </c>
      <c r="AO28" s="499">
        <f>I28+AF28</f>
        <v>6762632</v>
      </c>
      <c r="AP28" s="486">
        <f>J28+V28</f>
        <v>4931864</v>
      </c>
      <c r="AQ28" s="486">
        <f>K28+Y28</f>
        <v>1092</v>
      </c>
      <c r="AR28" s="486">
        <f>L28</f>
        <v>0</v>
      </c>
      <c r="AS28" s="486">
        <f>M28+AA28</f>
        <v>1667339</v>
      </c>
      <c r="AT28" s="486">
        <f>N28+AB28</f>
        <v>98637</v>
      </c>
      <c r="AU28" s="486">
        <f>O28+AE28</f>
        <v>63700</v>
      </c>
      <c r="AV28" s="501">
        <f>P28+AN28</f>
        <v>11.2875</v>
      </c>
      <c r="AW28" s="501">
        <f>Q28+AL28</f>
        <v>8.4192999999999998</v>
      </c>
      <c r="AX28" s="502">
        <f>R28+AM28</f>
        <v>2.8681999999999999</v>
      </c>
    </row>
    <row r="29" spans="1:50" ht="14.1" customHeight="1" x14ac:dyDescent="0.2">
      <c r="A29" s="585">
        <v>5</v>
      </c>
      <c r="B29" s="586">
        <v>2411</v>
      </c>
      <c r="C29" s="587">
        <v>600079554</v>
      </c>
      <c r="D29" s="586">
        <v>72742666</v>
      </c>
      <c r="E29" s="588" t="s">
        <v>581</v>
      </c>
      <c r="F29" s="585">
        <v>3141</v>
      </c>
      <c r="G29" s="588" t="s">
        <v>321</v>
      </c>
      <c r="H29" s="589" t="s">
        <v>284</v>
      </c>
      <c r="I29" s="495">
        <v>957662</v>
      </c>
      <c r="J29" s="496">
        <v>701314</v>
      </c>
      <c r="K29" s="475">
        <v>0</v>
      </c>
      <c r="L29" s="475">
        <v>0</v>
      </c>
      <c r="M29" s="475">
        <v>237044</v>
      </c>
      <c r="N29" s="496">
        <v>14026</v>
      </c>
      <c r="O29" s="496">
        <v>5278</v>
      </c>
      <c r="P29" s="412">
        <v>2.39</v>
      </c>
      <c r="Q29" s="497">
        <v>0</v>
      </c>
      <c r="R29" s="498">
        <v>2.39</v>
      </c>
      <c r="S29" s="499"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486">
        <v>0</v>
      </c>
      <c r="Y29" s="486">
        <f>SUM(W29:X29)</f>
        <v>0</v>
      </c>
      <c r="Z29" s="486">
        <f>V29+Y29</f>
        <v>0</v>
      </c>
      <c r="AA29" s="178">
        <f t="shared" si="1"/>
        <v>0</v>
      </c>
      <c r="AB29" s="745">
        <f>ROUND(V29*2%,0)</f>
        <v>0</v>
      </c>
      <c r="AC29" s="486">
        <v>0</v>
      </c>
      <c r="AD29" s="486">
        <v>0</v>
      </c>
      <c r="AE29" s="486">
        <f t="shared" si="2"/>
        <v>0</v>
      </c>
      <c r="AF29" s="486">
        <f t="shared" si="3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28"/>
        <v>0</v>
      </c>
      <c r="AM29" s="501">
        <f t="shared" si="29"/>
        <v>0</v>
      </c>
      <c r="AN29" s="502">
        <f t="shared" si="4"/>
        <v>0</v>
      </c>
      <c r="AO29" s="499">
        <f>I29+AF29</f>
        <v>957662</v>
      </c>
      <c r="AP29" s="486">
        <f>J29+V29</f>
        <v>701314</v>
      </c>
      <c r="AQ29" s="486">
        <f>K29+Y29</f>
        <v>0</v>
      </c>
      <c r="AR29" s="486">
        <f>L29</f>
        <v>0</v>
      </c>
      <c r="AS29" s="486">
        <f>M29+AA29</f>
        <v>237044</v>
      </c>
      <c r="AT29" s="486">
        <f>N29+AB29</f>
        <v>14026</v>
      </c>
      <c r="AU29" s="486">
        <f>O29+AE29</f>
        <v>5278</v>
      </c>
      <c r="AV29" s="501">
        <f>P29+AN29</f>
        <v>2.39</v>
      </c>
      <c r="AW29" s="501">
        <f>Q29+AL29</f>
        <v>0</v>
      </c>
      <c r="AX29" s="502">
        <f>R29+AM29</f>
        <v>2.39</v>
      </c>
    </row>
    <row r="30" spans="1:50" ht="14.1" customHeight="1" x14ac:dyDescent="0.2">
      <c r="A30" s="181">
        <v>5</v>
      </c>
      <c r="B30" s="179">
        <v>2411</v>
      </c>
      <c r="C30" s="180">
        <v>600079554</v>
      </c>
      <c r="D30" s="179">
        <v>72742666</v>
      </c>
      <c r="E30" s="578" t="s">
        <v>582</v>
      </c>
      <c r="F30" s="181"/>
      <c r="G30" s="578"/>
      <c r="H30" s="579"/>
      <c r="I30" s="580">
        <v>7720294</v>
      </c>
      <c r="J30" s="581">
        <v>5633178</v>
      </c>
      <c r="K30" s="581">
        <v>1092</v>
      </c>
      <c r="L30" s="581">
        <v>0</v>
      </c>
      <c r="M30" s="581">
        <v>1904383</v>
      </c>
      <c r="N30" s="581">
        <v>112663</v>
      </c>
      <c r="O30" s="581">
        <v>68978</v>
      </c>
      <c r="P30" s="582">
        <v>13.6775</v>
      </c>
      <c r="Q30" s="582">
        <v>8.4192999999999998</v>
      </c>
      <c r="R30" s="584">
        <v>5.2582000000000004</v>
      </c>
      <c r="S30" s="583">
        <f t="shared" ref="S30:AX30" si="30">SUM(S28:S29)</f>
        <v>0</v>
      </c>
      <c r="T30" s="581">
        <f t="shared" si="30"/>
        <v>0</v>
      </c>
      <c r="U30" s="581">
        <f t="shared" si="30"/>
        <v>0</v>
      </c>
      <c r="V30" s="581">
        <f t="shared" si="30"/>
        <v>0</v>
      </c>
      <c r="W30" s="581">
        <f t="shared" si="30"/>
        <v>0</v>
      </c>
      <c r="X30" s="581">
        <f t="shared" si="30"/>
        <v>0</v>
      </c>
      <c r="Y30" s="581">
        <f t="shared" si="30"/>
        <v>0</v>
      </c>
      <c r="Z30" s="581">
        <f t="shared" si="30"/>
        <v>0</v>
      </c>
      <c r="AA30" s="581">
        <f t="shared" si="30"/>
        <v>0</v>
      </c>
      <c r="AB30" s="583">
        <f t="shared" si="30"/>
        <v>0</v>
      </c>
      <c r="AC30" s="581">
        <f t="shared" si="30"/>
        <v>0</v>
      </c>
      <c r="AD30" s="581">
        <f t="shared" si="30"/>
        <v>0</v>
      </c>
      <c r="AE30" s="581">
        <f t="shared" si="30"/>
        <v>0</v>
      </c>
      <c r="AF30" s="581">
        <f t="shared" si="30"/>
        <v>0</v>
      </c>
      <c r="AG30" s="582">
        <f t="shared" si="30"/>
        <v>0</v>
      </c>
      <c r="AH30" s="582">
        <f t="shared" si="30"/>
        <v>0</v>
      </c>
      <c r="AI30" s="582">
        <f t="shared" si="30"/>
        <v>0</v>
      </c>
      <c r="AJ30" s="582">
        <f t="shared" si="30"/>
        <v>0</v>
      </c>
      <c r="AK30" s="582">
        <f t="shared" si="30"/>
        <v>0</v>
      </c>
      <c r="AL30" s="582">
        <f t="shared" si="30"/>
        <v>0</v>
      </c>
      <c r="AM30" s="582">
        <f t="shared" si="30"/>
        <v>0</v>
      </c>
      <c r="AN30" s="584">
        <f t="shared" si="30"/>
        <v>0</v>
      </c>
      <c r="AO30" s="583">
        <f t="shared" si="30"/>
        <v>7720294</v>
      </c>
      <c r="AP30" s="581">
        <f t="shared" si="30"/>
        <v>5633178</v>
      </c>
      <c r="AQ30" s="581">
        <f t="shared" si="30"/>
        <v>1092</v>
      </c>
      <c r="AR30" s="581">
        <f t="shared" si="30"/>
        <v>0</v>
      </c>
      <c r="AS30" s="581">
        <f t="shared" si="30"/>
        <v>1904383</v>
      </c>
      <c r="AT30" s="581">
        <f t="shared" si="30"/>
        <v>112663</v>
      </c>
      <c r="AU30" s="581">
        <f t="shared" si="30"/>
        <v>68978</v>
      </c>
      <c r="AV30" s="582">
        <f t="shared" si="30"/>
        <v>13.6775</v>
      </c>
      <c r="AW30" s="582">
        <f t="shared" si="30"/>
        <v>8.4192999999999998</v>
      </c>
      <c r="AX30" s="584">
        <f t="shared" si="30"/>
        <v>5.2582000000000004</v>
      </c>
    </row>
    <row r="31" spans="1:50" ht="14.1" customHeight="1" x14ac:dyDescent="0.2">
      <c r="A31" s="585">
        <v>6</v>
      </c>
      <c r="B31" s="586">
        <v>2407</v>
      </c>
      <c r="C31" s="587">
        <v>600079520</v>
      </c>
      <c r="D31" s="586">
        <v>72741465</v>
      </c>
      <c r="E31" s="588" t="s">
        <v>583</v>
      </c>
      <c r="F31" s="585">
        <v>3111</v>
      </c>
      <c r="G31" s="588" t="s">
        <v>317</v>
      </c>
      <c r="H31" s="589" t="s">
        <v>283</v>
      </c>
      <c r="I31" s="495">
        <v>13460103</v>
      </c>
      <c r="J31" s="411">
        <v>9808594</v>
      </c>
      <c r="K31" s="520">
        <v>2640</v>
      </c>
      <c r="L31" s="520">
        <v>0</v>
      </c>
      <c r="M31" s="475">
        <v>3316197</v>
      </c>
      <c r="N31" s="496">
        <v>196172</v>
      </c>
      <c r="O31" s="411">
        <v>136500</v>
      </c>
      <c r="P31" s="412">
        <v>22.901199999999999</v>
      </c>
      <c r="Q31" s="415">
        <v>17.461600000000001</v>
      </c>
      <c r="R31" s="685">
        <v>5.4396000000000004</v>
      </c>
      <c r="S31" s="499">
        <v>0</v>
      </c>
      <c r="T31" s="486">
        <v>0</v>
      </c>
      <c r="U31" s="486">
        <v>0</v>
      </c>
      <c r="V31" s="486">
        <f>SUM(S31:U31)</f>
        <v>0</v>
      </c>
      <c r="W31" s="486">
        <v>0</v>
      </c>
      <c r="X31" s="486">
        <v>0</v>
      </c>
      <c r="Y31" s="486">
        <f>SUM(W31:X31)</f>
        <v>0</v>
      </c>
      <c r="Z31" s="486">
        <f>V31+Y31</f>
        <v>0</v>
      </c>
      <c r="AA31" s="178">
        <f t="shared" si="1"/>
        <v>0</v>
      </c>
      <c r="AB31" s="745">
        <f>ROUND(V31*2%,0)</f>
        <v>0</v>
      </c>
      <c r="AC31" s="486">
        <v>0</v>
      </c>
      <c r="AD31" s="486">
        <v>45000</v>
      </c>
      <c r="AE31" s="486">
        <f t="shared" si="2"/>
        <v>45000</v>
      </c>
      <c r="AF31" s="486">
        <f t="shared" si="3"/>
        <v>45000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ref="AL31:AL33" si="31">AG31+AI31+AJ31</f>
        <v>0</v>
      </c>
      <c r="AM31" s="501">
        <f t="shared" ref="AM31:AM33" si="32">AH31+AK31</f>
        <v>0</v>
      </c>
      <c r="AN31" s="502">
        <f t="shared" si="4"/>
        <v>0</v>
      </c>
      <c r="AO31" s="499">
        <f>I31+AF31</f>
        <v>13505103</v>
      </c>
      <c r="AP31" s="486">
        <f>J31+V31</f>
        <v>9808594</v>
      </c>
      <c r="AQ31" s="486">
        <f>K31+Y31</f>
        <v>2640</v>
      </c>
      <c r="AR31" s="486">
        <f>L31</f>
        <v>0</v>
      </c>
      <c r="AS31" s="486">
        <f t="shared" ref="AS31:AT33" si="33">M31+AA31</f>
        <v>3316197</v>
      </c>
      <c r="AT31" s="486">
        <f t="shared" si="33"/>
        <v>196172</v>
      </c>
      <c r="AU31" s="486">
        <f>O31+AE31</f>
        <v>181500</v>
      </c>
      <c r="AV31" s="501">
        <f>P31+AN31</f>
        <v>22.901199999999999</v>
      </c>
      <c r="AW31" s="501">
        <f t="shared" ref="AW31:AX33" si="34">Q31+AL31</f>
        <v>17.461600000000001</v>
      </c>
      <c r="AX31" s="502">
        <f t="shared" si="34"/>
        <v>5.4396000000000004</v>
      </c>
    </row>
    <row r="32" spans="1:50" ht="14.1" customHeight="1" x14ac:dyDescent="0.2">
      <c r="A32" s="585">
        <v>6</v>
      </c>
      <c r="B32" s="586">
        <v>2407</v>
      </c>
      <c r="C32" s="587">
        <v>600079520</v>
      </c>
      <c r="D32" s="586">
        <v>72741465</v>
      </c>
      <c r="E32" s="588" t="s">
        <v>583</v>
      </c>
      <c r="F32" s="585">
        <v>3111</v>
      </c>
      <c r="G32" s="208" t="s">
        <v>318</v>
      </c>
      <c r="H32" s="589" t="s">
        <v>284</v>
      </c>
      <c r="I32" s="495">
        <v>1154838</v>
      </c>
      <c r="J32" s="496">
        <v>850396</v>
      </c>
      <c r="K32" s="475">
        <v>0</v>
      </c>
      <c r="L32" s="475">
        <v>0</v>
      </c>
      <c r="M32" s="475">
        <v>287434</v>
      </c>
      <c r="N32" s="496">
        <v>17008</v>
      </c>
      <c r="O32" s="496">
        <v>0</v>
      </c>
      <c r="P32" s="412">
        <v>2.69</v>
      </c>
      <c r="Q32" s="497">
        <v>2.69</v>
      </c>
      <c r="R32" s="498">
        <v>0</v>
      </c>
      <c r="S32" s="499">
        <v>0</v>
      </c>
      <c r="T32" s="486">
        <v>1890</v>
      </c>
      <c r="U32" s="486">
        <v>0</v>
      </c>
      <c r="V32" s="486">
        <f>SUM(S32:U32)</f>
        <v>1890</v>
      </c>
      <c r="W32" s="486">
        <v>0</v>
      </c>
      <c r="X32" s="486">
        <v>0</v>
      </c>
      <c r="Y32" s="486">
        <f>SUM(W32:X32)</f>
        <v>0</v>
      </c>
      <c r="Z32" s="486">
        <f>V32+Y32</f>
        <v>1890</v>
      </c>
      <c r="AA32" s="178">
        <f t="shared" si="1"/>
        <v>639</v>
      </c>
      <c r="AB32" s="745">
        <f>ROUND(V32*2%,0)</f>
        <v>38</v>
      </c>
      <c r="AC32" s="486">
        <v>0</v>
      </c>
      <c r="AD32" s="486">
        <v>0</v>
      </c>
      <c r="AE32" s="486">
        <f t="shared" si="2"/>
        <v>0</v>
      </c>
      <c r="AF32" s="486">
        <f t="shared" si="3"/>
        <v>2567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si="31"/>
        <v>0</v>
      </c>
      <c r="AM32" s="501">
        <f t="shared" si="32"/>
        <v>0</v>
      </c>
      <c r="AN32" s="502">
        <f t="shared" si="4"/>
        <v>0</v>
      </c>
      <c r="AO32" s="499">
        <f>I32+AF32</f>
        <v>1157405</v>
      </c>
      <c r="AP32" s="486">
        <f>J32+V32</f>
        <v>852286</v>
      </c>
      <c r="AQ32" s="486">
        <f>K32+Y32</f>
        <v>0</v>
      </c>
      <c r="AR32" s="486">
        <f>L32</f>
        <v>0</v>
      </c>
      <c r="AS32" s="486">
        <f t="shared" si="33"/>
        <v>288073</v>
      </c>
      <c r="AT32" s="486">
        <f t="shared" si="33"/>
        <v>17046</v>
      </c>
      <c r="AU32" s="486">
        <f>O32+AE32</f>
        <v>0</v>
      </c>
      <c r="AV32" s="501">
        <f>P32+AN32</f>
        <v>2.69</v>
      </c>
      <c r="AW32" s="501">
        <f t="shared" si="34"/>
        <v>2.69</v>
      </c>
      <c r="AX32" s="502">
        <f t="shared" si="34"/>
        <v>0</v>
      </c>
    </row>
    <row r="33" spans="1:50" ht="14.1" customHeight="1" x14ac:dyDescent="0.2">
      <c r="A33" s="585">
        <v>6</v>
      </c>
      <c r="B33" s="586">
        <v>2407</v>
      </c>
      <c r="C33" s="587">
        <v>600079520</v>
      </c>
      <c r="D33" s="586">
        <v>72741465</v>
      </c>
      <c r="E33" s="588" t="s">
        <v>583</v>
      </c>
      <c r="F33" s="585">
        <v>3141</v>
      </c>
      <c r="G33" s="588" t="s">
        <v>321</v>
      </c>
      <c r="H33" s="589" t="s">
        <v>284</v>
      </c>
      <c r="I33" s="495">
        <v>1842666</v>
      </c>
      <c r="J33" s="496">
        <v>1348568</v>
      </c>
      <c r="K33" s="475">
        <v>0</v>
      </c>
      <c r="L33" s="475">
        <v>0</v>
      </c>
      <c r="M33" s="475">
        <v>455816</v>
      </c>
      <c r="N33" s="496">
        <v>26972</v>
      </c>
      <c r="O33" s="496">
        <v>11310</v>
      </c>
      <c r="P33" s="412">
        <v>4.59</v>
      </c>
      <c r="Q33" s="497">
        <v>0</v>
      </c>
      <c r="R33" s="498">
        <v>4.59</v>
      </c>
      <c r="S33" s="499"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178">
        <f t="shared" si="1"/>
        <v>0</v>
      </c>
      <c r="AB33" s="745">
        <f>ROUND(V33*2%,0)</f>
        <v>0</v>
      </c>
      <c r="AC33" s="486">
        <v>0</v>
      </c>
      <c r="AD33" s="486">
        <v>0</v>
      </c>
      <c r="AE33" s="486">
        <f t="shared" si="2"/>
        <v>0</v>
      </c>
      <c r="AF33" s="486">
        <f t="shared" si="3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31"/>
        <v>0</v>
      </c>
      <c r="AM33" s="501">
        <f t="shared" si="32"/>
        <v>0</v>
      </c>
      <c r="AN33" s="502">
        <f t="shared" si="4"/>
        <v>0</v>
      </c>
      <c r="AO33" s="499">
        <f>I33+AF33</f>
        <v>1842666</v>
      </c>
      <c r="AP33" s="486">
        <f>J33+V33</f>
        <v>1348568</v>
      </c>
      <c r="AQ33" s="486">
        <f>K33+Y33</f>
        <v>0</v>
      </c>
      <c r="AR33" s="486">
        <f>L33</f>
        <v>0</v>
      </c>
      <c r="AS33" s="486">
        <f t="shared" si="33"/>
        <v>455816</v>
      </c>
      <c r="AT33" s="486">
        <f t="shared" si="33"/>
        <v>26972</v>
      </c>
      <c r="AU33" s="486">
        <f>O33+AE33</f>
        <v>11310</v>
      </c>
      <c r="AV33" s="501">
        <f>P33+AN33</f>
        <v>4.59</v>
      </c>
      <c r="AW33" s="501">
        <f t="shared" si="34"/>
        <v>0</v>
      </c>
      <c r="AX33" s="502">
        <f t="shared" si="34"/>
        <v>4.59</v>
      </c>
    </row>
    <row r="34" spans="1:50" ht="14.1" customHeight="1" x14ac:dyDescent="0.2">
      <c r="A34" s="181">
        <v>6</v>
      </c>
      <c r="B34" s="179">
        <v>2407</v>
      </c>
      <c r="C34" s="180">
        <v>600079520</v>
      </c>
      <c r="D34" s="179">
        <v>72741465</v>
      </c>
      <c r="E34" s="578" t="s">
        <v>584</v>
      </c>
      <c r="F34" s="181"/>
      <c r="G34" s="578"/>
      <c r="H34" s="579"/>
      <c r="I34" s="580">
        <v>16457607</v>
      </c>
      <c r="J34" s="581">
        <v>12007558</v>
      </c>
      <c r="K34" s="581">
        <v>2640</v>
      </c>
      <c r="L34" s="581">
        <v>0</v>
      </c>
      <c r="M34" s="581">
        <v>4059447</v>
      </c>
      <c r="N34" s="581">
        <v>240152</v>
      </c>
      <c r="O34" s="581">
        <v>147810</v>
      </c>
      <c r="P34" s="582">
        <v>30.1812</v>
      </c>
      <c r="Q34" s="582">
        <v>20.151600000000002</v>
      </c>
      <c r="R34" s="584">
        <v>10.0296</v>
      </c>
      <c r="S34" s="583">
        <f t="shared" ref="S34:AX34" si="35">SUM(S31:S33)</f>
        <v>0</v>
      </c>
      <c r="T34" s="581">
        <f t="shared" si="35"/>
        <v>1890</v>
      </c>
      <c r="U34" s="581">
        <f t="shared" si="35"/>
        <v>0</v>
      </c>
      <c r="V34" s="581">
        <f t="shared" si="35"/>
        <v>1890</v>
      </c>
      <c r="W34" s="581">
        <f t="shared" si="35"/>
        <v>0</v>
      </c>
      <c r="X34" s="581">
        <f t="shared" si="35"/>
        <v>0</v>
      </c>
      <c r="Y34" s="581">
        <f t="shared" si="35"/>
        <v>0</v>
      </c>
      <c r="Z34" s="581">
        <f t="shared" si="35"/>
        <v>1890</v>
      </c>
      <c r="AA34" s="581">
        <f t="shared" si="35"/>
        <v>639</v>
      </c>
      <c r="AB34" s="583">
        <f t="shared" si="35"/>
        <v>38</v>
      </c>
      <c r="AC34" s="581">
        <f t="shared" si="35"/>
        <v>0</v>
      </c>
      <c r="AD34" s="581">
        <f t="shared" si="35"/>
        <v>45000</v>
      </c>
      <c r="AE34" s="581">
        <f t="shared" si="35"/>
        <v>45000</v>
      </c>
      <c r="AF34" s="581">
        <f t="shared" si="35"/>
        <v>47567</v>
      </c>
      <c r="AG34" s="582">
        <f t="shared" si="35"/>
        <v>0</v>
      </c>
      <c r="AH34" s="582">
        <f t="shared" si="35"/>
        <v>0</v>
      </c>
      <c r="AI34" s="582">
        <f t="shared" si="35"/>
        <v>0</v>
      </c>
      <c r="AJ34" s="582">
        <f t="shared" si="35"/>
        <v>0</v>
      </c>
      <c r="AK34" s="582">
        <f t="shared" si="35"/>
        <v>0</v>
      </c>
      <c r="AL34" s="582">
        <f t="shared" si="35"/>
        <v>0</v>
      </c>
      <c r="AM34" s="582">
        <f t="shared" si="35"/>
        <v>0</v>
      </c>
      <c r="AN34" s="584">
        <f t="shared" si="35"/>
        <v>0</v>
      </c>
      <c r="AO34" s="583">
        <f t="shared" si="35"/>
        <v>16505174</v>
      </c>
      <c r="AP34" s="581">
        <f t="shared" si="35"/>
        <v>12009448</v>
      </c>
      <c r="AQ34" s="581">
        <f t="shared" si="35"/>
        <v>2640</v>
      </c>
      <c r="AR34" s="581">
        <f t="shared" si="35"/>
        <v>0</v>
      </c>
      <c r="AS34" s="581">
        <f t="shared" si="35"/>
        <v>4060086</v>
      </c>
      <c r="AT34" s="581">
        <f t="shared" si="35"/>
        <v>240190</v>
      </c>
      <c r="AU34" s="581">
        <f t="shared" si="35"/>
        <v>192810</v>
      </c>
      <c r="AV34" s="582">
        <f t="shared" si="35"/>
        <v>30.1812</v>
      </c>
      <c r="AW34" s="582">
        <f t="shared" si="35"/>
        <v>20.151600000000002</v>
      </c>
      <c r="AX34" s="584">
        <f t="shared" si="35"/>
        <v>10.0296</v>
      </c>
    </row>
    <row r="35" spans="1:50" ht="14.1" customHeight="1" x14ac:dyDescent="0.2">
      <c r="A35" s="585">
        <v>7</v>
      </c>
      <c r="B35" s="586">
        <v>2422</v>
      </c>
      <c r="C35" s="587">
        <v>600079082</v>
      </c>
      <c r="D35" s="586">
        <v>72742585</v>
      </c>
      <c r="E35" s="588" t="s">
        <v>585</v>
      </c>
      <c r="F35" s="585">
        <v>3111</v>
      </c>
      <c r="G35" s="588" t="s">
        <v>317</v>
      </c>
      <c r="H35" s="589" t="s">
        <v>283</v>
      </c>
      <c r="I35" s="495">
        <v>8468042</v>
      </c>
      <c r="J35" s="411">
        <v>6143256</v>
      </c>
      <c r="K35" s="520">
        <v>0</v>
      </c>
      <c r="L35" s="520">
        <v>0</v>
      </c>
      <c r="M35" s="475">
        <v>2076421</v>
      </c>
      <c r="N35" s="496">
        <v>122865</v>
      </c>
      <c r="O35" s="411">
        <v>125500</v>
      </c>
      <c r="P35" s="412">
        <v>14.358699999999999</v>
      </c>
      <c r="Q35" s="415">
        <v>10.8065</v>
      </c>
      <c r="R35" s="685">
        <v>3.5522</v>
      </c>
      <c r="S35" s="499"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178">
        <f t="shared" si="1"/>
        <v>0</v>
      </c>
      <c r="AB35" s="745">
        <f>ROUND(V35*2%,0)</f>
        <v>0</v>
      </c>
      <c r="AC35" s="486">
        <v>0</v>
      </c>
      <c r="AD35" s="486">
        <v>0</v>
      </c>
      <c r="AE35" s="486">
        <f t="shared" si="2"/>
        <v>0</v>
      </c>
      <c r="AF35" s="486">
        <f t="shared" si="3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ref="AL35:AL36" si="36">AG35+AI35+AJ35</f>
        <v>0</v>
      </c>
      <c r="AM35" s="501">
        <f t="shared" ref="AM35:AM36" si="37">AH35+AK35</f>
        <v>0</v>
      </c>
      <c r="AN35" s="502">
        <f t="shared" si="4"/>
        <v>0</v>
      </c>
      <c r="AO35" s="499">
        <f>I35+AF35</f>
        <v>8468042</v>
      </c>
      <c r="AP35" s="486">
        <f>J35+V35</f>
        <v>6143256</v>
      </c>
      <c r="AQ35" s="486">
        <f>K35+Y35</f>
        <v>0</v>
      </c>
      <c r="AR35" s="486">
        <f>L35</f>
        <v>0</v>
      </c>
      <c r="AS35" s="486">
        <f>M35+AA35</f>
        <v>2076421</v>
      </c>
      <c r="AT35" s="486">
        <f>N35+AB35</f>
        <v>122865</v>
      </c>
      <c r="AU35" s="486">
        <f>O35+AE35</f>
        <v>125500</v>
      </c>
      <c r="AV35" s="501">
        <f>P35+AN35</f>
        <v>14.358699999999999</v>
      </c>
      <c r="AW35" s="501">
        <f>Q35+AL35</f>
        <v>10.8065</v>
      </c>
      <c r="AX35" s="502">
        <f>R35+AM35</f>
        <v>3.5522</v>
      </c>
    </row>
    <row r="36" spans="1:50" ht="14.1" customHeight="1" x14ac:dyDescent="0.2">
      <c r="A36" s="585">
        <v>7</v>
      </c>
      <c r="B36" s="586">
        <v>2422</v>
      </c>
      <c r="C36" s="587">
        <v>600079082</v>
      </c>
      <c r="D36" s="586">
        <v>72742585</v>
      </c>
      <c r="E36" s="588" t="s">
        <v>585</v>
      </c>
      <c r="F36" s="585">
        <v>3141</v>
      </c>
      <c r="G36" s="588" t="s">
        <v>321</v>
      </c>
      <c r="H36" s="589" t="s">
        <v>284</v>
      </c>
      <c r="I36" s="495">
        <v>1131956</v>
      </c>
      <c r="J36" s="496">
        <v>826151</v>
      </c>
      <c r="K36" s="475">
        <v>2520</v>
      </c>
      <c r="L36" s="475">
        <v>0</v>
      </c>
      <c r="M36" s="475">
        <v>280091</v>
      </c>
      <c r="N36" s="496">
        <v>16524</v>
      </c>
      <c r="O36" s="496">
        <v>6670</v>
      </c>
      <c r="P36" s="412">
        <v>2.8100000000000005</v>
      </c>
      <c r="Q36" s="497">
        <v>0</v>
      </c>
      <c r="R36" s="498">
        <v>2.8100000000000005</v>
      </c>
      <c r="S36" s="499"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178">
        <f t="shared" si="1"/>
        <v>0</v>
      </c>
      <c r="AB36" s="745">
        <f>ROUND(V36*2%,0)</f>
        <v>0</v>
      </c>
      <c r="AC36" s="486">
        <v>0</v>
      </c>
      <c r="AD36" s="486">
        <v>0</v>
      </c>
      <c r="AE36" s="486">
        <f t="shared" si="2"/>
        <v>0</v>
      </c>
      <c r="AF36" s="486">
        <f t="shared" si="3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36"/>
        <v>0</v>
      </c>
      <c r="AM36" s="501">
        <f t="shared" si="37"/>
        <v>0</v>
      </c>
      <c r="AN36" s="502">
        <f t="shared" si="4"/>
        <v>0</v>
      </c>
      <c r="AO36" s="499">
        <f>I36+AF36</f>
        <v>1131956</v>
      </c>
      <c r="AP36" s="486">
        <f>J36+V36</f>
        <v>826151</v>
      </c>
      <c r="AQ36" s="486">
        <f>K36+Y36</f>
        <v>2520</v>
      </c>
      <c r="AR36" s="486">
        <f>L36</f>
        <v>0</v>
      </c>
      <c r="AS36" s="486">
        <f>M36+AA36</f>
        <v>280091</v>
      </c>
      <c r="AT36" s="486">
        <f>N36+AB36</f>
        <v>16524</v>
      </c>
      <c r="AU36" s="486">
        <f>O36+AE36</f>
        <v>6670</v>
      </c>
      <c r="AV36" s="501">
        <f>P36+AN36</f>
        <v>2.8100000000000005</v>
      </c>
      <c r="AW36" s="501">
        <f>Q36+AL36</f>
        <v>0</v>
      </c>
      <c r="AX36" s="502">
        <f>R36+AM36</f>
        <v>2.8100000000000005</v>
      </c>
    </row>
    <row r="37" spans="1:50" ht="14.1" customHeight="1" x14ac:dyDescent="0.2">
      <c r="A37" s="181">
        <v>7</v>
      </c>
      <c r="B37" s="179">
        <v>2422</v>
      </c>
      <c r="C37" s="180">
        <v>600079082</v>
      </c>
      <c r="D37" s="179">
        <v>72742585</v>
      </c>
      <c r="E37" s="578" t="s">
        <v>586</v>
      </c>
      <c r="F37" s="181"/>
      <c r="G37" s="578"/>
      <c r="H37" s="579"/>
      <c r="I37" s="580">
        <v>9599998</v>
      </c>
      <c r="J37" s="581">
        <v>6969407</v>
      </c>
      <c r="K37" s="581">
        <v>2520</v>
      </c>
      <c r="L37" s="581">
        <v>0</v>
      </c>
      <c r="M37" s="581">
        <v>2356512</v>
      </c>
      <c r="N37" s="581">
        <v>139389</v>
      </c>
      <c r="O37" s="581">
        <v>132170</v>
      </c>
      <c r="P37" s="582">
        <v>17.168700000000001</v>
      </c>
      <c r="Q37" s="582">
        <v>10.8065</v>
      </c>
      <c r="R37" s="584">
        <v>6.3622000000000005</v>
      </c>
      <c r="S37" s="583">
        <f t="shared" ref="S37:AX37" si="38">SUM(S35:S36)</f>
        <v>0</v>
      </c>
      <c r="T37" s="581">
        <f t="shared" si="38"/>
        <v>0</v>
      </c>
      <c r="U37" s="581">
        <f t="shared" si="38"/>
        <v>0</v>
      </c>
      <c r="V37" s="581">
        <f t="shared" si="38"/>
        <v>0</v>
      </c>
      <c r="W37" s="581">
        <f t="shared" si="38"/>
        <v>0</v>
      </c>
      <c r="X37" s="581">
        <f t="shared" si="38"/>
        <v>0</v>
      </c>
      <c r="Y37" s="581">
        <f t="shared" si="38"/>
        <v>0</v>
      </c>
      <c r="Z37" s="581">
        <f t="shared" si="38"/>
        <v>0</v>
      </c>
      <c r="AA37" s="581">
        <f t="shared" si="38"/>
        <v>0</v>
      </c>
      <c r="AB37" s="583">
        <f t="shared" si="38"/>
        <v>0</v>
      </c>
      <c r="AC37" s="581">
        <f t="shared" si="38"/>
        <v>0</v>
      </c>
      <c r="AD37" s="581">
        <f t="shared" si="38"/>
        <v>0</v>
      </c>
      <c r="AE37" s="581">
        <f t="shared" si="38"/>
        <v>0</v>
      </c>
      <c r="AF37" s="581">
        <f t="shared" si="38"/>
        <v>0</v>
      </c>
      <c r="AG37" s="582">
        <f t="shared" si="38"/>
        <v>0</v>
      </c>
      <c r="AH37" s="582">
        <f t="shared" si="38"/>
        <v>0</v>
      </c>
      <c r="AI37" s="582">
        <f t="shared" si="38"/>
        <v>0</v>
      </c>
      <c r="AJ37" s="582">
        <f t="shared" si="38"/>
        <v>0</v>
      </c>
      <c r="AK37" s="582">
        <f t="shared" si="38"/>
        <v>0</v>
      </c>
      <c r="AL37" s="582">
        <f t="shared" si="38"/>
        <v>0</v>
      </c>
      <c r="AM37" s="582">
        <f t="shared" si="38"/>
        <v>0</v>
      </c>
      <c r="AN37" s="584">
        <f t="shared" si="38"/>
        <v>0</v>
      </c>
      <c r="AO37" s="583">
        <f t="shared" si="38"/>
        <v>9599998</v>
      </c>
      <c r="AP37" s="581">
        <f t="shared" si="38"/>
        <v>6969407</v>
      </c>
      <c r="AQ37" s="581">
        <f t="shared" si="38"/>
        <v>2520</v>
      </c>
      <c r="AR37" s="581">
        <f t="shared" si="38"/>
        <v>0</v>
      </c>
      <c r="AS37" s="581">
        <f t="shared" si="38"/>
        <v>2356512</v>
      </c>
      <c r="AT37" s="581">
        <f t="shared" si="38"/>
        <v>139389</v>
      </c>
      <c r="AU37" s="581">
        <f t="shared" si="38"/>
        <v>132170</v>
      </c>
      <c r="AV37" s="582">
        <f t="shared" si="38"/>
        <v>17.168700000000001</v>
      </c>
      <c r="AW37" s="582">
        <f t="shared" si="38"/>
        <v>10.8065</v>
      </c>
      <c r="AX37" s="584">
        <f t="shared" si="38"/>
        <v>6.3622000000000005</v>
      </c>
    </row>
    <row r="38" spans="1:50" ht="14.1" customHeight="1" x14ac:dyDescent="0.2">
      <c r="A38" s="585">
        <v>8</v>
      </c>
      <c r="B38" s="586">
        <v>2427</v>
      </c>
      <c r="C38" s="587">
        <v>600079091</v>
      </c>
      <c r="D38" s="586">
        <v>72741627</v>
      </c>
      <c r="E38" s="588" t="s">
        <v>587</v>
      </c>
      <c r="F38" s="585">
        <v>3111</v>
      </c>
      <c r="G38" s="588" t="s">
        <v>317</v>
      </c>
      <c r="H38" s="589" t="s">
        <v>283</v>
      </c>
      <c r="I38" s="495">
        <v>4978586</v>
      </c>
      <c r="J38" s="411">
        <v>3613612</v>
      </c>
      <c r="K38" s="520">
        <v>0</v>
      </c>
      <c r="L38" s="520">
        <v>0</v>
      </c>
      <c r="M38" s="475">
        <v>1221401</v>
      </c>
      <c r="N38" s="496">
        <v>72272</v>
      </c>
      <c r="O38" s="411">
        <v>71301</v>
      </c>
      <c r="P38" s="412">
        <v>8.3759999999999994</v>
      </c>
      <c r="Q38" s="415">
        <v>6.2417999999999996</v>
      </c>
      <c r="R38" s="685">
        <v>2.1341999999999999</v>
      </c>
      <c r="S38" s="499">
        <v>0</v>
      </c>
      <c r="T38" s="486">
        <v>0</v>
      </c>
      <c r="U38" s="486">
        <v>-1915</v>
      </c>
      <c r="V38" s="486">
        <f>SUM(S38:U38)</f>
        <v>-1915</v>
      </c>
      <c r="W38" s="486">
        <v>0</v>
      </c>
      <c r="X38" s="486">
        <v>0</v>
      </c>
      <c r="Y38" s="486">
        <f>SUM(W38:X38)</f>
        <v>0</v>
      </c>
      <c r="Z38" s="486">
        <f>V38+Y38</f>
        <v>-1915</v>
      </c>
      <c r="AA38" s="178">
        <f t="shared" si="1"/>
        <v>-647</v>
      </c>
      <c r="AB38" s="745">
        <f>ROUND(V38*2%,0)</f>
        <v>-38</v>
      </c>
      <c r="AC38" s="486">
        <v>0</v>
      </c>
      <c r="AD38" s="486">
        <v>2600</v>
      </c>
      <c r="AE38" s="486">
        <f t="shared" si="2"/>
        <v>2600</v>
      </c>
      <c r="AF38" s="486">
        <f t="shared" si="3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ref="AL38:AL39" si="39">AG38+AI38+AJ38</f>
        <v>0</v>
      </c>
      <c r="AM38" s="501">
        <f t="shared" ref="AM38:AM39" si="40">AH38+AK38</f>
        <v>0</v>
      </c>
      <c r="AN38" s="502">
        <f t="shared" si="4"/>
        <v>0</v>
      </c>
      <c r="AO38" s="499">
        <f>I38+AF38</f>
        <v>4978586</v>
      </c>
      <c r="AP38" s="486">
        <f>J38+V38</f>
        <v>3611697</v>
      </c>
      <c r="AQ38" s="486">
        <f>K38+Y38</f>
        <v>0</v>
      </c>
      <c r="AR38" s="486">
        <f>L38</f>
        <v>0</v>
      </c>
      <c r="AS38" s="486">
        <f>M38+AA38</f>
        <v>1220754</v>
      </c>
      <c r="AT38" s="486">
        <f>N38+AB38</f>
        <v>72234</v>
      </c>
      <c r="AU38" s="486">
        <f>O38+AE38</f>
        <v>73901</v>
      </c>
      <c r="AV38" s="501">
        <f>P38+AN38</f>
        <v>8.3759999999999994</v>
      </c>
      <c r="AW38" s="501">
        <f>Q38+AL38</f>
        <v>6.2417999999999996</v>
      </c>
      <c r="AX38" s="502">
        <f>R38+AM38</f>
        <v>2.1341999999999999</v>
      </c>
    </row>
    <row r="39" spans="1:50" ht="14.1" customHeight="1" x14ac:dyDescent="0.2">
      <c r="A39" s="585">
        <v>8</v>
      </c>
      <c r="B39" s="586">
        <v>2427</v>
      </c>
      <c r="C39" s="587">
        <v>600079091</v>
      </c>
      <c r="D39" s="586">
        <v>72741627</v>
      </c>
      <c r="E39" s="588" t="s">
        <v>587</v>
      </c>
      <c r="F39" s="585">
        <v>3141</v>
      </c>
      <c r="G39" s="588" t="s">
        <v>321</v>
      </c>
      <c r="H39" s="589" t="s">
        <v>284</v>
      </c>
      <c r="I39" s="495">
        <v>311631</v>
      </c>
      <c r="J39" s="496">
        <v>227575</v>
      </c>
      <c r="K39" s="475">
        <v>0</v>
      </c>
      <c r="L39" s="475">
        <v>0</v>
      </c>
      <c r="M39" s="475">
        <v>76921</v>
      </c>
      <c r="N39" s="496">
        <v>4551</v>
      </c>
      <c r="O39" s="496">
        <v>2584</v>
      </c>
      <c r="P39" s="412">
        <v>0.77</v>
      </c>
      <c r="Q39" s="497">
        <v>0</v>
      </c>
      <c r="R39" s="498">
        <v>0.77</v>
      </c>
      <c r="S39" s="499">
        <v>0</v>
      </c>
      <c r="T39" s="486">
        <v>0</v>
      </c>
      <c r="U39" s="486">
        <v>0</v>
      </c>
      <c r="V39" s="486">
        <f>SUM(S39:U39)</f>
        <v>0</v>
      </c>
      <c r="W39" s="486">
        <v>0</v>
      </c>
      <c r="X39" s="486">
        <v>0</v>
      </c>
      <c r="Y39" s="486">
        <f>SUM(W39:X39)</f>
        <v>0</v>
      </c>
      <c r="Z39" s="486">
        <f>V39+Y39</f>
        <v>0</v>
      </c>
      <c r="AA39" s="178">
        <f t="shared" si="1"/>
        <v>0</v>
      </c>
      <c r="AB39" s="745">
        <f>ROUND(V39*2%,0)</f>
        <v>0</v>
      </c>
      <c r="AC39" s="486">
        <v>0</v>
      </c>
      <c r="AD39" s="486">
        <v>0</v>
      </c>
      <c r="AE39" s="486">
        <f t="shared" si="2"/>
        <v>0</v>
      </c>
      <c r="AF39" s="486">
        <f t="shared" si="3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si="39"/>
        <v>0</v>
      </c>
      <c r="AM39" s="501">
        <f t="shared" si="40"/>
        <v>0</v>
      </c>
      <c r="AN39" s="502">
        <f t="shared" si="4"/>
        <v>0</v>
      </c>
      <c r="AO39" s="499">
        <f>I39+AF39</f>
        <v>311631</v>
      </c>
      <c r="AP39" s="486">
        <f>J39+V39</f>
        <v>227575</v>
      </c>
      <c r="AQ39" s="486">
        <f>K39+Y39</f>
        <v>0</v>
      </c>
      <c r="AR39" s="486">
        <f>L39</f>
        <v>0</v>
      </c>
      <c r="AS39" s="486">
        <f>M39+AA39</f>
        <v>76921</v>
      </c>
      <c r="AT39" s="486">
        <f>N39+AB39</f>
        <v>4551</v>
      </c>
      <c r="AU39" s="486">
        <f>O39+AE39</f>
        <v>2584</v>
      </c>
      <c r="AV39" s="501">
        <f>P39+AN39</f>
        <v>0.77</v>
      </c>
      <c r="AW39" s="501">
        <f>Q39+AL39</f>
        <v>0</v>
      </c>
      <c r="AX39" s="502">
        <f>R39+AM39</f>
        <v>0.77</v>
      </c>
    </row>
    <row r="40" spans="1:50" ht="14.1" customHeight="1" x14ac:dyDescent="0.2">
      <c r="A40" s="181">
        <v>8</v>
      </c>
      <c r="B40" s="179">
        <v>2427</v>
      </c>
      <c r="C40" s="180">
        <v>600079091</v>
      </c>
      <c r="D40" s="179">
        <v>72741627</v>
      </c>
      <c r="E40" s="578" t="s">
        <v>588</v>
      </c>
      <c r="F40" s="181"/>
      <c r="G40" s="578"/>
      <c r="H40" s="579"/>
      <c r="I40" s="580">
        <v>5290217</v>
      </c>
      <c r="J40" s="581">
        <v>3841187</v>
      </c>
      <c r="K40" s="581">
        <v>0</v>
      </c>
      <c r="L40" s="581">
        <v>0</v>
      </c>
      <c r="M40" s="581">
        <v>1298322</v>
      </c>
      <c r="N40" s="581">
        <v>76823</v>
      </c>
      <c r="O40" s="581">
        <v>73885</v>
      </c>
      <c r="P40" s="582">
        <v>9.145999999999999</v>
      </c>
      <c r="Q40" s="582">
        <v>6.2417999999999996</v>
      </c>
      <c r="R40" s="584">
        <v>2.9041999999999999</v>
      </c>
      <c r="S40" s="583">
        <f t="shared" ref="S40:AX40" si="41">SUM(S38:S39)</f>
        <v>0</v>
      </c>
      <c r="T40" s="581">
        <f t="shared" si="41"/>
        <v>0</v>
      </c>
      <c r="U40" s="581">
        <f t="shared" si="41"/>
        <v>-1915</v>
      </c>
      <c r="V40" s="581">
        <f t="shared" si="41"/>
        <v>-1915</v>
      </c>
      <c r="W40" s="581">
        <f t="shared" si="41"/>
        <v>0</v>
      </c>
      <c r="X40" s="581">
        <f t="shared" si="41"/>
        <v>0</v>
      </c>
      <c r="Y40" s="581">
        <f t="shared" si="41"/>
        <v>0</v>
      </c>
      <c r="Z40" s="581">
        <f t="shared" si="41"/>
        <v>-1915</v>
      </c>
      <c r="AA40" s="581">
        <f t="shared" si="41"/>
        <v>-647</v>
      </c>
      <c r="AB40" s="583">
        <f t="shared" si="41"/>
        <v>-38</v>
      </c>
      <c r="AC40" s="581">
        <f t="shared" si="41"/>
        <v>0</v>
      </c>
      <c r="AD40" s="581">
        <f t="shared" si="41"/>
        <v>2600</v>
      </c>
      <c r="AE40" s="581">
        <f t="shared" si="41"/>
        <v>2600</v>
      </c>
      <c r="AF40" s="581">
        <f t="shared" si="41"/>
        <v>0</v>
      </c>
      <c r="AG40" s="582">
        <f t="shared" si="41"/>
        <v>0</v>
      </c>
      <c r="AH40" s="582">
        <f t="shared" si="41"/>
        <v>0</v>
      </c>
      <c r="AI40" s="582">
        <f t="shared" si="41"/>
        <v>0</v>
      </c>
      <c r="AJ40" s="582">
        <f t="shared" si="41"/>
        <v>0</v>
      </c>
      <c r="AK40" s="582">
        <f t="shared" si="41"/>
        <v>0</v>
      </c>
      <c r="AL40" s="582">
        <f t="shared" si="41"/>
        <v>0</v>
      </c>
      <c r="AM40" s="582">
        <f t="shared" si="41"/>
        <v>0</v>
      </c>
      <c r="AN40" s="584">
        <f t="shared" si="41"/>
        <v>0</v>
      </c>
      <c r="AO40" s="583">
        <f t="shared" si="41"/>
        <v>5290217</v>
      </c>
      <c r="AP40" s="581">
        <f t="shared" si="41"/>
        <v>3839272</v>
      </c>
      <c r="AQ40" s="581">
        <f t="shared" si="41"/>
        <v>0</v>
      </c>
      <c r="AR40" s="581">
        <f t="shared" si="41"/>
        <v>0</v>
      </c>
      <c r="AS40" s="581">
        <f t="shared" si="41"/>
        <v>1297675</v>
      </c>
      <c r="AT40" s="581">
        <f t="shared" si="41"/>
        <v>76785</v>
      </c>
      <c r="AU40" s="581">
        <f t="shared" si="41"/>
        <v>76485</v>
      </c>
      <c r="AV40" s="582">
        <f t="shared" si="41"/>
        <v>9.145999999999999</v>
      </c>
      <c r="AW40" s="582">
        <f t="shared" si="41"/>
        <v>6.2417999999999996</v>
      </c>
      <c r="AX40" s="584">
        <f t="shared" si="41"/>
        <v>2.9041999999999999</v>
      </c>
    </row>
    <row r="41" spans="1:50" ht="14.1" customHeight="1" x14ac:dyDescent="0.2">
      <c r="A41" s="585">
        <v>9</v>
      </c>
      <c r="B41" s="586">
        <v>2327</v>
      </c>
      <c r="C41" s="587">
        <v>691002606</v>
      </c>
      <c r="D41" s="586">
        <v>72076950</v>
      </c>
      <c r="E41" s="588" t="s">
        <v>589</v>
      </c>
      <c r="F41" s="585">
        <v>3111</v>
      </c>
      <c r="G41" s="588" t="s">
        <v>317</v>
      </c>
      <c r="H41" s="589" t="s">
        <v>283</v>
      </c>
      <c r="I41" s="495">
        <v>8485922</v>
      </c>
      <c r="J41" s="411">
        <v>6173728</v>
      </c>
      <c r="K41" s="520">
        <v>0</v>
      </c>
      <c r="L41" s="520">
        <v>0</v>
      </c>
      <c r="M41" s="475">
        <v>2086719</v>
      </c>
      <c r="N41" s="496">
        <v>123475</v>
      </c>
      <c r="O41" s="411">
        <v>102000</v>
      </c>
      <c r="P41" s="412">
        <v>14.4887</v>
      </c>
      <c r="Q41" s="415">
        <v>10.936500000000001</v>
      </c>
      <c r="R41" s="685">
        <v>3.5522</v>
      </c>
      <c r="S41" s="499">
        <v>0</v>
      </c>
      <c r="T41" s="486">
        <v>0</v>
      </c>
      <c r="U41" s="486">
        <v>-11046</v>
      </c>
      <c r="V41" s="486">
        <f>SUM(S41:U41)</f>
        <v>-11046</v>
      </c>
      <c r="W41" s="486">
        <v>0</v>
      </c>
      <c r="X41" s="486">
        <v>0</v>
      </c>
      <c r="Y41" s="486">
        <f>SUM(W41:X41)</f>
        <v>0</v>
      </c>
      <c r="Z41" s="486">
        <f>V41+Y41</f>
        <v>-11046</v>
      </c>
      <c r="AA41" s="178">
        <f t="shared" si="1"/>
        <v>-3734</v>
      </c>
      <c r="AB41" s="745">
        <f>ROUND(V41*2%,0)</f>
        <v>-221</v>
      </c>
      <c r="AC41" s="486">
        <v>0</v>
      </c>
      <c r="AD41" s="486">
        <v>15001</v>
      </c>
      <c r="AE41" s="486">
        <f t="shared" si="2"/>
        <v>15001</v>
      </c>
      <c r="AF41" s="486">
        <f t="shared" si="3"/>
        <v>0</v>
      </c>
      <c r="AG41" s="501">
        <v>0</v>
      </c>
      <c r="AH41" s="501">
        <v>0</v>
      </c>
      <c r="AI41" s="501">
        <v>0</v>
      </c>
      <c r="AJ41" s="501">
        <v>0</v>
      </c>
      <c r="AK41" s="501">
        <v>0</v>
      </c>
      <c r="AL41" s="501">
        <f t="shared" ref="AL41:AL43" si="42">AG41+AI41+AJ41</f>
        <v>0</v>
      </c>
      <c r="AM41" s="501">
        <f t="shared" ref="AM41:AM43" si="43">AH41+AK41</f>
        <v>0</v>
      </c>
      <c r="AN41" s="502">
        <f t="shared" si="4"/>
        <v>0</v>
      </c>
      <c r="AO41" s="499">
        <f>I41+AF41</f>
        <v>8485922</v>
      </c>
      <c r="AP41" s="486">
        <f>J41+V41</f>
        <v>6162682</v>
      </c>
      <c r="AQ41" s="486">
        <f>K41+Y41</f>
        <v>0</v>
      </c>
      <c r="AR41" s="486">
        <f>L41</f>
        <v>0</v>
      </c>
      <c r="AS41" s="486">
        <f t="shared" ref="AS41:AT43" si="44">M41+AA41</f>
        <v>2082985</v>
      </c>
      <c r="AT41" s="486">
        <f t="shared" si="44"/>
        <v>123254</v>
      </c>
      <c r="AU41" s="486">
        <f>O41+AE41</f>
        <v>117001</v>
      </c>
      <c r="AV41" s="501">
        <f>P41+AN41</f>
        <v>14.4887</v>
      </c>
      <c r="AW41" s="501">
        <f t="shared" ref="AW41:AX43" si="45">Q41+AL41</f>
        <v>10.936500000000001</v>
      </c>
      <c r="AX41" s="502">
        <f t="shared" si="45"/>
        <v>3.5522</v>
      </c>
    </row>
    <row r="42" spans="1:50" ht="14.1" customHeight="1" x14ac:dyDescent="0.2">
      <c r="A42" s="585">
        <v>9</v>
      </c>
      <c r="B42" s="586">
        <v>2327</v>
      </c>
      <c r="C42" s="587">
        <v>691002606</v>
      </c>
      <c r="D42" s="586">
        <v>72076950</v>
      </c>
      <c r="E42" s="588" t="s">
        <v>589</v>
      </c>
      <c r="F42" s="585">
        <v>3111</v>
      </c>
      <c r="G42" s="208" t="s">
        <v>318</v>
      </c>
      <c r="H42" s="589" t="s">
        <v>284</v>
      </c>
      <c r="I42" s="495">
        <v>461179</v>
      </c>
      <c r="J42" s="496">
        <v>339602</v>
      </c>
      <c r="K42" s="475">
        <v>0</v>
      </c>
      <c r="L42" s="475">
        <v>0</v>
      </c>
      <c r="M42" s="475">
        <v>114785</v>
      </c>
      <c r="N42" s="496">
        <v>6792</v>
      </c>
      <c r="O42" s="496">
        <v>0</v>
      </c>
      <c r="P42" s="412">
        <v>1</v>
      </c>
      <c r="Q42" s="497">
        <v>1</v>
      </c>
      <c r="R42" s="498">
        <v>0</v>
      </c>
      <c r="S42" s="499">
        <v>0</v>
      </c>
      <c r="T42" s="486">
        <v>0</v>
      </c>
      <c r="U42" s="486">
        <v>0</v>
      </c>
      <c r="V42" s="486">
        <f>SUM(S42:U42)</f>
        <v>0</v>
      </c>
      <c r="W42" s="486">
        <v>0</v>
      </c>
      <c r="X42" s="486">
        <v>0</v>
      </c>
      <c r="Y42" s="486">
        <f>SUM(W42:X42)</f>
        <v>0</v>
      </c>
      <c r="Z42" s="486">
        <f>V42+Y42</f>
        <v>0</v>
      </c>
      <c r="AA42" s="178">
        <f t="shared" si="1"/>
        <v>0</v>
      </c>
      <c r="AB42" s="745">
        <f>ROUND(V42*2%,0)</f>
        <v>0</v>
      </c>
      <c r="AC42" s="486">
        <v>0</v>
      </c>
      <c r="AD42" s="486">
        <v>0</v>
      </c>
      <c r="AE42" s="486">
        <f t="shared" si="2"/>
        <v>0</v>
      </c>
      <c r="AF42" s="486">
        <f t="shared" si="3"/>
        <v>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si="42"/>
        <v>0</v>
      </c>
      <c r="AM42" s="501">
        <f t="shared" si="43"/>
        <v>0</v>
      </c>
      <c r="AN42" s="502">
        <f t="shared" si="4"/>
        <v>0</v>
      </c>
      <c r="AO42" s="499">
        <f>I42+AF42</f>
        <v>461179</v>
      </c>
      <c r="AP42" s="486">
        <f>J42+V42</f>
        <v>339602</v>
      </c>
      <c r="AQ42" s="486">
        <f>K42+Y42</f>
        <v>0</v>
      </c>
      <c r="AR42" s="486">
        <f>L42</f>
        <v>0</v>
      </c>
      <c r="AS42" s="486">
        <f t="shared" si="44"/>
        <v>114785</v>
      </c>
      <c r="AT42" s="486">
        <f t="shared" si="44"/>
        <v>6792</v>
      </c>
      <c r="AU42" s="486">
        <f>O42+AE42</f>
        <v>0</v>
      </c>
      <c r="AV42" s="501">
        <f>P42+AN42</f>
        <v>1</v>
      </c>
      <c r="AW42" s="501">
        <f t="shared" si="45"/>
        <v>1</v>
      </c>
      <c r="AX42" s="502">
        <f t="shared" si="45"/>
        <v>0</v>
      </c>
    </row>
    <row r="43" spans="1:50" ht="14.1" customHeight="1" x14ac:dyDescent="0.2">
      <c r="A43" s="585">
        <v>9</v>
      </c>
      <c r="B43" s="586">
        <v>2327</v>
      </c>
      <c r="C43" s="587">
        <v>691002606</v>
      </c>
      <c r="D43" s="586">
        <v>72076950</v>
      </c>
      <c r="E43" s="588" t="s">
        <v>589</v>
      </c>
      <c r="F43" s="585">
        <v>3141</v>
      </c>
      <c r="G43" s="588" t="s">
        <v>321</v>
      </c>
      <c r="H43" s="589" t="s">
        <v>284</v>
      </c>
      <c r="I43" s="495">
        <v>1119238</v>
      </c>
      <c r="J43" s="496">
        <v>819440</v>
      </c>
      <c r="K43" s="475">
        <v>0</v>
      </c>
      <c r="L43" s="475">
        <v>0</v>
      </c>
      <c r="M43" s="475">
        <v>276971</v>
      </c>
      <c r="N43" s="496">
        <v>16389</v>
      </c>
      <c r="O43" s="496">
        <v>6438</v>
      </c>
      <c r="P43" s="412">
        <v>2.7899999999999996</v>
      </c>
      <c r="Q43" s="497">
        <v>0</v>
      </c>
      <c r="R43" s="498">
        <v>2.7899999999999996</v>
      </c>
      <c r="S43" s="499">
        <v>0</v>
      </c>
      <c r="T43" s="486">
        <v>0</v>
      </c>
      <c r="U43" s="486">
        <v>0</v>
      </c>
      <c r="V43" s="486">
        <f>SUM(S43:U43)</f>
        <v>0</v>
      </c>
      <c r="W43" s="486">
        <v>0</v>
      </c>
      <c r="X43" s="486">
        <v>0</v>
      </c>
      <c r="Y43" s="486">
        <f>SUM(W43:X43)</f>
        <v>0</v>
      </c>
      <c r="Z43" s="486">
        <f>V43+Y43</f>
        <v>0</v>
      </c>
      <c r="AA43" s="178">
        <f t="shared" si="1"/>
        <v>0</v>
      </c>
      <c r="AB43" s="745">
        <f>ROUND(V43*2%,0)</f>
        <v>0</v>
      </c>
      <c r="AC43" s="486">
        <v>0</v>
      </c>
      <c r="AD43" s="486">
        <v>0</v>
      </c>
      <c r="AE43" s="486">
        <f t="shared" si="2"/>
        <v>0</v>
      </c>
      <c r="AF43" s="486">
        <f t="shared" si="3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si="42"/>
        <v>0</v>
      </c>
      <c r="AM43" s="501">
        <f t="shared" si="43"/>
        <v>0</v>
      </c>
      <c r="AN43" s="502">
        <f t="shared" si="4"/>
        <v>0</v>
      </c>
      <c r="AO43" s="499">
        <f>I43+AF43</f>
        <v>1119238</v>
      </c>
      <c r="AP43" s="486">
        <f>J43+V43</f>
        <v>819440</v>
      </c>
      <c r="AQ43" s="486">
        <f>K43+Y43</f>
        <v>0</v>
      </c>
      <c r="AR43" s="486">
        <f>L43</f>
        <v>0</v>
      </c>
      <c r="AS43" s="486">
        <f t="shared" si="44"/>
        <v>276971</v>
      </c>
      <c r="AT43" s="486">
        <f t="shared" si="44"/>
        <v>16389</v>
      </c>
      <c r="AU43" s="486">
        <f>O43+AE43</f>
        <v>6438</v>
      </c>
      <c r="AV43" s="501">
        <f>P43+AN43</f>
        <v>2.7899999999999996</v>
      </c>
      <c r="AW43" s="501">
        <f t="shared" si="45"/>
        <v>0</v>
      </c>
      <c r="AX43" s="502">
        <f t="shared" si="45"/>
        <v>2.7899999999999996</v>
      </c>
    </row>
    <row r="44" spans="1:50" ht="14.1" customHeight="1" x14ac:dyDescent="0.2">
      <c r="A44" s="181">
        <v>9</v>
      </c>
      <c r="B44" s="179">
        <v>2327</v>
      </c>
      <c r="C44" s="180">
        <v>691002606</v>
      </c>
      <c r="D44" s="179">
        <v>72076950</v>
      </c>
      <c r="E44" s="578" t="s">
        <v>590</v>
      </c>
      <c r="F44" s="181"/>
      <c r="G44" s="578"/>
      <c r="H44" s="579"/>
      <c r="I44" s="580">
        <v>10066339</v>
      </c>
      <c r="J44" s="581">
        <v>7332770</v>
      </c>
      <c r="K44" s="581">
        <v>0</v>
      </c>
      <c r="L44" s="581">
        <v>0</v>
      </c>
      <c r="M44" s="581">
        <v>2478475</v>
      </c>
      <c r="N44" s="581">
        <v>146656</v>
      </c>
      <c r="O44" s="581">
        <v>108438</v>
      </c>
      <c r="P44" s="582">
        <v>18.278700000000001</v>
      </c>
      <c r="Q44" s="582">
        <v>11.936500000000001</v>
      </c>
      <c r="R44" s="584">
        <v>6.3422000000000001</v>
      </c>
      <c r="S44" s="583">
        <f t="shared" ref="S44:AX44" si="46">SUM(S41:S43)</f>
        <v>0</v>
      </c>
      <c r="T44" s="581">
        <f t="shared" si="46"/>
        <v>0</v>
      </c>
      <c r="U44" s="581">
        <f t="shared" si="46"/>
        <v>-11046</v>
      </c>
      <c r="V44" s="581">
        <f t="shared" si="46"/>
        <v>-11046</v>
      </c>
      <c r="W44" s="581">
        <f t="shared" si="46"/>
        <v>0</v>
      </c>
      <c r="X44" s="581">
        <f t="shared" si="46"/>
        <v>0</v>
      </c>
      <c r="Y44" s="581">
        <f t="shared" si="46"/>
        <v>0</v>
      </c>
      <c r="Z44" s="581">
        <f t="shared" si="46"/>
        <v>-11046</v>
      </c>
      <c r="AA44" s="581">
        <f t="shared" si="46"/>
        <v>-3734</v>
      </c>
      <c r="AB44" s="583">
        <f t="shared" si="46"/>
        <v>-221</v>
      </c>
      <c r="AC44" s="581">
        <f t="shared" si="46"/>
        <v>0</v>
      </c>
      <c r="AD44" s="581">
        <f t="shared" si="46"/>
        <v>15001</v>
      </c>
      <c r="AE44" s="581">
        <f t="shared" si="46"/>
        <v>15001</v>
      </c>
      <c r="AF44" s="581">
        <f t="shared" si="46"/>
        <v>0</v>
      </c>
      <c r="AG44" s="582">
        <f t="shared" si="46"/>
        <v>0</v>
      </c>
      <c r="AH44" s="582">
        <f t="shared" si="46"/>
        <v>0</v>
      </c>
      <c r="AI44" s="582">
        <f t="shared" si="46"/>
        <v>0</v>
      </c>
      <c r="AJ44" s="582">
        <f t="shared" si="46"/>
        <v>0</v>
      </c>
      <c r="AK44" s="582">
        <f t="shared" si="46"/>
        <v>0</v>
      </c>
      <c r="AL44" s="582">
        <f t="shared" si="46"/>
        <v>0</v>
      </c>
      <c r="AM44" s="582">
        <f t="shared" si="46"/>
        <v>0</v>
      </c>
      <c r="AN44" s="584">
        <f t="shared" si="46"/>
        <v>0</v>
      </c>
      <c r="AO44" s="583">
        <f t="shared" si="46"/>
        <v>10066339</v>
      </c>
      <c r="AP44" s="581">
        <f t="shared" si="46"/>
        <v>7321724</v>
      </c>
      <c r="AQ44" s="581">
        <f t="shared" si="46"/>
        <v>0</v>
      </c>
      <c r="AR44" s="581">
        <f t="shared" si="46"/>
        <v>0</v>
      </c>
      <c r="AS44" s="581">
        <f t="shared" si="46"/>
        <v>2474741</v>
      </c>
      <c r="AT44" s="581">
        <f t="shared" si="46"/>
        <v>146435</v>
      </c>
      <c r="AU44" s="581">
        <f t="shared" si="46"/>
        <v>123439</v>
      </c>
      <c r="AV44" s="582">
        <f t="shared" si="46"/>
        <v>18.278700000000001</v>
      </c>
      <c r="AW44" s="582">
        <f t="shared" si="46"/>
        <v>11.936500000000001</v>
      </c>
      <c r="AX44" s="584">
        <f t="shared" si="46"/>
        <v>6.3422000000000001</v>
      </c>
    </row>
    <row r="45" spans="1:50" ht="14.1" customHeight="1" x14ac:dyDescent="0.2">
      <c r="A45" s="585">
        <v>10</v>
      </c>
      <c r="B45" s="586">
        <v>2321</v>
      </c>
      <c r="C45" s="587">
        <v>600079287</v>
      </c>
      <c r="D45" s="586">
        <v>72742976</v>
      </c>
      <c r="E45" s="588" t="s">
        <v>591</v>
      </c>
      <c r="F45" s="585">
        <v>3111</v>
      </c>
      <c r="G45" s="588" t="s">
        <v>317</v>
      </c>
      <c r="H45" s="589" t="s">
        <v>283</v>
      </c>
      <c r="I45" s="495">
        <v>8298159</v>
      </c>
      <c r="J45" s="411">
        <v>6049233</v>
      </c>
      <c r="K45" s="520">
        <v>0</v>
      </c>
      <c r="L45" s="520">
        <v>0</v>
      </c>
      <c r="M45" s="475">
        <v>2044641</v>
      </c>
      <c r="N45" s="496">
        <v>120985</v>
      </c>
      <c r="O45" s="411">
        <v>83300</v>
      </c>
      <c r="P45" s="412">
        <v>14.4038</v>
      </c>
      <c r="Q45" s="415">
        <v>10.451599999999999</v>
      </c>
      <c r="R45" s="685">
        <v>3.9522000000000004</v>
      </c>
      <c r="S45" s="499">
        <v>0</v>
      </c>
      <c r="T45" s="486">
        <v>0</v>
      </c>
      <c r="U45" s="486">
        <v>-18409</v>
      </c>
      <c r="V45" s="486">
        <f>SUM(S45:U45)</f>
        <v>-18409</v>
      </c>
      <c r="W45" s="486">
        <v>0</v>
      </c>
      <c r="X45" s="486">
        <v>0</v>
      </c>
      <c r="Y45" s="486">
        <f>SUM(W45:X45)</f>
        <v>0</v>
      </c>
      <c r="Z45" s="486">
        <f>V45+Y45</f>
        <v>-18409</v>
      </c>
      <c r="AA45" s="178">
        <f t="shared" si="1"/>
        <v>-6222</v>
      </c>
      <c r="AB45" s="745">
        <f>ROUND(V45*2%,0)</f>
        <v>-368</v>
      </c>
      <c r="AC45" s="486">
        <v>0</v>
      </c>
      <c r="AD45" s="486">
        <v>24999</v>
      </c>
      <c r="AE45" s="486">
        <f t="shared" si="2"/>
        <v>24999</v>
      </c>
      <c r="AF45" s="486">
        <f t="shared" si="3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ref="AL45:AL46" si="47">AG45+AI45+AJ45</f>
        <v>0</v>
      </c>
      <c r="AM45" s="501">
        <f t="shared" ref="AM45:AM46" si="48">AH45+AK45</f>
        <v>0</v>
      </c>
      <c r="AN45" s="502">
        <f t="shared" si="4"/>
        <v>0</v>
      </c>
      <c r="AO45" s="499">
        <f>I45+AF45</f>
        <v>8298159</v>
      </c>
      <c r="AP45" s="486">
        <f>J45+V45</f>
        <v>6030824</v>
      </c>
      <c r="AQ45" s="486">
        <f>K45+Y45</f>
        <v>0</v>
      </c>
      <c r="AR45" s="486">
        <f>L45</f>
        <v>0</v>
      </c>
      <c r="AS45" s="486">
        <f>M45+AA45</f>
        <v>2038419</v>
      </c>
      <c r="AT45" s="486">
        <f>N45+AB45</f>
        <v>120617</v>
      </c>
      <c r="AU45" s="486">
        <f>O45+AE45</f>
        <v>108299</v>
      </c>
      <c r="AV45" s="501">
        <f>P45+AN45</f>
        <v>14.4038</v>
      </c>
      <c r="AW45" s="501">
        <f>Q45+AL45</f>
        <v>10.451599999999999</v>
      </c>
      <c r="AX45" s="502">
        <f>R45+AM45</f>
        <v>3.9522000000000004</v>
      </c>
    </row>
    <row r="46" spans="1:50" ht="14.1" customHeight="1" x14ac:dyDescent="0.2">
      <c r="A46" s="585">
        <v>10</v>
      </c>
      <c r="B46" s="586">
        <v>2321</v>
      </c>
      <c r="C46" s="587">
        <v>600079287</v>
      </c>
      <c r="D46" s="586">
        <v>72742976</v>
      </c>
      <c r="E46" s="588" t="s">
        <v>591</v>
      </c>
      <c r="F46" s="585">
        <v>3141</v>
      </c>
      <c r="G46" s="588" t="s">
        <v>321</v>
      </c>
      <c r="H46" s="589" t="s">
        <v>284</v>
      </c>
      <c r="I46" s="495">
        <v>1437577</v>
      </c>
      <c r="J46" s="496">
        <v>1053474</v>
      </c>
      <c r="K46" s="475">
        <v>0</v>
      </c>
      <c r="L46" s="475">
        <v>0</v>
      </c>
      <c r="M46" s="475">
        <v>356074</v>
      </c>
      <c r="N46" s="496">
        <v>21069</v>
      </c>
      <c r="O46" s="496">
        <v>6960</v>
      </c>
      <c r="P46" s="412">
        <v>3.5799999999999996</v>
      </c>
      <c r="Q46" s="497">
        <v>0</v>
      </c>
      <c r="R46" s="498">
        <v>3.5799999999999996</v>
      </c>
      <c r="S46" s="499">
        <v>0</v>
      </c>
      <c r="T46" s="486">
        <v>0</v>
      </c>
      <c r="U46" s="486">
        <v>0</v>
      </c>
      <c r="V46" s="486">
        <f>SUM(S46:U46)</f>
        <v>0</v>
      </c>
      <c r="W46" s="486">
        <v>0</v>
      </c>
      <c r="X46" s="486">
        <v>0</v>
      </c>
      <c r="Y46" s="486">
        <f>SUM(W46:X46)</f>
        <v>0</v>
      </c>
      <c r="Z46" s="486">
        <f>V46+Y46</f>
        <v>0</v>
      </c>
      <c r="AA46" s="178">
        <f t="shared" si="1"/>
        <v>0</v>
      </c>
      <c r="AB46" s="745">
        <f>ROUND(V46*2%,0)</f>
        <v>0</v>
      </c>
      <c r="AC46" s="486">
        <v>0</v>
      </c>
      <c r="AD46" s="486">
        <v>0</v>
      </c>
      <c r="AE46" s="486">
        <f t="shared" si="2"/>
        <v>0</v>
      </c>
      <c r="AF46" s="486">
        <f t="shared" si="3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47"/>
        <v>0</v>
      </c>
      <c r="AM46" s="501">
        <f t="shared" si="48"/>
        <v>0</v>
      </c>
      <c r="AN46" s="502">
        <f t="shared" si="4"/>
        <v>0</v>
      </c>
      <c r="AO46" s="499">
        <f>I46+AF46</f>
        <v>1437577</v>
      </c>
      <c r="AP46" s="486">
        <f>J46+V46</f>
        <v>1053474</v>
      </c>
      <c r="AQ46" s="486">
        <f>K46+Y46</f>
        <v>0</v>
      </c>
      <c r="AR46" s="486">
        <f>L46</f>
        <v>0</v>
      </c>
      <c r="AS46" s="486">
        <f>M46+AA46</f>
        <v>356074</v>
      </c>
      <c r="AT46" s="486">
        <f>N46+AB46</f>
        <v>21069</v>
      </c>
      <c r="AU46" s="486">
        <f>O46+AE46</f>
        <v>6960</v>
      </c>
      <c r="AV46" s="501">
        <f>P46+AN46</f>
        <v>3.5799999999999996</v>
      </c>
      <c r="AW46" s="501">
        <f>Q46+AL46</f>
        <v>0</v>
      </c>
      <c r="AX46" s="502">
        <f>R46+AM46</f>
        <v>3.5799999999999996</v>
      </c>
    </row>
    <row r="47" spans="1:50" ht="14.1" customHeight="1" x14ac:dyDescent="0.2">
      <c r="A47" s="181">
        <v>10</v>
      </c>
      <c r="B47" s="179">
        <v>2321</v>
      </c>
      <c r="C47" s="180">
        <v>600079287</v>
      </c>
      <c r="D47" s="179">
        <v>72742976</v>
      </c>
      <c r="E47" s="578" t="s">
        <v>592</v>
      </c>
      <c r="F47" s="181"/>
      <c r="G47" s="578"/>
      <c r="H47" s="579"/>
      <c r="I47" s="580">
        <v>9735736</v>
      </c>
      <c r="J47" s="581">
        <v>7102707</v>
      </c>
      <c r="K47" s="581">
        <v>0</v>
      </c>
      <c r="L47" s="581">
        <v>0</v>
      </c>
      <c r="M47" s="581">
        <v>2400715</v>
      </c>
      <c r="N47" s="581">
        <v>142054</v>
      </c>
      <c r="O47" s="581">
        <v>90260</v>
      </c>
      <c r="P47" s="582">
        <v>17.983799999999999</v>
      </c>
      <c r="Q47" s="582">
        <v>10.451599999999999</v>
      </c>
      <c r="R47" s="584">
        <v>7.5321999999999996</v>
      </c>
      <c r="S47" s="583">
        <f t="shared" ref="S47:AX47" si="49">SUM(S45:S46)</f>
        <v>0</v>
      </c>
      <c r="T47" s="581">
        <f t="shared" si="49"/>
        <v>0</v>
      </c>
      <c r="U47" s="581">
        <f t="shared" si="49"/>
        <v>-18409</v>
      </c>
      <c r="V47" s="581">
        <f t="shared" si="49"/>
        <v>-18409</v>
      </c>
      <c r="W47" s="581">
        <f t="shared" si="49"/>
        <v>0</v>
      </c>
      <c r="X47" s="581">
        <f t="shared" si="49"/>
        <v>0</v>
      </c>
      <c r="Y47" s="581">
        <f t="shared" si="49"/>
        <v>0</v>
      </c>
      <c r="Z47" s="581">
        <f t="shared" si="49"/>
        <v>-18409</v>
      </c>
      <c r="AA47" s="581">
        <f t="shared" si="49"/>
        <v>-6222</v>
      </c>
      <c r="AB47" s="583">
        <f t="shared" si="49"/>
        <v>-368</v>
      </c>
      <c r="AC47" s="581">
        <f t="shared" si="49"/>
        <v>0</v>
      </c>
      <c r="AD47" s="581">
        <f t="shared" si="49"/>
        <v>24999</v>
      </c>
      <c r="AE47" s="581">
        <f t="shared" si="49"/>
        <v>24999</v>
      </c>
      <c r="AF47" s="581">
        <f t="shared" si="49"/>
        <v>0</v>
      </c>
      <c r="AG47" s="582">
        <f t="shared" si="49"/>
        <v>0</v>
      </c>
      <c r="AH47" s="582">
        <f t="shared" si="49"/>
        <v>0</v>
      </c>
      <c r="AI47" s="582">
        <f t="shared" si="49"/>
        <v>0</v>
      </c>
      <c r="AJ47" s="582">
        <f t="shared" si="49"/>
        <v>0</v>
      </c>
      <c r="AK47" s="582">
        <f t="shared" si="49"/>
        <v>0</v>
      </c>
      <c r="AL47" s="582">
        <f t="shared" si="49"/>
        <v>0</v>
      </c>
      <c r="AM47" s="582">
        <f t="shared" si="49"/>
        <v>0</v>
      </c>
      <c r="AN47" s="584">
        <f t="shared" si="49"/>
        <v>0</v>
      </c>
      <c r="AO47" s="583">
        <f t="shared" si="49"/>
        <v>9735736</v>
      </c>
      <c r="AP47" s="581">
        <f t="shared" si="49"/>
        <v>7084298</v>
      </c>
      <c r="AQ47" s="581">
        <f t="shared" si="49"/>
        <v>0</v>
      </c>
      <c r="AR47" s="581">
        <f t="shared" si="49"/>
        <v>0</v>
      </c>
      <c r="AS47" s="581">
        <f t="shared" si="49"/>
        <v>2394493</v>
      </c>
      <c r="AT47" s="581">
        <f t="shared" si="49"/>
        <v>141686</v>
      </c>
      <c r="AU47" s="581">
        <f t="shared" si="49"/>
        <v>115259</v>
      </c>
      <c r="AV47" s="582">
        <f t="shared" si="49"/>
        <v>17.983799999999999</v>
      </c>
      <c r="AW47" s="582">
        <f t="shared" si="49"/>
        <v>10.451599999999999</v>
      </c>
      <c r="AX47" s="584">
        <f t="shared" si="49"/>
        <v>7.5321999999999996</v>
      </c>
    </row>
    <row r="48" spans="1:50" ht="14.1" customHeight="1" x14ac:dyDescent="0.2">
      <c r="A48" s="585">
        <v>11</v>
      </c>
      <c r="B48" s="586">
        <v>2423</v>
      </c>
      <c r="C48" s="587">
        <v>600079368</v>
      </c>
      <c r="D48" s="586">
        <v>72742828</v>
      </c>
      <c r="E48" s="588" t="s">
        <v>593</v>
      </c>
      <c r="F48" s="585">
        <v>3111</v>
      </c>
      <c r="G48" s="588" t="s">
        <v>317</v>
      </c>
      <c r="H48" s="589" t="s">
        <v>283</v>
      </c>
      <c r="I48" s="495">
        <v>3452239</v>
      </c>
      <c r="J48" s="411">
        <v>2497702</v>
      </c>
      <c r="K48" s="520">
        <v>20000</v>
      </c>
      <c r="L48" s="520">
        <v>0</v>
      </c>
      <c r="M48" s="475">
        <v>850983</v>
      </c>
      <c r="N48" s="496">
        <v>49954</v>
      </c>
      <c r="O48" s="411">
        <v>33600</v>
      </c>
      <c r="P48" s="412">
        <v>5.6155999999999988</v>
      </c>
      <c r="Q48" s="415">
        <v>4.2257999999999996</v>
      </c>
      <c r="R48" s="685">
        <v>1.3897999999999999</v>
      </c>
      <c r="S48" s="499">
        <v>0</v>
      </c>
      <c r="T48" s="486">
        <v>0</v>
      </c>
      <c r="U48" s="486">
        <v>-13623</v>
      </c>
      <c r="V48" s="486">
        <f>SUM(S48:U48)</f>
        <v>-13623</v>
      </c>
      <c r="W48" s="486">
        <v>0</v>
      </c>
      <c r="X48" s="486">
        <v>0</v>
      </c>
      <c r="Y48" s="486">
        <f>SUM(W48:X48)</f>
        <v>0</v>
      </c>
      <c r="Z48" s="486">
        <f>V48+Y48</f>
        <v>-13623</v>
      </c>
      <c r="AA48" s="178">
        <f t="shared" si="1"/>
        <v>-4605</v>
      </c>
      <c r="AB48" s="745">
        <f>ROUND(V48*2%,0)</f>
        <v>-272</v>
      </c>
      <c r="AC48" s="486">
        <v>0</v>
      </c>
      <c r="AD48" s="486">
        <v>18500</v>
      </c>
      <c r="AE48" s="486">
        <f t="shared" si="2"/>
        <v>18500</v>
      </c>
      <c r="AF48" s="486">
        <f t="shared" si="3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ref="AL48:AL49" si="50">AG48+AI48+AJ48</f>
        <v>0</v>
      </c>
      <c r="AM48" s="501">
        <f t="shared" ref="AM48:AM49" si="51">AH48+AK48</f>
        <v>0</v>
      </c>
      <c r="AN48" s="502">
        <f t="shared" si="4"/>
        <v>0</v>
      </c>
      <c r="AO48" s="499">
        <f>I48+AF48</f>
        <v>3452239</v>
      </c>
      <c r="AP48" s="486">
        <f>J48+V48</f>
        <v>2484079</v>
      </c>
      <c r="AQ48" s="486">
        <f>K48+Y48</f>
        <v>20000</v>
      </c>
      <c r="AR48" s="486">
        <f>L48</f>
        <v>0</v>
      </c>
      <c r="AS48" s="486">
        <f>M48+AA48</f>
        <v>846378</v>
      </c>
      <c r="AT48" s="486">
        <f>N48+AB48</f>
        <v>49682</v>
      </c>
      <c r="AU48" s="486">
        <f>O48+AE48</f>
        <v>52100</v>
      </c>
      <c r="AV48" s="501">
        <f>P48+AN48</f>
        <v>5.6155999999999988</v>
      </c>
      <c r="AW48" s="501">
        <f>Q48+AL48</f>
        <v>4.2257999999999996</v>
      </c>
      <c r="AX48" s="502">
        <f>R48+AM48</f>
        <v>1.3897999999999999</v>
      </c>
    </row>
    <row r="49" spans="1:56" ht="14.1" customHeight="1" x14ac:dyDescent="0.2">
      <c r="A49" s="585">
        <v>11</v>
      </c>
      <c r="B49" s="586">
        <v>2423</v>
      </c>
      <c r="C49" s="587">
        <v>600079368</v>
      </c>
      <c r="D49" s="586">
        <v>72742828</v>
      </c>
      <c r="E49" s="588" t="s">
        <v>593</v>
      </c>
      <c r="F49" s="585">
        <v>3141</v>
      </c>
      <c r="G49" s="588" t="s">
        <v>321</v>
      </c>
      <c r="H49" s="589" t="s">
        <v>284</v>
      </c>
      <c r="I49" s="495">
        <v>619426</v>
      </c>
      <c r="J49" s="496">
        <v>454081</v>
      </c>
      <c r="K49" s="475">
        <v>0</v>
      </c>
      <c r="L49" s="475">
        <v>0</v>
      </c>
      <c r="M49" s="475">
        <v>153479</v>
      </c>
      <c r="N49" s="496">
        <v>9082</v>
      </c>
      <c r="O49" s="496">
        <v>2784</v>
      </c>
      <c r="P49" s="412">
        <v>1.54</v>
      </c>
      <c r="Q49" s="497">
        <v>0</v>
      </c>
      <c r="R49" s="498">
        <v>1.54</v>
      </c>
      <c r="S49" s="499">
        <v>0</v>
      </c>
      <c r="T49" s="486">
        <v>0</v>
      </c>
      <c r="U49" s="486">
        <v>0</v>
      </c>
      <c r="V49" s="486">
        <f>SUM(S49:U49)</f>
        <v>0</v>
      </c>
      <c r="W49" s="486">
        <v>0</v>
      </c>
      <c r="X49" s="486">
        <v>0</v>
      </c>
      <c r="Y49" s="486">
        <f>SUM(W49:X49)</f>
        <v>0</v>
      </c>
      <c r="Z49" s="486">
        <f>V49+Y49</f>
        <v>0</v>
      </c>
      <c r="AA49" s="178">
        <f t="shared" si="1"/>
        <v>0</v>
      </c>
      <c r="AB49" s="745">
        <f>ROUND(V49*2%,0)</f>
        <v>0</v>
      </c>
      <c r="AC49" s="486">
        <v>0</v>
      </c>
      <c r="AD49" s="486">
        <v>0</v>
      </c>
      <c r="AE49" s="486">
        <f t="shared" si="2"/>
        <v>0</v>
      </c>
      <c r="AF49" s="486">
        <f t="shared" si="3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50"/>
        <v>0</v>
      </c>
      <c r="AM49" s="501">
        <f t="shared" si="51"/>
        <v>0</v>
      </c>
      <c r="AN49" s="502">
        <f t="shared" si="4"/>
        <v>0</v>
      </c>
      <c r="AO49" s="499">
        <f>I49+AF49</f>
        <v>619426</v>
      </c>
      <c r="AP49" s="486">
        <f>J49+V49</f>
        <v>454081</v>
      </c>
      <c r="AQ49" s="486">
        <f>K49+Y49</f>
        <v>0</v>
      </c>
      <c r="AR49" s="486">
        <f>L49</f>
        <v>0</v>
      </c>
      <c r="AS49" s="486">
        <f>M49+AA49</f>
        <v>153479</v>
      </c>
      <c r="AT49" s="486">
        <f>N49+AB49</f>
        <v>9082</v>
      </c>
      <c r="AU49" s="486">
        <f>O49+AE49</f>
        <v>2784</v>
      </c>
      <c r="AV49" s="501">
        <f>P49+AN49</f>
        <v>1.54</v>
      </c>
      <c r="AW49" s="501">
        <f>Q49+AL49</f>
        <v>0</v>
      </c>
      <c r="AX49" s="502">
        <f>R49+AM49</f>
        <v>1.54</v>
      </c>
    </row>
    <row r="50" spans="1:56" ht="14.1" customHeight="1" x14ac:dyDescent="0.2">
      <c r="A50" s="181">
        <v>11</v>
      </c>
      <c r="B50" s="179">
        <v>2423</v>
      </c>
      <c r="C50" s="180">
        <v>600079368</v>
      </c>
      <c r="D50" s="179">
        <v>72742828</v>
      </c>
      <c r="E50" s="578" t="s">
        <v>594</v>
      </c>
      <c r="F50" s="181"/>
      <c r="G50" s="578"/>
      <c r="H50" s="579"/>
      <c r="I50" s="580">
        <v>4071665</v>
      </c>
      <c r="J50" s="581">
        <v>2951783</v>
      </c>
      <c r="K50" s="581">
        <v>20000</v>
      </c>
      <c r="L50" s="581">
        <v>0</v>
      </c>
      <c r="M50" s="581">
        <v>1004462</v>
      </c>
      <c r="N50" s="581">
        <v>59036</v>
      </c>
      <c r="O50" s="581">
        <v>36384</v>
      </c>
      <c r="P50" s="582">
        <v>7.1555999999999989</v>
      </c>
      <c r="Q50" s="582">
        <v>4.2257999999999996</v>
      </c>
      <c r="R50" s="584">
        <v>2.9298000000000002</v>
      </c>
      <c r="S50" s="583">
        <f t="shared" ref="S50:AX50" si="52">SUM(S48:S49)</f>
        <v>0</v>
      </c>
      <c r="T50" s="581">
        <f t="shared" si="52"/>
        <v>0</v>
      </c>
      <c r="U50" s="581">
        <f t="shared" si="52"/>
        <v>-13623</v>
      </c>
      <c r="V50" s="581">
        <f t="shared" si="52"/>
        <v>-13623</v>
      </c>
      <c r="W50" s="581">
        <f t="shared" si="52"/>
        <v>0</v>
      </c>
      <c r="X50" s="581">
        <f t="shared" si="52"/>
        <v>0</v>
      </c>
      <c r="Y50" s="581">
        <f t="shared" si="52"/>
        <v>0</v>
      </c>
      <c r="Z50" s="581">
        <f t="shared" si="52"/>
        <v>-13623</v>
      </c>
      <c r="AA50" s="581">
        <f t="shared" si="52"/>
        <v>-4605</v>
      </c>
      <c r="AB50" s="583">
        <f t="shared" si="52"/>
        <v>-272</v>
      </c>
      <c r="AC50" s="581">
        <f t="shared" si="52"/>
        <v>0</v>
      </c>
      <c r="AD50" s="581">
        <f t="shared" si="52"/>
        <v>18500</v>
      </c>
      <c r="AE50" s="581">
        <f t="shared" si="52"/>
        <v>18500</v>
      </c>
      <c r="AF50" s="581">
        <f t="shared" si="52"/>
        <v>0</v>
      </c>
      <c r="AG50" s="582">
        <f t="shared" si="52"/>
        <v>0</v>
      </c>
      <c r="AH50" s="582">
        <f t="shared" si="52"/>
        <v>0</v>
      </c>
      <c r="AI50" s="582">
        <f t="shared" si="52"/>
        <v>0</v>
      </c>
      <c r="AJ50" s="582">
        <f t="shared" si="52"/>
        <v>0</v>
      </c>
      <c r="AK50" s="582">
        <f t="shared" si="52"/>
        <v>0</v>
      </c>
      <c r="AL50" s="582">
        <f t="shared" si="52"/>
        <v>0</v>
      </c>
      <c r="AM50" s="582">
        <f t="shared" si="52"/>
        <v>0</v>
      </c>
      <c r="AN50" s="584">
        <f t="shared" si="52"/>
        <v>0</v>
      </c>
      <c r="AO50" s="583">
        <f t="shared" si="52"/>
        <v>4071665</v>
      </c>
      <c r="AP50" s="581">
        <f t="shared" si="52"/>
        <v>2938160</v>
      </c>
      <c r="AQ50" s="581">
        <f t="shared" si="52"/>
        <v>20000</v>
      </c>
      <c r="AR50" s="581">
        <f t="shared" si="52"/>
        <v>0</v>
      </c>
      <c r="AS50" s="581">
        <f t="shared" si="52"/>
        <v>999857</v>
      </c>
      <c r="AT50" s="581">
        <f t="shared" si="52"/>
        <v>58764</v>
      </c>
      <c r="AU50" s="581">
        <f t="shared" si="52"/>
        <v>54884</v>
      </c>
      <c r="AV50" s="582">
        <f t="shared" si="52"/>
        <v>7.1555999999999989</v>
      </c>
      <c r="AW50" s="582">
        <f t="shared" si="52"/>
        <v>4.2257999999999996</v>
      </c>
      <c r="AX50" s="584">
        <f t="shared" si="52"/>
        <v>2.9298000000000002</v>
      </c>
    </row>
    <row r="51" spans="1:56" ht="14.1" customHeight="1" x14ac:dyDescent="0.2">
      <c r="A51" s="585">
        <v>12</v>
      </c>
      <c r="B51" s="586">
        <v>2428</v>
      </c>
      <c r="C51" s="587">
        <v>600079112</v>
      </c>
      <c r="D51" s="586">
        <v>72743140</v>
      </c>
      <c r="E51" s="588" t="s">
        <v>595</v>
      </c>
      <c r="F51" s="585">
        <v>3111</v>
      </c>
      <c r="G51" s="588" t="s">
        <v>317</v>
      </c>
      <c r="H51" s="589" t="s">
        <v>283</v>
      </c>
      <c r="I51" s="495">
        <v>6451655</v>
      </c>
      <c r="J51" s="411">
        <v>4701366</v>
      </c>
      <c r="K51" s="520">
        <v>0</v>
      </c>
      <c r="L51" s="520">
        <v>0</v>
      </c>
      <c r="M51" s="475">
        <v>1589062</v>
      </c>
      <c r="N51" s="496">
        <v>94027</v>
      </c>
      <c r="O51" s="411">
        <v>67200</v>
      </c>
      <c r="P51" s="412">
        <v>10.8682</v>
      </c>
      <c r="Q51" s="415">
        <v>8</v>
      </c>
      <c r="R51" s="685">
        <v>2.8681999999999999</v>
      </c>
      <c r="S51" s="499"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486">
        <v>0</v>
      </c>
      <c r="Y51" s="486">
        <f>SUM(W51:X51)</f>
        <v>0</v>
      </c>
      <c r="Z51" s="486">
        <f>V51+Y51</f>
        <v>0</v>
      </c>
      <c r="AA51" s="178">
        <f t="shared" si="1"/>
        <v>0</v>
      </c>
      <c r="AB51" s="745">
        <f>ROUND(V51*2%,0)</f>
        <v>0</v>
      </c>
      <c r="AC51" s="486">
        <v>0</v>
      </c>
      <c r="AD51" s="486">
        <v>0</v>
      </c>
      <c r="AE51" s="486">
        <f t="shared" si="2"/>
        <v>0</v>
      </c>
      <c r="AF51" s="486">
        <f t="shared" si="3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ref="AL51:AL52" si="53">AG51+AI51+AJ51</f>
        <v>0</v>
      </c>
      <c r="AM51" s="501">
        <f t="shared" ref="AM51:AM52" si="54">AH51+AK51</f>
        <v>0</v>
      </c>
      <c r="AN51" s="502">
        <f t="shared" si="4"/>
        <v>0</v>
      </c>
      <c r="AO51" s="499">
        <f>I51+AF51</f>
        <v>6451655</v>
      </c>
      <c r="AP51" s="486">
        <f>J51+V51</f>
        <v>4701366</v>
      </c>
      <c r="AQ51" s="486">
        <f>K51+Y51</f>
        <v>0</v>
      </c>
      <c r="AR51" s="486">
        <f>L51</f>
        <v>0</v>
      </c>
      <c r="AS51" s="486">
        <f>M51+AA51</f>
        <v>1589062</v>
      </c>
      <c r="AT51" s="486">
        <f>N51+AB51</f>
        <v>94027</v>
      </c>
      <c r="AU51" s="486">
        <f>O51+AE51</f>
        <v>67200</v>
      </c>
      <c r="AV51" s="501">
        <f>P51+AN51</f>
        <v>10.8682</v>
      </c>
      <c r="AW51" s="501">
        <f>Q51+AL51</f>
        <v>8</v>
      </c>
      <c r="AX51" s="502">
        <f>R51+AM51</f>
        <v>2.8681999999999999</v>
      </c>
    </row>
    <row r="52" spans="1:56" ht="14.1" customHeight="1" x14ac:dyDescent="0.2">
      <c r="A52" s="585">
        <v>12</v>
      </c>
      <c r="B52" s="586">
        <v>2428</v>
      </c>
      <c r="C52" s="587">
        <v>600079112</v>
      </c>
      <c r="D52" s="586">
        <v>72743140</v>
      </c>
      <c r="E52" s="588" t="s">
        <v>595</v>
      </c>
      <c r="F52" s="585">
        <v>3141</v>
      </c>
      <c r="G52" s="588" t="s">
        <v>321</v>
      </c>
      <c r="H52" s="589" t="s">
        <v>284</v>
      </c>
      <c r="I52" s="495">
        <v>994665</v>
      </c>
      <c r="J52" s="496">
        <v>727757</v>
      </c>
      <c r="K52" s="475">
        <v>600</v>
      </c>
      <c r="L52" s="475">
        <v>0</v>
      </c>
      <c r="M52" s="475">
        <v>246185</v>
      </c>
      <c r="N52" s="496">
        <v>14555</v>
      </c>
      <c r="O52" s="496">
        <v>5568</v>
      </c>
      <c r="P52" s="412">
        <v>2.48</v>
      </c>
      <c r="Q52" s="497">
        <v>0</v>
      </c>
      <c r="R52" s="498">
        <v>2.48</v>
      </c>
      <c r="S52" s="499"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486">
        <v>0</v>
      </c>
      <c r="Y52" s="486">
        <f>SUM(W52:X52)</f>
        <v>0</v>
      </c>
      <c r="Z52" s="486">
        <f>V52+Y52</f>
        <v>0</v>
      </c>
      <c r="AA52" s="178">
        <f t="shared" si="1"/>
        <v>0</v>
      </c>
      <c r="AB52" s="745">
        <f>ROUND(V52*2%,0)</f>
        <v>0</v>
      </c>
      <c r="AC52" s="486">
        <v>0</v>
      </c>
      <c r="AD52" s="486">
        <v>0</v>
      </c>
      <c r="AE52" s="486">
        <f t="shared" si="2"/>
        <v>0</v>
      </c>
      <c r="AF52" s="486">
        <f t="shared" si="3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53"/>
        <v>0</v>
      </c>
      <c r="AM52" s="501">
        <f t="shared" si="54"/>
        <v>0</v>
      </c>
      <c r="AN52" s="502">
        <f t="shared" si="4"/>
        <v>0</v>
      </c>
      <c r="AO52" s="499">
        <f>I52+AF52</f>
        <v>994665</v>
      </c>
      <c r="AP52" s="486">
        <f>J52+V52</f>
        <v>727757</v>
      </c>
      <c r="AQ52" s="486">
        <f>K52+Y52</f>
        <v>600</v>
      </c>
      <c r="AR52" s="486">
        <f>L52</f>
        <v>0</v>
      </c>
      <c r="AS52" s="486">
        <f>M52+AA52</f>
        <v>246185</v>
      </c>
      <c r="AT52" s="486">
        <f>N52+AB52</f>
        <v>14555</v>
      </c>
      <c r="AU52" s="486">
        <f>O52+AE52</f>
        <v>5568</v>
      </c>
      <c r="AV52" s="501">
        <f>P52+AN52</f>
        <v>2.48</v>
      </c>
      <c r="AW52" s="501">
        <f>Q52+AL52</f>
        <v>0</v>
      </c>
      <c r="AX52" s="502">
        <f>R52+AM52</f>
        <v>2.48</v>
      </c>
    </row>
    <row r="53" spans="1:56" ht="14.1" customHeight="1" x14ac:dyDescent="0.2">
      <c r="A53" s="181">
        <v>12</v>
      </c>
      <c r="B53" s="179">
        <v>2428</v>
      </c>
      <c r="C53" s="180">
        <v>600079112</v>
      </c>
      <c r="D53" s="179">
        <v>72743140</v>
      </c>
      <c r="E53" s="578" t="s">
        <v>596</v>
      </c>
      <c r="F53" s="181"/>
      <c r="G53" s="578"/>
      <c r="H53" s="579"/>
      <c r="I53" s="580">
        <v>7446320</v>
      </c>
      <c r="J53" s="581">
        <v>5429123</v>
      </c>
      <c r="K53" s="581">
        <v>600</v>
      </c>
      <c r="L53" s="581">
        <v>0</v>
      </c>
      <c r="M53" s="581">
        <v>1835247</v>
      </c>
      <c r="N53" s="581">
        <v>108582</v>
      </c>
      <c r="O53" s="581">
        <v>72768</v>
      </c>
      <c r="P53" s="582">
        <v>13.3482</v>
      </c>
      <c r="Q53" s="582">
        <v>8</v>
      </c>
      <c r="R53" s="584">
        <v>5.3482000000000003</v>
      </c>
      <c r="S53" s="583">
        <f t="shared" ref="S53:AX53" si="55">SUM(S51:S52)</f>
        <v>0</v>
      </c>
      <c r="T53" s="581">
        <f t="shared" si="55"/>
        <v>0</v>
      </c>
      <c r="U53" s="581">
        <f t="shared" si="55"/>
        <v>0</v>
      </c>
      <c r="V53" s="581">
        <f t="shared" si="55"/>
        <v>0</v>
      </c>
      <c r="W53" s="581">
        <f t="shared" si="55"/>
        <v>0</v>
      </c>
      <c r="X53" s="581">
        <f t="shared" si="55"/>
        <v>0</v>
      </c>
      <c r="Y53" s="581">
        <f t="shared" si="55"/>
        <v>0</v>
      </c>
      <c r="Z53" s="581">
        <f t="shared" si="55"/>
        <v>0</v>
      </c>
      <c r="AA53" s="581">
        <f t="shared" si="55"/>
        <v>0</v>
      </c>
      <c r="AB53" s="583">
        <f t="shared" si="55"/>
        <v>0</v>
      </c>
      <c r="AC53" s="581">
        <f t="shared" si="55"/>
        <v>0</v>
      </c>
      <c r="AD53" s="581">
        <f t="shared" si="55"/>
        <v>0</v>
      </c>
      <c r="AE53" s="581">
        <f t="shared" si="55"/>
        <v>0</v>
      </c>
      <c r="AF53" s="581">
        <f t="shared" si="55"/>
        <v>0</v>
      </c>
      <c r="AG53" s="582">
        <f t="shared" si="55"/>
        <v>0</v>
      </c>
      <c r="AH53" s="582">
        <f t="shared" si="55"/>
        <v>0</v>
      </c>
      <c r="AI53" s="582">
        <f t="shared" si="55"/>
        <v>0</v>
      </c>
      <c r="AJ53" s="582">
        <f t="shared" si="55"/>
        <v>0</v>
      </c>
      <c r="AK53" s="582">
        <f t="shared" si="55"/>
        <v>0</v>
      </c>
      <c r="AL53" s="582">
        <f t="shared" si="55"/>
        <v>0</v>
      </c>
      <c r="AM53" s="582">
        <f t="shared" si="55"/>
        <v>0</v>
      </c>
      <c r="AN53" s="584">
        <f t="shared" si="55"/>
        <v>0</v>
      </c>
      <c r="AO53" s="583">
        <f t="shared" si="55"/>
        <v>7446320</v>
      </c>
      <c r="AP53" s="581">
        <f t="shared" si="55"/>
        <v>5429123</v>
      </c>
      <c r="AQ53" s="581">
        <f t="shared" si="55"/>
        <v>600</v>
      </c>
      <c r="AR53" s="581">
        <f t="shared" si="55"/>
        <v>0</v>
      </c>
      <c r="AS53" s="581">
        <f t="shared" si="55"/>
        <v>1835247</v>
      </c>
      <c r="AT53" s="581">
        <f t="shared" si="55"/>
        <v>108582</v>
      </c>
      <c r="AU53" s="581">
        <f t="shared" si="55"/>
        <v>72768</v>
      </c>
      <c r="AV53" s="582">
        <f t="shared" si="55"/>
        <v>13.3482</v>
      </c>
      <c r="AW53" s="582">
        <f t="shared" si="55"/>
        <v>8</v>
      </c>
      <c r="AX53" s="584">
        <f t="shared" si="55"/>
        <v>5.3482000000000003</v>
      </c>
    </row>
    <row r="54" spans="1:56" ht="14.1" customHeight="1" x14ac:dyDescent="0.2">
      <c r="A54" s="585">
        <v>13</v>
      </c>
      <c r="B54" s="586">
        <v>2413</v>
      </c>
      <c r="C54" s="587">
        <v>600079601</v>
      </c>
      <c r="D54" s="586">
        <v>72742909</v>
      </c>
      <c r="E54" s="588" t="s">
        <v>597</v>
      </c>
      <c r="F54" s="585">
        <v>3111</v>
      </c>
      <c r="G54" s="588" t="s">
        <v>317</v>
      </c>
      <c r="H54" s="589" t="s">
        <v>283</v>
      </c>
      <c r="I54" s="495">
        <v>4978466</v>
      </c>
      <c r="J54" s="411">
        <v>3614187</v>
      </c>
      <c r="K54" s="520">
        <v>0</v>
      </c>
      <c r="L54" s="520">
        <v>0</v>
      </c>
      <c r="M54" s="475">
        <v>1221595</v>
      </c>
      <c r="N54" s="496">
        <v>72283</v>
      </c>
      <c r="O54" s="411">
        <v>70401</v>
      </c>
      <c r="P54" s="412">
        <v>8.1341999999999999</v>
      </c>
      <c r="Q54" s="415">
        <v>6</v>
      </c>
      <c r="R54" s="685">
        <v>2.1341999999999999</v>
      </c>
      <c r="S54" s="499"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486">
        <v>0</v>
      </c>
      <c r="Y54" s="486">
        <f>SUM(W54:X54)</f>
        <v>0</v>
      </c>
      <c r="Z54" s="486">
        <f>V54+Y54</f>
        <v>0</v>
      </c>
      <c r="AA54" s="178">
        <f t="shared" si="1"/>
        <v>0</v>
      </c>
      <c r="AB54" s="745">
        <f>ROUND(V54*2%,0)</f>
        <v>0</v>
      </c>
      <c r="AC54" s="486">
        <v>0</v>
      </c>
      <c r="AD54" s="486">
        <v>0</v>
      </c>
      <c r="AE54" s="486">
        <f t="shared" si="2"/>
        <v>0</v>
      </c>
      <c r="AF54" s="486">
        <f t="shared" si="3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ref="AL54:AL56" si="56">AG54+AI54+AJ54</f>
        <v>0</v>
      </c>
      <c r="AM54" s="501">
        <f t="shared" ref="AM54:AM56" si="57">AH54+AK54</f>
        <v>0</v>
      </c>
      <c r="AN54" s="502">
        <f t="shared" si="4"/>
        <v>0</v>
      </c>
      <c r="AO54" s="499">
        <f>I54+AF54</f>
        <v>4978466</v>
      </c>
      <c r="AP54" s="486">
        <f>J54+V54</f>
        <v>3614187</v>
      </c>
      <c r="AQ54" s="486">
        <f>K54+Y54</f>
        <v>0</v>
      </c>
      <c r="AR54" s="486">
        <f>L54</f>
        <v>0</v>
      </c>
      <c r="AS54" s="486">
        <f t="shared" ref="AS54:AT56" si="58">M54+AA54</f>
        <v>1221595</v>
      </c>
      <c r="AT54" s="486">
        <f t="shared" si="58"/>
        <v>72283</v>
      </c>
      <c r="AU54" s="486">
        <f>O54+AE54</f>
        <v>70401</v>
      </c>
      <c r="AV54" s="501">
        <f>P54+AN54</f>
        <v>8.1341999999999999</v>
      </c>
      <c r="AW54" s="501">
        <f t="shared" ref="AW54:AX56" si="59">Q54+AL54</f>
        <v>6</v>
      </c>
      <c r="AX54" s="502">
        <f t="shared" si="59"/>
        <v>2.1341999999999999</v>
      </c>
    </row>
    <row r="55" spans="1:56" ht="14.1" customHeight="1" x14ac:dyDescent="0.2">
      <c r="A55" s="585">
        <v>13</v>
      </c>
      <c r="B55" s="586">
        <v>2413</v>
      </c>
      <c r="C55" s="587">
        <v>600079601</v>
      </c>
      <c r="D55" s="586">
        <v>72742909</v>
      </c>
      <c r="E55" s="588" t="s">
        <v>597</v>
      </c>
      <c r="F55" s="585">
        <v>3111</v>
      </c>
      <c r="G55" s="208" t="s">
        <v>318</v>
      </c>
      <c r="H55" s="589" t="s">
        <v>284</v>
      </c>
      <c r="I55" s="495">
        <v>15400</v>
      </c>
      <c r="J55" s="496">
        <v>11340</v>
      </c>
      <c r="K55" s="475">
        <v>0</v>
      </c>
      <c r="L55" s="475">
        <v>0</v>
      </c>
      <c r="M55" s="475">
        <v>3833</v>
      </c>
      <c r="N55" s="496">
        <v>227</v>
      </c>
      <c r="O55" s="496">
        <v>0</v>
      </c>
      <c r="P55" s="412">
        <v>3.0000000000000002E-2</v>
      </c>
      <c r="Q55" s="497">
        <v>3.0000000000000002E-2</v>
      </c>
      <c r="R55" s="498">
        <v>0</v>
      </c>
      <c r="S55" s="499"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178">
        <f t="shared" si="1"/>
        <v>0</v>
      </c>
      <c r="AB55" s="745">
        <f>ROUND(V55*2%,0)</f>
        <v>0</v>
      </c>
      <c r="AC55" s="486">
        <v>0</v>
      </c>
      <c r="AD55" s="486">
        <v>0</v>
      </c>
      <c r="AE55" s="486">
        <f t="shared" si="2"/>
        <v>0</v>
      </c>
      <c r="AF55" s="486">
        <f t="shared" si="3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56"/>
        <v>0</v>
      </c>
      <c r="AM55" s="501">
        <f t="shared" si="57"/>
        <v>0</v>
      </c>
      <c r="AN55" s="502">
        <f t="shared" si="4"/>
        <v>0</v>
      </c>
      <c r="AO55" s="499">
        <f>I55+AF55</f>
        <v>15400</v>
      </c>
      <c r="AP55" s="486">
        <f>J55+V55</f>
        <v>11340</v>
      </c>
      <c r="AQ55" s="486">
        <f>K55+Y55</f>
        <v>0</v>
      </c>
      <c r="AR55" s="486">
        <f>L55</f>
        <v>0</v>
      </c>
      <c r="AS55" s="486">
        <f t="shared" si="58"/>
        <v>3833</v>
      </c>
      <c r="AT55" s="486">
        <f t="shared" si="58"/>
        <v>227</v>
      </c>
      <c r="AU55" s="486">
        <f>O55+AE55</f>
        <v>0</v>
      </c>
      <c r="AV55" s="501">
        <f>P55+AN55</f>
        <v>3.0000000000000002E-2</v>
      </c>
      <c r="AW55" s="501">
        <f t="shared" si="59"/>
        <v>3.0000000000000002E-2</v>
      </c>
      <c r="AX55" s="502">
        <f t="shared" si="59"/>
        <v>0</v>
      </c>
      <c r="AY55" s="195"/>
      <c r="AZ55" s="195"/>
      <c r="BA55" s="195"/>
      <c r="BB55" s="195"/>
      <c r="BC55" s="195"/>
      <c r="BD55" s="195"/>
    </row>
    <row r="56" spans="1:56" ht="14.1" customHeight="1" x14ac:dyDescent="0.2">
      <c r="A56" s="585">
        <v>13</v>
      </c>
      <c r="B56" s="586">
        <v>2413</v>
      </c>
      <c r="C56" s="587">
        <v>600079601</v>
      </c>
      <c r="D56" s="586">
        <v>72742909</v>
      </c>
      <c r="E56" s="588" t="s">
        <v>597</v>
      </c>
      <c r="F56" s="585">
        <v>3141</v>
      </c>
      <c r="G56" s="588" t="s">
        <v>321</v>
      </c>
      <c r="H56" s="589" t="s">
        <v>284</v>
      </c>
      <c r="I56" s="495">
        <v>807581</v>
      </c>
      <c r="J56" s="496">
        <v>591609</v>
      </c>
      <c r="K56" s="475">
        <v>0</v>
      </c>
      <c r="L56" s="475">
        <v>0</v>
      </c>
      <c r="M56" s="475">
        <v>199964</v>
      </c>
      <c r="N56" s="496">
        <v>11832</v>
      </c>
      <c r="O56" s="496">
        <v>4176</v>
      </c>
      <c r="P56" s="412">
        <v>2.0099999999999998</v>
      </c>
      <c r="Q56" s="497">
        <v>0</v>
      </c>
      <c r="R56" s="498">
        <v>2.0099999999999998</v>
      </c>
      <c r="S56" s="499">
        <v>0</v>
      </c>
      <c r="T56" s="486">
        <v>0</v>
      </c>
      <c r="U56" s="486">
        <v>0</v>
      </c>
      <c r="V56" s="486">
        <f>SUM(S56:U56)</f>
        <v>0</v>
      </c>
      <c r="W56" s="486">
        <v>0</v>
      </c>
      <c r="X56" s="486">
        <v>0</v>
      </c>
      <c r="Y56" s="486">
        <f>SUM(W56:X56)</f>
        <v>0</v>
      </c>
      <c r="Z56" s="486">
        <f>V56+Y56</f>
        <v>0</v>
      </c>
      <c r="AA56" s="178">
        <f t="shared" si="1"/>
        <v>0</v>
      </c>
      <c r="AB56" s="745">
        <f>ROUND(V56*2%,0)</f>
        <v>0</v>
      </c>
      <c r="AC56" s="486">
        <v>0</v>
      </c>
      <c r="AD56" s="486">
        <v>0</v>
      </c>
      <c r="AE56" s="486">
        <f t="shared" si="2"/>
        <v>0</v>
      </c>
      <c r="AF56" s="486">
        <f t="shared" si="3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si="56"/>
        <v>0</v>
      </c>
      <c r="AM56" s="501">
        <f t="shared" si="57"/>
        <v>0</v>
      </c>
      <c r="AN56" s="502">
        <f t="shared" si="4"/>
        <v>0</v>
      </c>
      <c r="AO56" s="499">
        <f>I56+AF56</f>
        <v>807581</v>
      </c>
      <c r="AP56" s="486">
        <f>J56+V56</f>
        <v>591609</v>
      </c>
      <c r="AQ56" s="486">
        <f>K56+Y56</f>
        <v>0</v>
      </c>
      <c r="AR56" s="486">
        <f>L56</f>
        <v>0</v>
      </c>
      <c r="AS56" s="486">
        <f t="shared" si="58"/>
        <v>199964</v>
      </c>
      <c r="AT56" s="486">
        <f t="shared" si="58"/>
        <v>11832</v>
      </c>
      <c r="AU56" s="486">
        <f>O56+AE56</f>
        <v>4176</v>
      </c>
      <c r="AV56" s="501">
        <f>P56+AN56</f>
        <v>2.0099999999999998</v>
      </c>
      <c r="AW56" s="501">
        <f t="shared" si="59"/>
        <v>0</v>
      </c>
      <c r="AX56" s="502">
        <f t="shared" si="59"/>
        <v>2.0099999999999998</v>
      </c>
    </row>
    <row r="57" spans="1:56" ht="14.1" customHeight="1" x14ac:dyDescent="0.2">
      <c r="A57" s="181">
        <v>13</v>
      </c>
      <c r="B57" s="179">
        <v>2413</v>
      </c>
      <c r="C57" s="180">
        <v>600079601</v>
      </c>
      <c r="D57" s="179">
        <v>72742909</v>
      </c>
      <c r="E57" s="578" t="s">
        <v>598</v>
      </c>
      <c r="F57" s="181"/>
      <c r="G57" s="578"/>
      <c r="H57" s="579"/>
      <c r="I57" s="580">
        <v>5801447</v>
      </c>
      <c r="J57" s="581">
        <v>4217136</v>
      </c>
      <c r="K57" s="581">
        <v>0</v>
      </c>
      <c r="L57" s="581">
        <v>0</v>
      </c>
      <c r="M57" s="581">
        <v>1425392</v>
      </c>
      <c r="N57" s="581">
        <v>84342</v>
      </c>
      <c r="O57" s="581">
        <v>74577</v>
      </c>
      <c r="P57" s="582">
        <v>10.174199999999999</v>
      </c>
      <c r="Q57" s="582">
        <v>6.03</v>
      </c>
      <c r="R57" s="584">
        <v>4.1441999999999997</v>
      </c>
      <c r="S57" s="583">
        <f t="shared" ref="S57:AX57" si="60">SUM(S54:S56)</f>
        <v>0</v>
      </c>
      <c r="T57" s="581">
        <f t="shared" si="60"/>
        <v>0</v>
      </c>
      <c r="U57" s="581">
        <f t="shared" si="60"/>
        <v>0</v>
      </c>
      <c r="V57" s="581">
        <f t="shared" si="60"/>
        <v>0</v>
      </c>
      <c r="W57" s="581">
        <f t="shared" si="60"/>
        <v>0</v>
      </c>
      <c r="X57" s="581">
        <f t="shared" si="60"/>
        <v>0</v>
      </c>
      <c r="Y57" s="581">
        <f t="shared" si="60"/>
        <v>0</v>
      </c>
      <c r="Z57" s="581">
        <f t="shared" si="60"/>
        <v>0</v>
      </c>
      <c r="AA57" s="581">
        <f t="shared" si="60"/>
        <v>0</v>
      </c>
      <c r="AB57" s="583">
        <f t="shared" si="60"/>
        <v>0</v>
      </c>
      <c r="AC57" s="581">
        <f t="shared" si="60"/>
        <v>0</v>
      </c>
      <c r="AD57" s="581">
        <f t="shared" si="60"/>
        <v>0</v>
      </c>
      <c r="AE57" s="581">
        <f t="shared" si="60"/>
        <v>0</v>
      </c>
      <c r="AF57" s="581">
        <f t="shared" si="60"/>
        <v>0</v>
      </c>
      <c r="AG57" s="582">
        <f t="shared" si="60"/>
        <v>0</v>
      </c>
      <c r="AH57" s="582">
        <f t="shared" si="60"/>
        <v>0</v>
      </c>
      <c r="AI57" s="582">
        <f t="shared" si="60"/>
        <v>0</v>
      </c>
      <c r="AJ57" s="582">
        <f t="shared" si="60"/>
        <v>0</v>
      </c>
      <c r="AK57" s="582">
        <f t="shared" si="60"/>
        <v>0</v>
      </c>
      <c r="AL57" s="582">
        <f t="shared" si="60"/>
        <v>0</v>
      </c>
      <c r="AM57" s="582">
        <f t="shared" si="60"/>
        <v>0</v>
      </c>
      <c r="AN57" s="584">
        <f t="shared" si="60"/>
        <v>0</v>
      </c>
      <c r="AO57" s="583">
        <f t="shared" si="60"/>
        <v>5801447</v>
      </c>
      <c r="AP57" s="581">
        <f t="shared" si="60"/>
        <v>4217136</v>
      </c>
      <c r="AQ57" s="581">
        <f t="shared" si="60"/>
        <v>0</v>
      </c>
      <c r="AR57" s="581">
        <f t="shared" si="60"/>
        <v>0</v>
      </c>
      <c r="AS57" s="581">
        <f t="shared" si="60"/>
        <v>1425392</v>
      </c>
      <c r="AT57" s="581">
        <f t="shared" si="60"/>
        <v>84342</v>
      </c>
      <c r="AU57" s="581">
        <f t="shared" si="60"/>
        <v>74577</v>
      </c>
      <c r="AV57" s="582">
        <f t="shared" si="60"/>
        <v>10.174199999999999</v>
      </c>
      <c r="AW57" s="582">
        <f t="shared" si="60"/>
        <v>6.03</v>
      </c>
      <c r="AX57" s="584">
        <f t="shared" si="60"/>
        <v>4.1441999999999997</v>
      </c>
    </row>
    <row r="58" spans="1:56" ht="14.1" customHeight="1" x14ac:dyDescent="0.2">
      <c r="A58" s="585">
        <v>14</v>
      </c>
      <c r="B58" s="586">
        <v>2410</v>
      </c>
      <c r="C58" s="587">
        <v>600079121</v>
      </c>
      <c r="D58" s="586">
        <v>72742348</v>
      </c>
      <c r="E58" s="588" t="s">
        <v>599</v>
      </c>
      <c r="F58" s="585">
        <v>3111</v>
      </c>
      <c r="G58" s="588" t="s">
        <v>317</v>
      </c>
      <c r="H58" s="589" t="s">
        <v>283</v>
      </c>
      <c r="I58" s="495">
        <v>6997034</v>
      </c>
      <c r="J58" s="411">
        <v>5053796</v>
      </c>
      <c r="K58" s="520">
        <v>27900</v>
      </c>
      <c r="L58" s="520">
        <v>0</v>
      </c>
      <c r="M58" s="475">
        <v>1717613</v>
      </c>
      <c r="N58" s="496">
        <v>101075</v>
      </c>
      <c r="O58" s="411">
        <v>96650</v>
      </c>
      <c r="P58" s="412">
        <v>11.4758</v>
      </c>
      <c r="Q58" s="415">
        <v>8.5106000000000002</v>
      </c>
      <c r="R58" s="685">
        <v>2.9651999999999998</v>
      </c>
      <c r="S58" s="499">
        <v>0</v>
      </c>
      <c r="T58" s="486">
        <v>0</v>
      </c>
      <c r="U58" s="486">
        <v>0</v>
      </c>
      <c r="V58" s="486">
        <f>SUM(S58:U58)</f>
        <v>0</v>
      </c>
      <c r="W58" s="486">
        <v>0</v>
      </c>
      <c r="X58" s="486">
        <v>0</v>
      </c>
      <c r="Y58" s="486">
        <f>SUM(W58:X58)</f>
        <v>0</v>
      </c>
      <c r="Z58" s="486">
        <f>V58+Y58</f>
        <v>0</v>
      </c>
      <c r="AA58" s="178">
        <f t="shared" si="1"/>
        <v>0</v>
      </c>
      <c r="AB58" s="745">
        <f>ROUND(V58*2%,0)</f>
        <v>0</v>
      </c>
      <c r="AC58" s="486">
        <v>0</v>
      </c>
      <c r="AD58" s="486">
        <v>0</v>
      </c>
      <c r="AE58" s="486">
        <f t="shared" si="2"/>
        <v>0</v>
      </c>
      <c r="AF58" s="486">
        <f t="shared" si="3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ref="AL58:AL60" si="61">AG58+AI58+AJ58</f>
        <v>0</v>
      </c>
      <c r="AM58" s="501">
        <f t="shared" ref="AM58:AM60" si="62">AH58+AK58</f>
        <v>0</v>
      </c>
      <c r="AN58" s="502">
        <f t="shared" si="4"/>
        <v>0</v>
      </c>
      <c r="AO58" s="499">
        <f>I58+AF58</f>
        <v>6997034</v>
      </c>
      <c r="AP58" s="486">
        <f>J58+V58</f>
        <v>5053796</v>
      </c>
      <c r="AQ58" s="486">
        <f>K58+Y58</f>
        <v>27900</v>
      </c>
      <c r="AR58" s="486">
        <f>L58</f>
        <v>0</v>
      </c>
      <c r="AS58" s="486">
        <f t="shared" ref="AS58:AT60" si="63">M58+AA58</f>
        <v>1717613</v>
      </c>
      <c r="AT58" s="486">
        <f t="shared" si="63"/>
        <v>101075</v>
      </c>
      <c r="AU58" s="486">
        <f>O58+AE58</f>
        <v>96650</v>
      </c>
      <c r="AV58" s="501">
        <f>P58+AN58</f>
        <v>11.4758</v>
      </c>
      <c r="AW58" s="501">
        <f t="shared" ref="AW58:AX60" si="64">Q58+AL58</f>
        <v>8.5106000000000002</v>
      </c>
      <c r="AX58" s="502">
        <f t="shared" si="64"/>
        <v>2.9651999999999998</v>
      </c>
    </row>
    <row r="59" spans="1:56" ht="14.1" customHeight="1" x14ac:dyDescent="0.2">
      <c r="A59" s="585">
        <v>14</v>
      </c>
      <c r="B59" s="586">
        <v>2410</v>
      </c>
      <c r="C59" s="587">
        <v>600079121</v>
      </c>
      <c r="D59" s="586">
        <v>72742348</v>
      </c>
      <c r="E59" s="588" t="s">
        <v>599</v>
      </c>
      <c r="F59" s="585">
        <v>3111</v>
      </c>
      <c r="G59" s="503" t="s">
        <v>319</v>
      </c>
      <c r="H59" s="589" t="s">
        <v>283</v>
      </c>
      <c r="I59" s="495">
        <v>402414</v>
      </c>
      <c r="J59" s="411">
        <v>296328</v>
      </c>
      <c r="K59" s="520">
        <v>0</v>
      </c>
      <c r="L59" s="520">
        <v>0</v>
      </c>
      <c r="M59" s="475">
        <v>100159</v>
      </c>
      <c r="N59" s="496">
        <v>5927</v>
      </c>
      <c r="O59" s="496">
        <v>0</v>
      </c>
      <c r="P59" s="412">
        <v>1</v>
      </c>
      <c r="Q59" s="415">
        <v>1</v>
      </c>
      <c r="R59" s="498">
        <v>0</v>
      </c>
      <c r="S59" s="499">
        <v>0</v>
      </c>
      <c r="T59" s="486">
        <v>0</v>
      </c>
      <c r="U59" s="486">
        <v>0</v>
      </c>
      <c r="V59" s="486">
        <f>SUM(S59:U59)</f>
        <v>0</v>
      </c>
      <c r="W59" s="486">
        <v>0</v>
      </c>
      <c r="X59" s="486">
        <v>0</v>
      </c>
      <c r="Y59" s="486">
        <f>SUM(W59:X59)</f>
        <v>0</v>
      </c>
      <c r="Z59" s="486">
        <f>V59+Y59</f>
        <v>0</v>
      </c>
      <c r="AA59" s="178">
        <f t="shared" si="1"/>
        <v>0</v>
      </c>
      <c r="AB59" s="745">
        <f>ROUND(V59*2%,0)</f>
        <v>0</v>
      </c>
      <c r="AC59" s="486">
        <v>0</v>
      </c>
      <c r="AD59" s="486">
        <v>0</v>
      </c>
      <c r="AE59" s="486">
        <f t="shared" si="2"/>
        <v>0</v>
      </c>
      <c r="AF59" s="486">
        <f t="shared" si="3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61"/>
        <v>0</v>
      </c>
      <c r="AM59" s="501">
        <f t="shared" si="62"/>
        <v>0</v>
      </c>
      <c r="AN59" s="502">
        <f t="shared" si="4"/>
        <v>0</v>
      </c>
      <c r="AO59" s="499">
        <f>I59+AF59</f>
        <v>402414</v>
      </c>
      <c r="AP59" s="486">
        <f>J59+V59</f>
        <v>296328</v>
      </c>
      <c r="AQ59" s="486">
        <f>K59+Y59</f>
        <v>0</v>
      </c>
      <c r="AR59" s="486">
        <f>L59</f>
        <v>0</v>
      </c>
      <c r="AS59" s="486">
        <f t="shared" si="63"/>
        <v>100159</v>
      </c>
      <c r="AT59" s="486">
        <f t="shared" si="63"/>
        <v>5927</v>
      </c>
      <c r="AU59" s="486">
        <f>O59+AE59</f>
        <v>0</v>
      </c>
      <c r="AV59" s="501">
        <f>P59+AN59</f>
        <v>1</v>
      </c>
      <c r="AW59" s="501">
        <f t="shared" si="64"/>
        <v>1</v>
      </c>
      <c r="AX59" s="502">
        <f t="shared" si="64"/>
        <v>0</v>
      </c>
    </row>
    <row r="60" spans="1:56" ht="14.1" customHeight="1" x14ac:dyDescent="0.2">
      <c r="A60" s="585">
        <v>14</v>
      </c>
      <c r="B60" s="586">
        <v>2410</v>
      </c>
      <c r="C60" s="587">
        <v>600079121</v>
      </c>
      <c r="D60" s="586">
        <v>72742348</v>
      </c>
      <c r="E60" s="588" t="s">
        <v>599</v>
      </c>
      <c r="F60" s="585">
        <v>3141</v>
      </c>
      <c r="G60" s="588" t="s">
        <v>321</v>
      </c>
      <c r="H60" s="589" t="s">
        <v>284</v>
      </c>
      <c r="I60" s="495">
        <v>910693</v>
      </c>
      <c r="J60" s="496">
        <v>666983</v>
      </c>
      <c r="K60" s="475">
        <v>0</v>
      </c>
      <c r="L60" s="475">
        <v>0</v>
      </c>
      <c r="M60" s="475">
        <v>225440</v>
      </c>
      <c r="N60" s="496">
        <v>13340</v>
      </c>
      <c r="O60" s="496">
        <v>4930</v>
      </c>
      <c r="P60" s="412">
        <v>2.2600000000000002</v>
      </c>
      <c r="Q60" s="497">
        <v>0</v>
      </c>
      <c r="R60" s="498">
        <v>2.2600000000000002</v>
      </c>
      <c r="S60" s="499">
        <v>0</v>
      </c>
      <c r="T60" s="486">
        <v>0</v>
      </c>
      <c r="U60" s="486">
        <v>0</v>
      </c>
      <c r="V60" s="486">
        <f>SUM(S60:U60)</f>
        <v>0</v>
      </c>
      <c r="W60" s="486">
        <v>0</v>
      </c>
      <c r="X60" s="486">
        <v>0</v>
      </c>
      <c r="Y60" s="486">
        <f>SUM(W60:X60)</f>
        <v>0</v>
      </c>
      <c r="Z60" s="486">
        <f>V60+Y60</f>
        <v>0</v>
      </c>
      <c r="AA60" s="178">
        <f t="shared" si="1"/>
        <v>0</v>
      </c>
      <c r="AB60" s="745">
        <f>ROUND(V60*2%,0)</f>
        <v>0</v>
      </c>
      <c r="AC60" s="486">
        <v>0</v>
      </c>
      <c r="AD60" s="486">
        <v>0</v>
      </c>
      <c r="AE60" s="486">
        <f t="shared" si="2"/>
        <v>0</v>
      </c>
      <c r="AF60" s="486">
        <f t="shared" si="3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61"/>
        <v>0</v>
      </c>
      <c r="AM60" s="501">
        <f t="shared" si="62"/>
        <v>0</v>
      </c>
      <c r="AN60" s="502">
        <f t="shared" si="4"/>
        <v>0</v>
      </c>
      <c r="AO60" s="499">
        <f>I60+AF60</f>
        <v>910693</v>
      </c>
      <c r="AP60" s="486">
        <f>J60+V60</f>
        <v>666983</v>
      </c>
      <c r="AQ60" s="486">
        <f>K60+Y60</f>
        <v>0</v>
      </c>
      <c r="AR60" s="486">
        <f>L60</f>
        <v>0</v>
      </c>
      <c r="AS60" s="486">
        <f t="shared" si="63"/>
        <v>225440</v>
      </c>
      <c r="AT60" s="486">
        <f t="shared" si="63"/>
        <v>13340</v>
      </c>
      <c r="AU60" s="486">
        <f>O60+AE60</f>
        <v>4930</v>
      </c>
      <c r="AV60" s="501">
        <f>P60+AN60</f>
        <v>2.2600000000000002</v>
      </c>
      <c r="AW60" s="501">
        <f t="shared" si="64"/>
        <v>0</v>
      </c>
      <c r="AX60" s="502">
        <f t="shared" si="64"/>
        <v>2.2600000000000002</v>
      </c>
    </row>
    <row r="61" spans="1:56" ht="14.1" customHeight="1" x14ac:dyDescent="0.2">
      <c r="A61" s="181">
        <v>14</v>
      </c>
      <c r="B61" s="179">
        <v>2410</v>
      </c>
      <c r="C61" s="180">
        <v>600079121</v>
      </c>
      <c r="D61" s="179">
        <v>72742348</v>
      </c>
      <c r="E61" s="578" t="s">
        <v>600</v>
      </c>
      <c r="F61" s="181"/>
      <c r="G61" s="578"/>
      <c r="H61" s="579"/>
      <c r="I61" s="580">
        <v>8310141</v>
      </c>
      <c r="J61" s="581">
        <v>6017107</v>
      </c>
      <c r="K61" s="581">
        <v>27900</v>
      </c>
      <c r="L61" s="581">
        <v>0</v>
      </c>
      <c r="M61" s="581">
        <v>2043212</v>
      </c>
      <c r="N61" s="581">
        <v>120342</v>
      </c>
      <c r="O61" s="581">
        <v>101580</v>
      </c>
      <c r="P61" s="582">
        <v>14.735799999999999</v>
      </c>
      <c r="Q61" s="582">
        <v>9.5106000000000002</v>
      </c>
      <c r="R61" s="584">
        <v>5.2252000000000001</v>
      </c>
      <c r="S61" s="583">
        <f t="shared" ref="S61:AX61" si="65">SUM(S58:S60)</f>
        <v>0</v>
      </c>
      <c r="T61" s="581">
        <f t="shared" si="65"/>
        <v>0</v>
      </c>
      <c r="U61" s="581">
        <f t="shared" si="65"/>
        <v>0</v>
      </c>
      <c r="V61" s="581">
        <f t="shared" si="65"/>
        <v>0</v>
      </c>
      <c r="W61" s="581">
        <f t="shared" si="65"/>
        <v>0</v>
      </c>
      <c r="X61" s="581">
        <f t="shared" si="65"/>
        <v>0</v>
      </c>
      <c r="Y61" s="581">
        <f t="shared" si="65"/>
        <v>0</v>
      </c>
      <c r="Z61" s="581">
        <f t="shared" si="65"/>
        <v>0</v>
      </c>
      <c r="AA61" s="581">
        <f t="shared" si="65"/>
        <v>0</v>
      </c>
      <c r="AB61" s="583">
        <f t="shared" si="65"/>
        <v>0</v>
      </c>
      <c r="AC61" s="581">
        <f t="shared" si="65"/>
        <v>0</v>
      </c>
      <c r="AD61" s="581">
        <f t="shared" si="65"/>
        <v>0</v>
      </c>
      <c r="AE61" s="581">
        <f t="shared" si="65"/>
        <v>0</v>
      </c>
      <c r="AF61" s="581">
        <f t="shared" si="65"/>
        <v>0</v>
      </c>
      <c r="AG61" s="582">
        <f t="shared" si="65"/>
        <v>0</v>
      </c>
      <c r="AH61" s="582">
        <f t="shared" si="65"/>
        <v>0</v>
      </c>
      <c r="AI61" s="582">
        <f t="shared" si="65"/>
        <v>0</v>
      </c>
      <c r="AJ61" s="582">
        <f t="shared" si="65"/>
        <v>0</v>
      </c>
      <c r="AK61" s="582">
        <f t="shared" si="65"/>
        <v>0</v>
      </c>
      <c r="AL61" s="582">
        <f t="shared" si="65"/>
        <v>0</v>
      </c>
      <c r="AM61" s="582">
        <f t="shared" si="65"/>
        <v>0</v>
      </c>
      <c r="AN61" s="584">
        <f t="shared" si="65"/>
        <v>0</v>
      </c>
      <c r="AO61" s="583">
        <f t="shared" si="65"/>
        <v>8310141</v>
      </c>
      <c r="AP61" s="581">
        <f t="shared" si="65"/>
        <v>6017107</v>
      </c>
      <c r="AQ61" s="581">
        <f t="shared" si="65"/>
        <v>27900</v>
      </c>
      <c r="AR61" s="581">
        <f t="shared" si="65"/>
        <v>0</v>
      </c>
      <c r="AS61" s="581">
        <f t="shared" si="65"/>
        <v>2043212</v>
      </c>
      <c r="AT61" s="581">
        <f t="shared" si="65"/>
        <v>120342</v>
      </c>
      <c r="AU61" s="581">
        <f t="shared" si="65"/>
        <v>101580</v>
      </c>
      <c r="AV61" s="582">
        <f t="shared" si="65"/>
        <v>14.735799999999999</v>
      </c>
      <c r="AW61" s="582">
        <f t="shared" si="65"/>
        <v>9.5106000000000002</v>
      </c>
      <c r="AX61" s="584">
        <f t="shared" si="65"/>
        <v>5.2252000000000001</v>
      </c>
    </row>
    <row r="62" spans="1:56" ht="14.1" customHeight="1" x14ac:dyDescent="0.2">
      <c r="A62" s="585">
        <v>15</v>
      </c>
      <c r="B62" s="586">
        <v>2436</v>
      </c>
      <c r="C62" s="587">
        <v>600079538</v>
      </c>
      <c r="D62" s="586">
        <v>72741546</v>
      </c>
      <c r="E62" s="588" t="s">
        <v>601</v>
      </c>
      <c r="F62" s="585">
        <v>3111</v>
      </c>
      <c r="G62" s="588" t="s">
        <v>317</v>
      </c>
      <c r="H62" s="589" t="s">
        <v>283</v>
      </c>
      <c r="I62" s="495">
        <v>4933184</v>
      </c>
      <c r="J62" s="411">
        <v>3582853</v>
      </c>
      <c r="K62" s="520">
        <v>15000</v>
      </c>
      <c r="L62" s="520">
        <v>0</v>
      </c>
      <c r="M62" s="475">
        <v>1216074</v>
      </c>
      <c r="N62" s="496">
        <v>71657</v>
      </c>
      <c r="O62" s="411">
        <v>47600</v>
      </c>
      <c r="P62" s="412">
        <v>8.3742000000000001</v>
      </c>
      <c r="Q62" s="415">
        <v>6.23</v>
      </c>
      <c r="R62" s="685">
        <v>2.1441999999999997</v>
      </c>
      <c r="S62" s="499">
        <v>0</v>
      </c>
      <c r="T62" s="486">
        <v>0</v>
      </c>
      <c r="U62" s="486">
        <v>0</v>
      </c>
      <c r="V62" s="486">
        <f>SUM(S62:U62)</f>
        <v>0</v>
      </c>
      <c r="W62" s="486">
        <v>0</v>
      </c>
      <c r="X62" s="486">
        <v>0</v>
      </c>
      <c r="Y62" s="486">
        <f>SUM(W62:X62)</f>
        <v>0</v>
      </c>
      <c r="Z62" s="486">
        <f>V62+Y62</f>
        <v>0</v>
      </c>
      <c r="AA62" s="178">
        <f t="shared" si="1"/>
        <v>0</v>
      </c>
      <c r="AB62" s="745">
        <f>ROUND(V62*2%,0)</f>
        <v>0</v>
      </c>
      <c r="AC62" s="486">
        <v>0</v>
      </c>
      <c r="AD62" s="486">
        <v>0</v>
      </c>
      <c r="AE62" s="486">
        <f t="shared" si="2"/>
        <v>0</v>
      </c>
      <c r="AF62" s="486">
        <f t="shared" si="3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ref="AL62:AL64" si="66">AG62+AI62+AJ62</f>
        <v>0</v>
      </c>
      <c r="AM62" s="501">
        <f t="shared" ref="AM62:AM64" si="67">AH62+AK62</f>
        <v>0</v>
      </c>
      <c r="AN62" s="502">
        <f t="shared" si="4"/>
        <v>0</v>
      </c>
      <c r="AO62" s="499">
        <f>I62+AF62</f>
        <v>4933184</v>
      </c>
      <c r="AP62" s="486">
        <f>J62+V62</f>
        <v>3582853</v>
      </c>
      <c r="AQ62" s="486">
        <f>K62+Y62</f>
        <v>15000</v>
      </c>
      <c r="AR62" s="486">
        <f>L62</f>
        <v>0</v>
      </c>
      <c r="AS62" s="486">
        <f t="shared" ref="AS62:AT64" si="68">M62+AA62</f>
        <v>1216074</v>
      </c>
      <c r="AT62" s="486">
        <f t="shared" si="68"/>
        <v>71657</v>
      </c>
      <c r="AU62" s="486">
        <f>O62+AE62</f>
        <v>47600</v>
      </c>
      <c r="AV62" s="501">
        <f>P62+AN62</f>
        <v>8.3742000000000001</v>
      </c>
      <c r="AW62" s="501">
        <f t="shared" ref="AW62:AX64" si="69">Q62+AL62</f>
        <v>6.23</v>
      </c>
      <c r="AX62" s="502">
        <f t="shared" si="69"/>
        <v>2.1441999999999997</v>
      </c>
    </row>
    <row r="63" spans="1:56" ht="14.1" customHeight="1" x14ac:dyDescent="0.2">
      <c r="A63" s="585">
        <v>15</v>
      </c>
      <c r="B63" s="586">
        <v>2436</v>
      </c>
      <c r="C63" s="587">
        <v>600079538</v>
      </c>
      <c r="D63" s="586">
        <v>72741546</v>
      </c>
      <c r="E63" s="588" t="s">
        <v>601</v>
      </c>
      <c r="F63" s="585">
        <v>3111</v>
      </c>
      <c r="G63" s="208" t="s">
        <v>318</v>
      </c>
      <c r="H63" s="589" t="s">
        <v>284</v>
      </c>
      <c r="I63" s="495">
        <v>1233812</v>
      </c>
      <c r="J63" s="496">
        <v>905606</v>
      </c>
      <c r="K63" s="475">
        <v>0</v>
      </c>
      <c r="L63" s="475">
        <v>0</v>
      </c>
      <c r="M63" s="475">
        <v>306094</v>
      </c>
      <c r="N63" s="496">
        <v>18112</v>
      </c>
      <c r="O63" s="496">
        <v>4000</v>
      </c>
      <c r="P63" s="412">
        <v>2.66</v>
      </c>
      <c r="Q63" s="497">
        <v>2.66</v>
      </c>
      <c r="R63" s="498">
        <v>0</v>
      </c>
      <c r="S63" s="499">
        <v>0</v>
      </c>
      <c r="T63" s="486">
        <v>28300</v>
      </c>
      <c r="U63" s="486">
        <v>0</v>
      </c>
      <c r="V63" s="486">
        <f>SUM(S63:U63)</f>
        <v>28300</v>
      </c>
      <c r="W63" s="486">
        <v>0</v>
      </c>
      <c r="X63" s="486">
        <v>0</v>
      </c>
      <c r="Y63" s="486">
        <f>SUM(W63:X63)</f>
        <v>0</v>
      </c>
      <c r="Z63" s="486">
        <f>V63+Y63</f>
        <v>28300</v>
      </c>
      <c r="AA63" s="178">
        <f t="shared" si="1"/>
        <v>9565</v>
      </c>
      <c r="AB63" s="745">
        <f>ROUND(V63*2%,0)</f>
        <v>566</v>
      </c>
      <c r="AC63" s="486">
        <v>0</v>
      </c>
      <c r="AD63" s="486">
        <v>0</v>
      </c>
      <c r="AE63" s="486">
        <f t="shared" si="2"/>
        <v>0</v>
      </c>
      <c r="AF63" s="486">
        <f t="shared" si="3"/>
        <v>38431</v>
      </c>
      <c r="AG63" s="501">
        <v>0</v>
      </c>
      <c r="AH63" s="501">
        <v>0</v>
      </c>
      <c r="AI63" s="501">
        <v>0.08</v>
      </c>
      <c r="AJ63" s="501">
        <v>0</v>
      </c>
      <c r="AK63" s="501">
        <v>0</v>
      </c>
      <c r="AL63" s="501">
        <f t="shared" si="66"/>
        <v>0.08</v>
      </c>
      <c r="AM63" s="501">
        <f t="shared" si="67"/>
        <v>0</v>
      </c>
      <c r="AN63" s="502">
        <f t="shared" si="4"/>
        <v>0.08</v>
      </c>
      <c r="AO63" s="499">
        <f>I63+AF63</f>
        <v>1272243</v>
      </c>
      <c r="AP63" s="486">
        <f>J63+V63</f>
        <v>933906</v>
      </c>
      <c r="AQ63" s="486">
        <f>K63+Y63</f>
        <v>0</v>
      </c>
      <c r="AR63" s="486">
        <f>L63</f>
        <v>0</v>
      </c>
      <c r="AS63" s="486">
        <f t="shared" si="68"/>
        <v>315659</v>
      </c>
      <c r="AT63" s="486">
        <f t="shared" si="68"/>
        <v>18678</v>
      </c>
      <c r="AU63" s="486">
        <f>O63+AE63</f>
        <v>4000</v>
      </c>
      <c r="AV63" s="501">
        <f>P63+AN63</f>
        <v>2.74</v>
      </c>
      <c r="AW63" s="501">
        <f t="shared" si="69"/>
        <v>2.74</v>
      </c>
      <c r="AX63" s="502">
        <f t="shared" si="69"/>
        <v>0</v>
      </c>
    </row>
    <row r="64" spans="1:56" ht="14.1" customHeight="1" x14ac:dyDescent="0.2">
      <c r="A64" s="585">
        <v>15</v>
      </c>
      <c r="B64" s="586">
        <v>2436</v>
      </c>
      <c r="C64" s="587">
        <v>600079538</v>
      </c>
      <c r="D64" s="586">
        <v>72741546</v>
      </c>
      <c r="E64" s="588" t="s">
        <v>601</v>
      </c>
      <c r="F64" s="585">
        <v>3141</v>
      </c>
      <c r="G64" s="588" t="s">
        <v>321</v>
      </c>
      <c r="H64" s="589" t="s">
        <v>284</v>
      </c>
      <c r="I64" s="495">
        <v>776561</v>
      </c>
      <c r="J64" s="496">
        <v>568938</v>
      </c>
      <c r="K64" s="475">
        <v>0</v>
      </c>
      <c r="L64" s="475">
        <v>0</v>
      </c>
      <c r="M64" s="475">
        <v>192301</v>
      </c>
      <c r="N64" s="496">
        <v>11378</v>
      </c>
      <c r="O64" s="496">
        <v>3944</v>
      </c>
      <c r="P64" s="412">
        <v>1.93</v>
      </c>
      <c r="Q64" s="497">
        <v>0</v>
      </c>
      <c r="R64" s="498">
        <v>1.93</v>
      </c>
      <c r="S64" s="499">
        <v>0</v>
      </c>
      <c r="T64" s="486">
        <v>0</v>
      </c>
      <c r="U64" s="486">
        <v>0</v>
      </c>
      <c r="V64" s="486">
        <f>SUM(S64:U64)</f>
        <v>0</v>
      </c>
      <c r="W64" s="486">
        <v>0</v>
      </c>
      <c r="X64" s="486">
        <v>0</v>
      </c>
      <c r="Y64" s="486">
        <f>SUM(W64:X64)</f>
        <v>0</v>
      </c>
      <c r="Z64" s="486">
        <f>V64+Y64</f>
        <v>0</v>
      </c>
      <c r="AA64" s="178">
        <f t="shared" si="1"/>
        <v>0</v>
      </c>
      <c r="AB64" s="745">
        <f>ROUND(V64*2%,0)</f>
        <v>0</v>
      </c>
      <c r="AC64" s="486">
        <v>0</v>
      </c>
      <c r="AD64" s="486">
        <v>0</v>
      </c>
      <c r="AE64" s="486">
        <f t="shared" si="2"/>
        <v>0</v>
      </c>
      <c r="AF64" s="486">
        <f t="shared" si="3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si="66"/>
        <v>0</v>
      </c>
      <c r="AM64" s="501">
        <f t="shared" si="67"/>
        <v>0</v>
      </c>
      <c r="AN64" s="502">
        <f t="shared" si="4"/>
        <v>0</v>
      </c>
      <c r="AO64" s="499">
        <f>I64+AF64</f>
        <v>776561</v>
      </c>
      <c r="AP64" s="486">
        <f>J64+V64</f>
        <v>568938</v>
      </c>
      <c r="AQ64" s="486">
        <f>K64+Y64</f>
        <v>0</v>
      </c>
      <c r="AR64" s="486">
        <f>L64</f>
        <v>0</v>
      </c>
      <c r="AS64" s="486">
        <f t="shared" si="68"/>
        <v>192301</v>
      </c>
      <c r="AT64" s="486">
        <f t="shared" si="68"/>
        <v>11378</v>
      </c>
      <c r="AU64" s="486">
        <f>O64+AE64</f>
        <v>3944</v>
      </c>
      <c r="AV64" s="501">
        <f>P64+AN64</f>
        <v>1.93</v>
      </c>
      <c r="AW64" s="501">
        <f t="shared" si="69"/>
        <v>0</v>
      </c>
      <c r="AX64" s="502">
        <f t="shared" si="69"/>
        <v>1.93</v>
      </c>
    </row>
    <row r="65" spans="1:50" ht="14.1" customHeight="1" x14ac:dyDescent="0.2">
      <c r="A65" s="181">
        <v>15</v>
      </c>
      <c r="B65" s="179">
        <v>2436</v>
      </c>
      <c r="C65" s="180">
        <v>600079538</v>
      </c>
      <c r="D65" s="179">
        <v>72741546</v>
      </c>
      <c r="E65" s="578" t="s">
        <v>602</v>
      </c>
      <c r="F65" s="181"/>
      <c r="G65" s="578"/>
      <c r="H65" s="579"/>
      <c r="I65" s="580">
        <v>6943557</v>
      </c>
      <c r="J65" s="581">
        <v>5057397</v>
      </c>
      <c r="K65" s="581">
        <v>15000</v>
      </c>
      <c r="L65" s="581">
        <v>0</v>
      </c>
      <c r="M65" s="581">
        <v>1714469</v>
      </c>
      <c r="N65" s="581">
        <v>101147</v>
      </c>
      <c r="O65" s="581">
        <v>55544</v>
      </c>
      <c r="P65" s="582">
        <v>12.9642</v>
      </c>
      <c r="Q65" s="582">
        <v>8.89</v>
      </c>
      <c r="R65" s="584">
        <v>4.0741999999999994</v>
      </c>
      <c r="S65" s="583">
        <f t="shared" ref="S65:AX65" si="70">SUM(S62:S64)</f>
        <v>0</v>
      </c>
      <c r="T65" s="581">
        <f t="shared" si="70"/>
        <v>28300</v>
      </c>
      <c r="U65" s="581">
        <f t="shared" si="70"/>
        <v>0</v>
      </c>
      <c r="V65" s="581">
        <f t="shared" si="70"/>
        <v>28300</v>
      </c>
      <c r="W65" s="581">
        <f t="shared" si="70"/>
        <v>0</v>
      </c>
      <c r="X65" s="581">
        <f t="shared" si="70"/>
        <v>0</v>
      </c>
      <c r="Y65" s="581">
        <f t="shared" si="70"/>
        <v>0</v>
      </c>
      <c r="Z65" s="581">
        <f t="shared" si="70"/>
        <v>28300</v>
      </c>
      <c r="AA65" s="581">
        <f t="shared" si="70"/>
        <v>9565</v>
      </c>
      <c r="AB65" s="583">
        <f t="shared" si="70"/>
        <v>566</v>
      </c>
      <c r="AC65" s="581">
        <f t="shared" si="70"/>
        <v>0</v>
      </c>
      <c r="AD65" s="581">
        <f t="shared" si="70"/>
        <v>0</v>
      </c>
      <c r="AE65" s="581">
        <f t="shared" si="70"/>
        <v>0</v>
      </c>
      <c r="AF65" s="581">
        <f t="shared" si="70"/>
        <v>38431</v>
      </c>
      <c r="AG65" s="582">
        <f t="shared" si="70"/>
        <v>0</v>
      </c>
      <c r="AH65" s="582">
        <f t="shared" si="70"/>
        <v>0</v>
      </c>
      <c r="AI65" s="582">
        <f t="shared" si="70"/>
        <v>0.08</v>
      </c>
      <c r="AJ65" s="582">
        <f t="shared" si="70"/>
        <v>0</v>
      </c>
      <c r="AK65" s="582">
        <f t="shared" si="70"/>
        <v>0</v>
      </c>
      <c r="AL65" s="582">
        <f t="shared" si="70"/>
        <v>0.08</v>
      </c>
      <c r="AM65" s="582">
        <f t="shared" si="70"/>
        <v>0</v>
      </c>
      <c r="AN65" s="584">
        <f t="shared" si="70"/>
        <v>0.08</v>
      </c>
      <c r="AO65" s="583">
        <f t="shared" si="70"/>
        <v>6981988</v>
      </c>
      <c r="AP65" s="581">
        <f t="shared" si="70"/>
        <v>5085697</v>
      </c>
      <c r="AQ65" s="581">
        <f t="shared" si="70"/>
        <v>15000</v>
      </c>
      <c r="AR65" s="581">
        <f t="shared" si="70"/>
        <v>0</v>
      </c>
      <c r="AS65" s="581">
        <f t="shared" si="70"/>
        <v>1724034</v>
      </c>
      <c r="AT65" s="581">
        <f t="shared" si="70"/>
        <v>101713</v>
      </c>
      <c r="AU65" s="581">
        <f t="shared" si="70"/>
        <v>55544</v>
      </c>
      <c r="AV65" s="582">
        <f t="shared" si="70"/>
        <v>13.0442</v>
      </c>
      <c r="AW65" s="582">
        <f t="shared" si="70"/>
        <v>8.9700000000000006</v>
      </c>
      <c r="AX65" s="584">
        <f t="shared" si="70"/>
        <v>4.0741999999999994</v>
      </c>
    </row>
    <row r="66" spans="1:50" ht="14.1" customHeight="1" x14ac:dyDescent="0.2">
      <c r="A66" s="585">
        <v>16</v>
      </c>
      <c r="B66" s="586">
        <v>2424</v>
      </c>
      <c r="C66" s="587">
        <v>600079147</v>
      </c>
      <c r="D66" s="586">
        <v>72741945</v>
      </c>
      <c r="E66" s="588" t="s">
        <v>603</v>
      </c>
      <c r="F66" s="585">
        <v>3111</v>
      </c>
      <c r="G66" s="588" t="s">
        <v>317</v>
      </c>
      <c r="H66" s="589" t="s">
        <v>283</v>
      </c>
      <c r="I66" s="495">
        <v>3233622</v>
      </c>
      <c r="J66" s="411">
        <v>2356423</v>
      </c>
      <c r="K66" s="520">
        <v>0</v>
      </c>
      <c r="L66" s="520">
        <v>0</v>
      </c>
      <c r="M66" s="475">
        <v>796471</v>
      </c>
      <c r="N66" s="496">
        <v>47128</v>
      </c>
      <c r="O66" s="411">
        <v>33600</v>
      </c>
      <c r="P66" s="412">
        <v>5.4897999999999998</v>
      </c>
      <c r="Q66" s="415">
        <v>4</v>
      </c>
      <c r="R66" s="685">
        <v>1.4898</v>
      </c>
      <c r="S66" s="499">
        <v>0</v>
      </c>
      <c r="T66" s="486">
        <v>0</v>
      </c>
      <c r="U66" s="486">
        <v>0</v>
      </c>
      <c r="V66" s="486">
        <f>SUM(S66:U66)</f>
        <v>0</v>
      </c>
      <c r="W66" s="486">
        <v>0</v>
      </c>
      <c r="X66" s="486">
        <v>0</v>
      </c>
      <c r="Y66" s="486">
        <f>SUM(W66:X66)</f>
        <v>0</v>
      </c>
      <c r="Z66" s="486">
        <f>V66+Y66</f>
        <v>0</v>
      </c>
      <c r="AA66" s="178">
        <f t="shared" si="1"/>
        <v>0</v>
      </c>
      <c r="AB66" s="745">
        <f>ROUND(V66*2%,0)</f>
        <v>0</v>
      </c>
      <c r="AC66" s="486">
        <v>0</v>
      </c>
      <c r="AD66" s="486">
        <v>0</v>
      </c>
      <c r="AE66" s="486">
        <f t="shared" si="2"/>
        <v>0</v>
      </c>
      <c r="AF66" s="486">
        <f t="shared" si="3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ref="AL66:AL67" si="71">AG66+AI66+AJ66</f>
        <v>0</v>
      </c>
      <c r="AM66" s="501">
        <f t="shared" ref="AM66:AM67" si="72">AH66+AK66</f>
        <v>0</v>
      </c>
      <c r="AN66" s="502">
        <f t="shared" si="4"/>
        <v>0</v>
      </c>
      <c r="AO66" s="499">
        <f>I66+AF66</f>
        <v>3233622</v>
      </c>
      <c r="AP66" s="486">
        <f>J66+V66</f>
        <v>2356423</v>
      </c>
      <c r="AQ66" s="486">
        <f>K66+Y66</f>
        <v>0</v>
      </c>
      <c r="AR66" s="486">
        <f>L66</f>
        <v>0</v>
      </c>
      <c r="AS66" s="486">
        <f>M66+AA66</f>
        <v>796471</v>
      </c>
      <c r="AT66" s="486">
        <f>N66+AB66</f>
        <v>47128</v>
      </c>
      <c r="AU66" s="486">
        <f>O66+AE66</f>
        <v>33600</v>
      </c>
      <c r="AV66" s="501">
        <f>P66+AN66</f>
        <v>5.4897999999999998</v>
      </c>
      <c r="AW66" s="501">
        <f>Q66+AL66</f>
        <v>4</v>
      </c>
      <c r="AX66" s="502">
        <f>R66+AM66</f>
        <v>1.4898</v>
      </c>
    </row>
    <row r="67" spans="1:50" ht="14.1" customHeight="1" x14ac:dyDescent="0.2">
      <c r="A67" s="585">
        <v>16</v>
      </c>
      <c r="B67" s="586">
        <v>2424</v>
      </c>
      <c r="C67" s="587">
        <v>600079147</v>
      </c>
      <c r="D67" s="586">
        <v>72741945</v>
      </c>
      <c r="E67" s="588" t="s">
        <v>603</v>
      </c>
      <c r="F67" s="585">
        <v>3141</v>
      </c>
      <c r="G67" s="588" t="s">
        <v>321</v>
      </c>
      <c r="H67" s="589" t="s">
        <v>284</v>
      </c>
      <c r="I67" s="495">
        <v>619426</v>
      </c>
      <c r="J67" s="496">
        <v>454081</v>
      </c>
      <c r="K67" s="475">
        <v>0</v>
      </c>
      <c r="L67" s="475">
        <v>0</v>
      </c>
      <c r="M67" s="475">
        <v>153479</v>
      </c>
      <c r="N67" s="496">
        <v>9082</v>
      </c>
      <c r="O67" s="496">
        <v>2784</v>
      </c>
      <c r="P67" s="412">
        <v>1.54</v>
      </c>
      <c r="Q67" s="497">
        <v>0</v>
      </c>
      <c r="R67" s="498">
        <v>1.54</v>
      </c>
      <c r="S67" s="499">
        <v>0</v>
      </c>
      <c r="T67" s="486">
        <v>0</v>
      </c>
      <c r="U67" s="486">
        <v>0</v>
      </c>
      <c r="V67" s="486">
        <f>SUM(S67:U67)</f>
        <v>0</v>
      </c>
      <c r="W67" s="486">
        <v>0</v>
      </c>
      <c r="X67" s="486">
        <v>0</v>
      </c>
      <c r="Y67" s="486">
        <f>SUM(W67:X67)</f>
        <v>0</v>
      </c>
      <c r="Z67" s="486">
        <f>V67+Y67</f>
        <v>0</v>
      </c>
      <c r="AA67" s="178">
        <f t="shared" si="1"/>
        <v>0</v>
      </c>
      <c r="AB67" s="745">
        <f>ROUND(V67*2%,0)</f>
        <v>0</v>
      </c>
      <c r="AC67" s="486">
        <v>0</v>
      </c>
      <c r="AD67" s="486">
        <v>0</v>
      </c>
      <c r="AE67" s="486">
        <f t="shared" si="2"/>
        <v>0</v>
      </c>
      <c r="AF67" s="486">
        <f t="shared" si="3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71"/>
        <v>0</v>
      </c>
      <c r="AM67" s="501">
        <f t="shared" si="72"/>
        <v>0</v>
      </c>
      <c r="AN67" s="502">
        <f t="shared" si="4"/>
        <v>0</v>
      </c>
      <c r="AO67" s="499">
        <f>I67+AF67</f>
        <v>619426</v>
      </c>
      <c r="AP67" s="486">
        <f>J67+V67</f>
        <v>454081</v>
      </c>
      <c r="AQ67" s="486">
        <f>K67+Y67</f>
        <v>0</v>
      </c>
      <c r="AR67" s="486">
        <f>L67</f>
        <v>0</v>
      </c>
      <c r="AS67" s="486">
        <f>M67+AA67</f>
        <v>153479</v>
      </c>
      <c r="AT67" s="486">
        <f>N67+AB67</f>
        <v>9082</v>
      </c>
      <c r="AU67" s="486">
        <f>O67+AE67</f>
        <v>2784</v>
      </c>
      <c r="AV67" s="501">
        <f>P67+AN67</f>
        <v>1.54</v>
      </c>
      <c r="AW67" s="501">
        <f>Q67+AL67</f>
        <v>0</v>
      </c>
      <c r="AX67" s="502">
        <f>R67+AM67</f>
        <v>1.54</v>
      </c>
    </row>
    <row r="68" spans="1:50" ht="14.1" customHeight="1" x14ac:dyDescent="0.2">
      <c r="A68" s="181">
        <v>16</v>
      </c>
      <c r="B68" s="179">
        <v>2424</v>
      </c>
      <c r="C68" s="180">
        <v>600079147</v>
      </c>
      <c r="D68" s="179">
        <v>72741945</v>
      </c>
      <c r="E68" s="578" t="s">
        <v>604</v>
      </c>
      <c r="F68" s="181"/>
      <c r="G68" s="578"/>
      <c r="H68" s="579"/>
      <c r="I68" s="580">
        <v>3853048</v>
      </c>
      <c r="J68" s="581">
        <v>2810504</v>
      </c>
      <c r="K68" s="581">
        <v>0</v>
      </c>
      <c r="L68" s="581">
        <v>0</v>
      </c>
      <c r="M68" s="581">
        <v>949950</v>
      </c>
      <c r="N68" s="581">
        <v>56210</v>
      </c>
      <c r="O68" s="581">
        <v>36384</v>
      </c>
      <c r="P68" s="582">
        <v>7.0297999999999998</v>
      </c>
      <c r="Q68" s="582">
        <v>4</v>
      </c>
      <c r="R68" s="584">
        <v>3.0297999999999998</v>
      </c>
      <c r="S68" s="583">
        <f t="shared" ref="S68:AX68" si="73">SUM(S66:S67)</f>
        <v>0</v>
      </c>
      <c r="T68" s="581">
        <f t="shared" si="73"/>
        <v>0</v>
      </c>
      <c r="U68" s="581">
        <f t="shared" si="73"/>
        <v>0</v>
      </c>
      <c r="V68" s="581">
        <f t="shared" si="73"/>
        <v>0</v>
      </c>
      <c r="W68" s="581">
        <f t="shared" si="73"/>
        <v>0</v>
      </c>
      <c r="X68" s="581">
        <f t="shared" si="73"/>
        <v>0</v>
      </c>
      <c r="Y68" s="581">
        <f t="shared" si="73"/>
        <v>0</v>
      </c>
      <c r="Z68" s="581">
        <f t="shared" si="73"/>
        <v>0</v>
      </c>
      <c r="AA68" s="581">
        <f t="shared" si="73"/>
        <v>0</v>
      </c>
      <c r="AB68" s="583">
        <f t="shared" si="73"/>
        <v>0</v>
      </c>
      <c r="AC68" s="581">
        <f t="shared" si="73"/>
        <v>0</v>
      </c>
      <c r="AD68" s="581">
        <f t="shared" si="73"/>
        <v>0</v>
      </c>
      <c r="AE68" s="581">
        <f t="shared" si="73"/>
        <v>0</v>
      </c>
      <c r="AF68" s="581">
        <f t="shared" si="73"/>
        <v>0</v>
      </c>
      <c r="AG68" s="582">
        <f t="shared" si="73"/>
        <v>0</v>
      </c>
      <c r="AH68" s="582">
        <f t="shared" si="73"/>
        <v>0</v>
      </c>
      <c r="AI68" s="582">
        <f t="shared" si="73"/>
        <v>0</v>
      </c>
      <c r="AJ68" s="582">
        <f t="shared" si="73"/>
        <v>0</v>
      </c>
      <c r="AK68" s="582">
        <f t="shared" si="73"/>
        <v>0</v>
      </c>
      <c r="AL68" s="582">
        <f t="shared" si="73"/>
        <v>0</v>
      </c>
      <c r="AM68" s="582">
        <f t="shared" si="73"/>
        <v>0</v>
      </c>
      <c r="AN68" s="584">
        <f t="shared" si="73"/>
        <v>0</v>
      </c>
      <c r="AO68" s="583">
        <f t="shared" si="73"/>
        <v>3853048</v>
      </c>
      <c r="AP68" s="581">
        <f t="shared" si="73"/>
        <v>2810504</v>
      </c>
      <c r="AQ68" s="581">
        <f t="shared" si="73"/>
        <v>0</v>
      </c>
      <c r="AR68" s="581">
        <f t="shared" si="73"/>
        <v>0</v>
      </c>
      <c r="AS68" s="581">
        <f t="shared" si="73"/>
        <v>949950</v>
      </c>
      <c r="AT68" s="581">
        <f t="shared" si="73"/>
        <v>56210</v>
      </c>
      <c r="AU68" s="581">
        <f t="shared" si="73"/>
        <v>36384</v>
      </c>
      <c r="AV68" s="582">
        <f t="shared" si="73"/>
        <v>7.0297999999999998</v>
      </c>
      <c r="AW68" s="582">
        <f t="shared" si="73"/>
        <v>4</v>
      </c>
      <c r="AX68" s="584">
        <f t="shared" si="73"/>
        <v>3.0297999999999998</v>
      </c>
    </row>
    <row r="69" spans="1:50" ht="14.1" customHeight="1" x14ac:dyDescent="0.2">
      <c r="A69" s="585">
        <v>17</v>
      </c>
      <c r="B69" s="586">
        <v>2417</v>
      </c>
      <c r="C69" s="587">
        <v>600079562</v>
      </c>
      <c r="D69" s="586">
        <v>72742810</v>
      </c>
      <c r="E69" s="588" t="s">
        <v>605</v>
      </c>
      <c r="F69" s="585">
        <v>3111</v>
      </c>
      <c r="G69" s="588" t="s">
        <v>317</v>
      </c>
      <c r="H69" s="589" t="s">
        <v>283</v>
      </c>
      <c r="I69" s="495">
        <v>16468295</v>
      </c>
      <c r="J69" s="411">
        <v>11885722</v>
      </c>
      <c r="K69" s="520">
        <v>7200</v>
      </c>
      <c r="L69" s="520">
        <v>0</v>
      </c>
      <c r="M69" s="475">
        <v>4019808</v>
      </c>
      <c r="N69" s="496">
        <v>237715</v>
      </c>
      <c r="O69" s="411">
        <v>317850</v>
      </c>
      <c r="P69" s="412">
        <v>28.138500000000001</v>
      </c>
      <c r="Q69" s="415">
        <v>21</v>
      </c>
      <c r="R69" s="685">
        <v>7.1384999999999996</v>
      </c>
      <c r="S69" s="499">
        <v>0</v>
      </c>
      <c r="T69" s="486">
        <v>0</v>
      </c>
      <c r="U69" s="486">
        <v>0</v>
      </c>
      <c r="V69" s="486">
        <f>SUM(S69:U69)</f>
        <v>0</v>
      </c>
      <c r="W69" s="486">
        <v>0</v>
      </c>
      <c r="X69" s="486">
        <v>0</v>
      </c>
      <c r="Y69" s="486">
        <f>SUM(W69:X69)</f>
        <v>0</v>
      </c>
      <c r="Z69" s="486">
        <f>V69+Y69</f>
        <v>0</v>
      </c>
      <c r="AA69" s="178">
        <f t="shared" si="1"/>
        <v>0</v>
      </c>
      <c r="AB69" s="745">
        <f>ROUND(V69*2%,0)</f>
        <v>0</v>
      </c>
      <c r="AC69" s="486">
        <v>0</v>
      </c>
      <c r="AD69" s="486">
        <v>0</v>
      </c>
      <c r="AE69" s="486">
        <f t="shared" si="2"/>
        <v>0</v>
      </c>
      <c r="AF69" s="486">
        <f t="shared" si="3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ref="AL69:AL72" si="74">AG69+AI69+AJ69</f>
        <v>0</v>
      </c>
      <c r="AM69" s="501">
        <f t="shared" ref="AM69:AM72" si="75">AH69+AK69</f>
        <v>0</v>
      </c>
      <c r="AN69" s="502">
        <f t="shared" si="4"/>
        <v>0</v>
      </c>
      <c r="AO69" s="499">
        <f>I69+AF69</f>
        <v>16468295</v>
      </c>
      <c r="AP69" s="486">
        <f>J69+V69</f>
        <v>11885722</v>
      </c>
      <c r="AQ69" s="486">
        <f>K69+Y69</f>
        <v>7200</v>
      </c>
      <c r="AR69" s="486">
        <f>L69</f>
        <v>0</v>
      </c>
      <c r="AS69" s="486">
        <f t="shared" ref="AS69:AT72" si="76">M69+AA69</f>
        <v>4019808</v>
      </c>
      <c r="AT69" s="486">
        <f t="shared" si="76"/>
        <v>237715</v>
      </c>
      <c r="AU69" s="486">
        <f>O69+AE69</f>
        <v>317850</v>
      </c>
      <c r="AV69" s="501">
        <f>P69+AN69</f>
        <v>28.138500000000001</v>
      </c>
      <c r="AW69" s="501">
        <f t="shared" ref="AW69:AX72" si="77">Q69+AL69</f>
        <v>21</v>
      </c>
      <c r="AX69" s="502">
        <f t="shared" si="77"/>
        <v>7.1384999999999996</v>
      </c>
    </row>
    <row r="70" spans="1:50" ht="14.1" customHeight="1" x14ac:dyDescent="0.2">
      <c r="A70" s="585">
        <v>17</v>
      </c>
      <c r="B70" s="586">
        <v>2417</v>
      </c>
      <c r="C70" s="587">
        <v>600079562</v>
      </c>
      <c r="D70" s="586">
        <v>72742810</v>
      </c>
      <c r="E70" s="588" t="s">
        <v>605</v>
      </c>
      <c r="F70" s="585">
        <v>3111</v>
      </c>
      <c r="G70" s="503" t="s">
        <v>319</v>
      </c>
      <c r="H70" s="589" t="s">
        <v>283</v>
      </c>
      <c r="I70" s="495">
        <v>1405366</v>
      </c>
      <c r="J70" s="411">
        <v>1034880</v>
      </c>
      <c r="K70" s="520">
        <v>0</v>
      </c>
      <c r="L70" s="520">
        <v>0</v>
      </c>
      <c r="M70" s="475">
        <v>349789</v>
      </c>
      <c r="N70" s="496">
        <v>20697</v>
      </c>
      <c r="O70" s="496">
        <v>0</v>
      </c>
      <c r="P70" s="412">
        <v>3.67</v>
      </c>
      <c r="Q70" s="415">
        <v>3.67</v>
      </c>
      <c r="R70" s="498">
        <v>0</v>
      </c>
      <c r="S70" s="499">
        <v>0</v>
      </c>
      <c r="T70" s="486">
        <v>0</v>
      </c>
      <c r="U70" s="486">
        <v>0</v>
      </c>
      <c r="V70" s="486">
        <f>SUM(S70:U70)</f>
        <v>0</v>
      </c>
      <c r="W70" s="486">
        <v>0</v>
      </c>
      <c r="X70" s="486">
        <v>0</v>
      </c>
      <c r="Y70" s="486">
        <f>SUM(W70:X70)</f>
        <v>0</v>
      </c>
      <c r="Z70" s="486">
        <f>V70+Y70</f>
        <v>0</v>
      </c>
      <c r="AA70" s="178">
        <f t="shared" si="1"/>
        <v>0</v>
      </c>
      <c r="AB70" s="745">
        <f>ROUND(V70*2%,0)</f>
        <v>0</v>
      </c>
      <c r="AC70" s="486">
        <v>0</v>
      </c>
      <c r="AD70" s="486">
        <v>0</v>
      </c>
      <c r="AE70" s="486">
        <f t="shared" si="2"/>
        <v>0</v>
      </c>
      <c r="AF70" s="486">
        <f t="shared" si="3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si="74"/>
        <v>0</v>
      </c>
      <c r="AM70" s="501">
        <f t="shared" si="75"/>
        <v>0</v>
      </c>
      <c r="AN70" s="502">
        <f t="shared" si="4"/>
        <v>0</v>
      </c>
      <c r="AO70" s="499">
        <f>I70+AF70</f>
        <v>1405366</v>
      </c>
      <c r="AP70" s="486">
        <f>J70+V70</f>
        <v>1034880</v>
      </c>
      <c r="AQ70" s="486">
        <f>K70+Y70</f>
        <v>0</v>
      </c>
      <c r="AR70" s="486">
        <f>L70</f>
        <v>0</v>
      </c>
      <c r="AS70" s="486">
        <f t="shared" si="76"/>
        <v>349789</v>
      </c>
      <c r="AT70" s="486">
        <f t="shared" si="76"/>
        <v>20697</v>
      </c>
      <c r="AU70" s="486">
        <f>O70+AE70</f>
        <v>0</v>
      </c>
      <c r="AV70" s="501">
        <f>P70+AN70</f>
        <v>3.67</v>
      </c>
      <c r="AW70" s="501">
        <f t="shared" si="77"/>
        <v>3.67</v>
      </c>
      <c r="AX70" s="502">
        <f t="shared" si="77"/>
        <v>0</v>
      </c>
    </row>
    <row r="71" spans="1:50" ht="14.1" customHeight="1" x14ac:dyDescent="0.2">
      <c r="A71" s="585">
        <v>17</v>
      </c>
      <c r="B71" s="586">
        <v>2417</v>
      </c>
      <c r="C71" s="587">
        <v>600079562</v>
      </c>
      <c r="D71" s="586">
        <v>72742810</v>
      </c>
      <c r="E71" s="588" t="s">
        <v>605</v>
      </c>
      <c r="F71" s="585">
        <v>3111</v>
      </c>
      <c r="G71" s="503" t="s">
        <v>318</v>
      </c>
      <c r="H71" s="589" t="s">
        <v>284</v>
      </c>
      <c r="I71" s="495">
        <v>507949</v>
      </c>
      <c r="J71" s="496">
        <v>370728</v>
      </c>
      <c r="K71" s="475">
        <v>0</v>
      </c>
      <c r="L71" s="475">
        <v>0</v>
      </c>
      <c r="M71" s="475">
        <v>125306</v>
      </c>
      <c r="N71" s="496">
        <v>7415</v>
      </c>
      <c r="O71" s="496">
        <v>4500</v>
      </c>
      <c r="P71" s="412">
        <v>1.1299999999999999</v>
      </c>
      <c r="Q71" s="497">
        <v>1.1299999999999999</v>
      </c>
      <c r="R71" s="498">
        <v>0</v>
      </c>
      <c r="S71" s="499">
        <v>0</v>
      </c>
      <c r="T71" s="486">
        <v>0</v>
      </c>
      <c r="U71" s="486">
        <v>0</v>
      </c>
      <c r="V71" s="486">
        <f>SUM(S71:U71)</f>
        <v>0</v>
      </c>
      <c r="W71" s="486">
        <v>0</v>
      </c>
      <c r="X71" s="486">
        <v>0</v>
      </c>
      <c r="Y71" s="486">
        <f>SUM(W71:X71)</f>
        <v>0</v>
      </c>
      <c r="Z71" s="486">
        <f>V71+Y71</f>
        <v>0</v>
      </c>
      <c r="AA71" s="178">
        <f t="shared" si="1"/>
        <v>0</v>
      </c>
      <c r="AB71" s="745">
        <f>ROUND(V71*2%,0)</f>
        <v>0</v>
      </c>
      <c r="AC71" s="486">
        <v>0</v>
      </c>
      <c r="AD71" s="486">
        <v>0</v>
      </c>
      <c r="AE71" s="486">
        <f t="shared" si="2"/>
        <v>0</v>
      </c>
      <c r="AF71" s="486">
        <f t="shared" si="3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74"/>
        <v>0</v>
      </c>
      <c r="AM71" s="501">
        <f t="shared" si="75"/>
        <v>0</v>
      </c>
      <c r="AN71" s="502">
        <f t="shared" si="4"/>
        <v>0</v>
      </c>
      <c r="AO71" s="499">
        <f>I71+AF71</f>
        <v>507949</v>
      </c>
      <c r="AP71" s="486">
        <f>J71+V71</f>
        <v>370728</v>
      </c>
      <c r="AQ71" s="486">
        <f>K71+Y71</f>
        <v>0</v>
      </c>
      <c r="AR71" s="486">
        <f>L71</f>
        <v>0</v>
      </c>
      <c r="AS71" s="486">
        <f t="shared" si="76"/>
        <v>125306</v>
      </c>
      <c r="AT71" s="486">
        <f t="shared" si="76"/>
        <v>7415</v>
      </c>
      <c r="AU71" s="486">
        <f>O71+AE71</f>
        <v>4500</v>
      </c>
      <c r="AV71" s="501">
        <f>P71+AN71</f>
        <v>1.1299999999999999</v>
      </c>
      <c r="AW71" s="501">
        <f t="shared" si="77"/>
        <v>1.1299999999999999</v>
      </c>
      <c r="AX71" s="502">
        <f t="shared" si="77"/>
        <v>0</v>
      </c>
    </row>
    <row r="72" spans="1:50" ht="14.1" customHeight="1" x14ac:dyDescent="0.2">
      <c r="A72" s="585">
        <v>17</v>
      </c>
      <c r="B72" s="586">
        <v>2417</v>
      </c>
      <c r="C72" s="587">
        <v>600079562</v>
      </c>
      <c r="D72" s="586">
        <v>72742810</v>
      </c>
      <c r="E72" s="588" t="s">
        <v>605</v>
      </c>
      <c r="F72" s="585">
        <v>3141</v>
      </c>
      <c r="G72" s="588" t="s">
        <v>321</v>
      </c>
      <c r="H72" s="589" t="s">
        <v>284</v>
      </c>
      <c r="I72" s="495">
        <v>1886734</v>
      </c>
      <c r="J72" s="496">
        <v>1381660</v>
      </c>
      <c r="K72" s="475">
        <v>0</v>
      </c>
      <c r="L72" s="475">
        <v>0</v>
      </c>
      <c r="M72" s="475">
        <v>467001</v>
      </c>
      <c r="N72" s="496">
        <v>27633</v>
      </c>
      <c r="O72" s="496">
        <v>10440</v>
      </c>
      <c r="P72" s="412">
        <v>4.6900000000000004</v>
      </c>
      <c r="Q72" s="497">
        <v>0</v>
      </c>
      <c r="R72" s="498">
        <v>4.6900000000000004</v>
      </c>
      <c r="S72" s="499">
        <v>0</v>
      </c>
      <c r="T72" s="486">
        <v>0</v>
      </c>
      <c r="U72" s="486">
        <v>0</v>
      </c>
      <c r="V72" s="486">
        <f>SUM(S72:U72)</f>
        <v>0</v>
      </c>
      <c r="W72" s="486">
        <v>0</v>
      </c>
      <c r="X72" s="486">
        <v>0</v>
      </c>
      <c r="Y72" s="486">
        <f>SUM(W72:X72)</f>
        <v>0</v>
      </c>
      <c r="Z72" s="486">
        <f>V72+Y72</f>
        <v>0</v>
      </c>
      <c r="AA72" s="178">
        <f t="shared" si="1"/>
        <v>0</v>
      </c>
      <c r="AB72" s="745">
        <f>ROUND(V72*2%,0)</f>
        <v>0</v>
      </c>
      <c r="AC72" s="486">
        <v>0</v>
      </c>
      <c r="AD72" s="486">
        <v>0</v>
      </c>
      <c r="AE72" s="486">
        <f t="shared" si="2"/>
        <v>0</v>
      </c>
      <c r="AF72" s="486">
        <f t="shared" si="3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74"/>
        <v>0</v>
      </c>
      <c r="AM72" s="501">
        <f t="shared" si="75"/>
        <v>0</v>
      </c>
      <c r="AN72" s="502">
        <f t="shared" si="4"/>
        <v>0</v>
      </c>
      <c r="AO72" s="499">
        <f>I72+AF72</f>
        <v>1886734</v>
      </c>
      <c r="AP72" s="486">
        <f>J72+V72</f>
        <v>1381660</v>
      </c>
      <c r="AQ72" s="486">
        <f>K72+Y72</f>
        <v>0</v>
      </c>
      <c r="AR72" s="486">
        <f>L72</f>
        <v>0</v>
      </c>
      <c r="AS72" s="486">
        <f t="shared" si="76"/>
        <v>467001</v>
      </c>
      <c r="AT72" s="486">
        <f t="shared" si="76"/>
        <v>27633</v>
      </c>
      <c r="AU72" s="486">
        <f>O72+AE72</f>
        <v>10440</v>
      </c>
      <c r="AV72" s="501">
        <f>P72+AN72</f>
        <v>4.6900000000000004</v>
      </c>
      <c r="AW72" s="501">
        <f t="shared" si="77"/>
        <v>0</v>
      </c>
      <c r="AX72" s="502">
        <f t="shared" si="77"/>
        <v>4.6900000000000004</v>
      </c>
    </row>
    <row r="73" spans="1:50" ht="14.1" customHeight="1" x14ac:dyDescent="0.2">
      <c r="A73" s="181">
        <v>17</v>
      </c>
      <c r="B73" s="179">
        <v>2417</v>
      </c>
      <c r="C73" s="180">
        <v>600079562</v>
      </c>
      <c r="D73" s="179">
        <v>72742810</v>
      </c>
      <c r="E73" s="578" t="s">
        <v>606</v>
      </c>
      <c r="F73" s="181"/>
      <c r="G73" s="578"/>
      <c r="H73" s="579"/>
      <c r="I73" s="580">
        <v>20268344</v>
      </c>
      <c r="J73" s="581">
        <v>14672990</v>
      </c>
      <c r="K73" s="581">
        <v>7200</v>
      </c>
      <c r="L73" s="581">
        <v>0</v>
      </c>
      <c r="M73" s="581">
        <v>4961904</v>
      </c>
      <c r="N73" s="581">
        <v>293460</v>
      </c>
      <c r="O73" s="581">
        <v>332790</v>
      </c>
      <c r="P73" s="582">
        <v>37.628500000000003</v>
      </c>
      <c r="Q73" s="582">
        <v>25.8</v>
      </c>
      <c r="R73" s="584">
        <v>11.8285</v>
      </c>
      <c r="S73" s="583">
        <f t="shared" ref="S73:AX73" si="78">SUM(S69:S72)</f>
        <v>0</v>
      </c>
      <c r="T73" s="581">
        <f t="shared" si="78"/>
        <v>0</v>
      </c>
      <c r="U73" s="581">
        <f t="shared" si="78"/>
        <v>0</v>
      </c>
      <c r="V73" s="581">
        <f t="shared" si="78"/>
        <v>0</v>
      </c>
      <c r="W73" s="581">
        <f t="shared" si="78"/>
        <v>0</v>
      </c>
      <c r="X73" s="581">
        <f t="shared" si="78"/>
        <v>0</v>
      </c>
      <c r="Y73" s="581">
        <f t="shared" si="78"/>
        <v>0</v>
      </c>
      <c r="Z73" s="581">
        <f t="shared" si="78"/>
        <v>0</v>
      </c>
      <c r="AA73" s="581">
        <f t="shared" si="78"/>
        <v>0</v>
      </c>
      <c r="AB73" s="583">
        <f t="shared" si="78"/>
        <v>0</v>
      </c>
      <c r="AC73" s="581">
        <f t="shared" si="78"/>
        <v>0</v>
      </c>
      <c r="AD73" s="581">
        <f t="shared" si="78"/>
        <v>0</v>
      </c>
      <c r="AE73" s="581">
        <f t="shared" si="78"/>
        <v>0</v>
      </c>
      <c r="AF73" s="581">
        <f t="shared" si="78"/>
        <v>0</v>
      </c>
      <c r="AG73" s="582">
        <f t="shared" si="78"/>
        <v>0</v>
      </c>
      <c r="AH73" s="582">
        <f t="shared" si="78"/>
        <v>0</v>
      </c>
      <c r="AI73" s="582">
        <f t="shared" si="78"/>
        <v>0</v>
      </c>
      <c r="AJ73" s="582">
        <f t="shared" si="78"/>
        <v>0</v>
      </c>
      <c r="AK73" s="582">
        <f t="shared" si="78"/>
        <v>0</v>
      </c>
      <c r="AL73" s="582">
        <f t="shared" si="78"/>
        <v>0</v>
      </c>
      <c r="AM73" s="582">
        <f t="shared" si="78"/>
        <v>0</v>
      </c>
      <c r="AN73" s="584">
        <f t="shared" si="78"/>
        <v>0</v>
      </c>
      <c r="AO73" s="583">
        <f t="shared" si="78"/>
        <v>20268344</v>
      </c>
      <c r="AP73" s="581">
        <f t="shared" si="78"/>
        <v>14672990</v>
      </c>
      <c r="AQ73" s="581">
        <f t="shared" si="78"/>
        <v>7200</v>
      </c>
      <c r="AR73" s="581">
        <f t="shared" si="78"/>
        <v>0</v>
      </c>
      <c r="AS73" s="581">
        <f t="shared" si="78"/>
        <v>4961904</v>
      </c>
      <c r="AT73" s="581">
        <f t="shared" si="78"/>
        <v>293460</v>
      </c>
      <c r="AU73" s="581">
        <f t="shared" si="78"/>
        <v>332790</v>
      </c>
      <c r="AV73" s="582">
        <f t="shared" si="78"/>
        <v>37.628500000000003</v>
      </c>
      <c r="AW73" s="582">
        <f t="shared" si="78"/>
        <v>25.8</v>
      </c>
      <c r="AX73" s="584">
        <f t="shared" si="78"/>
        <v>11.8285</v>
      </c>
    </row>
    <row r="74" spans="1:50" ht="14.1" customHeight="1" x14ac:dyDescent="0.2">
      <c r="A74" s="585">
        <v>18</v>
      </c>
      <c r="B74" s="586">
        <v>2416</v>
      </c>
      <c r="C74" s="587">
        <v>600079571</v>
      </c>
      <c r="D74" s="586">
        <v>72742895</v>
      </c>
      <c r="E74" s="588" t="s">
        <v>607</v>
      </c>
      <c r="F74" s="585">
        <v>3111</v>
      </c>
      <c r="G74" s="588" t="s">
        <v>317</v>
      </c>
      <c r="H74" s="589" t="s">
        <v>283</v>
      </c>
      <c r="I74" s="495">
        <v>4858874</v>
      </c>
      <c r="J74" s="411">
        <v>3473012</v>
      </c>
      <c r="K74" s="520">
        <v>73000</v>
      </c>
      <c r="L74" s="520">
        <v>0</v>
      </c>
      <c r="M74" s="475">
        <v>1198552</v>
      </c>
      <c r="N74" s="496">
        <v>69460</v>
      </c>
      <c r="O74" s="411">
        <v>44850</v>
      </c>
      <c r="P74" s="412">
        <v>7.9881999999999982</v>
      </c>
      <c r="Q74" s="415">
        <v>6</v>
      </c>
      <c r="R74" s="685">
        <v>1.9881999999999995</v>
      </c>
      <c r="S74" s="499">
        <v>0</v>
      </c>
      <c r="T74" s="486">
        <v>0</v>
      </c>
      <c r="U74" s="486">
        <v>0</v>
      </c>
      <c r="V74" s="486">
        <f>SUM(S74:U74)</f>
        <v>0</v>
      </c>
      <c r="W74" s="486">
        <v>0</v>
      </c>
      <c r="X74" s="486">
        <v>0</v>
      </c>
      <c r="Y74" s="486">
        <f>SUM(W74:X74)</f>
        <v>0</v>
      </c>
      <c r="Z74" s="486">
        <f>V74+Y74</f>
        <v>0</v>
      </c>
      <c r="AA74" s="178">
        <f t="shared" si="1"/>
        <v>0</v>
      </c>
      <c r="AB74" s="745">
        <f>ROUND(V74*2%,0)</f>
        <v>0</v>
      </c>
      <c r="AC74" s="486">
        <v>0</v>
      </c>
      <c r="AD74" s="486">
        <v>0</v>
      </c>
      <c r="AE74" s="486">
        <f t="shared" si="2"/>
        <v>0</v>
      </c>
      <c r="AF74" s="486">
        <f t="shared" si="3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ref="AL74:AL76" si="79">AG74+AI74+AJ74</f>
        <v>0</v>
      </c>
      <c r="AM74" s="501">
        <f t="shared" ref="AM74:AM76" si="80">AH74+AK74</f>
        <v>0</v>
      </c>
      <c r="AN74" s="502">
        <f t="shared" si="4"/>
        <v>0</v>
      </c>
      <c r="AO74" s="499">
        <f>I74+AF74</f>
        <v>4858874</v>
      </c>
      <c r="AP74" s="486">
        <f>J74+V74</f>
        <v>3473012</v>
      </c>
      <c r="AQ74" s="486">
        <f>K74+Y74</f>
        <v>73000</v>
      </c>
      <c r="AR74" s="486">
        <f>L74</f>
        <v>0</v>
      </c>
      <c r="AS74" s="486">
        <f t="shared" ref="AS74:AT76" si="81">M74+AA74</f>
        <v>1198552</v>
      </c>
      <c r="AT74" s="486">
        <f t="shared" si="81"/>
        <v>69460</v>
      </c>
      <c r="AU74" s="486">
        <f>O74+AE74</f>
        <v>44850</v>
      </c>
      <c r="AV74" s="501">
        <f>P74+AN74</f>
        <v>7.9881999999999982</v>
      </c>
      <c r="AW74" s="501">
        <f t="shared" ref="AW74:AX76" si="82">Q74+AL74</f>
        <v>6</v>
      </c>
      <c r="AX74" s="502">
        <f t="shared" si="82"/>
        <v>1.9881999999999995</v>
      </c>
    </row>
    <row r="75" spans="1:50" ht="14.1" customHeight="1" x14ac:dyDescent="0.2">
      <c r="A75" s="585">
        <v>18</v>
      </c>
      <c r="B75" s="586">
        <v>2416</v>
      </c>
      <c r="C75" s="587">
        <v>600079571</v>
      </c>
      <c r="D75" s="586">
        <v>72742895</v>
      </c>
      <c r="E75" s="588" t="s">
        <v>607</v>
      </c>
      <c r="F75" s="585">
        <v>3111</v>
      </c>
      <c r="G75" s="503" t="s">
        <v>319</v>
      </c>
      <c r="H75" s="589" t="s">
        <v>283</v>
      </c>
      <c r="I75" s="495">
        <v>904232</v>
      </c>
      <c r="J75" s="411">
        <v>665856</v>
      </c>
      <c r="K75" s="520">
        <v>0</v>
      </c>
      <c r="L75" s="520">
        <v>0</v>
      </c>
      <c r="M75" s="475">
        <v>225059</v>
      </c>
      <c r="N75" s="496">
        <v>13317</v>
      </c>
      <c r="O75" s="496">
        <v>0</v>
      </c>
      <c r="P75" s="412">
        <v>2</v>
      </c>
      <c r="Q75" s="415">
        <v>2</v>
      </c>
      <c r="R75" s="498">
        <v>0</v>
      </c>
      <c r="S75" s="499">
        <v>0</v>
      </c>
      <c r="T75" s="486">
        <v>0</v>
      </c>
      <c r="U75" s="486">
        <v>0</v>
      </c>
      <c r="V75" s="486">
        <f>SUM(S75:U75)</f>
        <v>0</v>
      </c>
      <c r="W75" s="486">
        <v>0</v>
      </c>
      <c r="X75" s="486">
        <v>0</v>
      </c>
      <c r="Y75" s="486">
        <f>SUM(W75:X75)</f>
        <v>0</v>
      </c>
      <c r="Z75" s="486">
        <f>V75+Y75</f>
        <v>0</v>
      </c>
      <c r="AA75" s="178">
        <f t="shared" si="1"/>
        <v>0</v>
      </c>
      <c r="AB75" s="745">
        <f>ROUND(V75*2%,0)</f>
        <v>0</v>
      </c>
      <c r="AC75" s="486">
        <v>0</v>
      </c>
      <c r="AD75" s="486">
        <v>0</v>
      </c>
      <c r="AE75" s="486">
        <f t="shared" si="2"/>
        <v>0</v>
      </c>
      <c r="AF75" s="486">
        <f t="shared" si="3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79"/>
        <v>0</v>
      </c>
      <c r="AM75" s="501">
        <f t="shared" si="80"/>
        <v>0</v>
      </c>
      <c r="AN75" s="502">
        <f t="shared" si="4"/>
        <v>0</v>
      </c>
      <c r="AO75" s="499">
        <f>I75+AF75</f>
        <v>904232</v>
      </c>
      <c r="AP75" s="486">
        <f>J75+V75</f>
        <v>665856</v>
      </c>
      <c r="AQ75" s="486">
        <f>K75+Y75</f>
        <v>0</v>
      </c>
      <c r="AR75" s="486">
        <f>L75</f>
        <v>0</v>
      </c>
      <c r="AS75" s="486">
        <f t="shared" si="81"/>
        <v>225059</v>
      </c>
      <c r="AT75" s="486">
        <f t="shared" si="81"/>
        <v>13317</v>
      </c>
      <c r="AU75" s="486">
        <f>O75+AE75</f>
        <v>0</v>
      </c>
      <c r="AV75" s="501">
        <f>P75+AN75</f>
        <v>2</v>
      </c>
      <c r="AW75" s="501">
        <f t="shared" si="82"/>
        <v>2</v>
      </c>
      <c r="AX75" s="502">
        <f t="shared" si="82"/>
        <v>0</v>
      </c>
    </row>
    <row r="76" spans="1:50" ht="14.1" customHeight="1" x14ac:dyDescent="0.2">
      <c r="A76" s="585">
        <v>18</v>
      </c>
      <c r="B76" s="586">
        <v>2416</v>
      </c>
      <c r="C76" s="587">
        <v>600079571</v>
      </c>
      <c r="D76" s="586">
        <v>72742895</v>
      </c>
      <c r="E76" s="588" t="s">
        <v>607</v>
      </c>
      <c r="F76" s="585">
        <v>3141</v>
      </c>
      <c r="G76" s="588" t="s">
        <v>321</v>
      </c>
      <c r="H76" s="589" t="s">
        <v>284</v>
      </c>
      <c r="I76" s="495">
        <v>625325</v>
      </c>
      <c r="J76" s="496">
        <v>458382</v>
      </c>
      <c r="K76" s="475">
        <v>0</v>
      </c>
      <c r="L76" s="475">
        <v>0</v>
      </c>
      <c r="M76" s="475">
        <v>154933</v>
      </c>
      <c r="N76" s="496">
        <v>9168</v>
      </c>
      <c r="O76" s="496">
        <v>2842</v>
      </c>
      <c r="P76" s="412">
        <v>1.56</v>
      </c>
      <c r="Q76" s="497">
        <v>0</v>
      </c>
      <c r="R76" s="498">
        <v>1.56</v>
      </c>
      <c r="S76" s="499">
        <v>0</v>
      </c>
      <c r="T76" s="486">
        <v>0</v>
      </c>
      <c r="U76" s="486">
        <v>0</v>
      </c>
      <c r="V76" s="486">
        <f>SUM(S76:U76)</f>
        <v>0</v>
      </c>
      <c r="W76" s="486">
        <v>0</v>
      </c>
      <c r="X76" s="486">
        <v>0</v>
      </c>
      <c r="Y76" s="486">
        <f>SUM(W76:X76)</f>
        <v>0</v>
      </c>
      <c r="Z76" s="486">
        <f>V76+Y76</f>
        <v>0</v>
      </c>
      <c r="AA76" s="178">
        <f t="shared" si="1"/>
        <v>0</v>
      </c>
      <c r="AB76" s="745">
        <f>ROUND(V76*2%,0)</f>
        <v>0</v>
      </c>
      <c r="AC76" s="486">
        <v>0</v>
      </c>
      <c r="AD76" s="486">
        <v>0</v>
      </c>
      <c r="AE76" s="486">
        <f t="shared" si="2"/>
        <v>0</v>
      </c>
      <c r="AF76" s="486">
        <f t="shared" si="3"/>
        <v>0</v>
      </c>
      <c r="AG76" s="501">
        <v>0</v>
      </c>
      <c r="AH76" s="501">
        <v>0</v>
      </c>
      <c r="AI76" s="501">
        <v>0</v>
      </c>
      <c r="AJ76" s="501">
        <v>0</v>
      </c>
      <c r="AK76" s="501">
        <v>0</v>
      </c>
      <c r="AL76" s="501">
        <f t="shared" si="79"/>
        <v>0</v>
      </c>
      <c r="AM76" s="501">
        <f t="shared" si="80"/>
        <v>0</v>
      </c>
      <c r="AN76" s="502">
        <f t="shared" si="4"/>
        <v>0</v>
      </c>
      <c r="AO76" s="499">
        <f>I76+AF76</f>
        <v>625325</v>
      </c>
      <c r="AP76" s="486">
        <f>J76+V76</f>
        <v>458382</v>
      </c>
      <c r="AQ76" s="486">
        <f>K76+Y76</f>
        <v>0</v>
      </c>
      <c r="AR76" s="486">
        <f>L76</f>
        <v>0</v>
      </c>
      <c r="AS76" s="486">
        <f t="shared" si="81"/>
        <v>154933</v>
      </c>
      <c r="AT76" s="486">
        <f t="shared" si="81"/>
        <v>9168</v>
      </c>
      <c r="AU76" s="486">
        <f>O76+AE76</f>
        <v>2842</v>
      </c>
      <c r="AV76" s="501">
        <f>P76+AN76</f>
        <v>1.56</v>
      </c>
      <c r="AW76" s="501">
        <f t="shared" si="82"/>
        <v>0</v>
      </c>
      <c r="AX76" s="502">
        <f t="shared" si="82"/>
        <v>1.56</v>
      </c>
    </row>
    <row r="77" spans="1:50" ht="14.1" customHeight="1" x14ac:dyDescent="0.2">
      <c r="A77" s="181">
        <v>18</v>
      </c>
      <c r="B77" s="179">
        <v>2416</v>
      </c>
      <c r="C77" s="180">
        <v>600079571</v>
      </c>
      <c r="D77" s="179">
        <v>72742895</v>
      </c>
      <c r="E77" s="578" t="s">
        <v>608</v>
      </c>
      <c r="F77" s="181"/>
      <c r="G77" s="578"/>
      <c r="H77" s="579"/>
      <c r="I77" s="580">
        <v>6388431</v>
      </c>
      <c r="J77" s="581">
        <v>4597250</v>
      </c>
      <c r="K77" s="581">
        <v>73000</v>
      </c>
      <c r="L77" s="581">
        <v>0</v>
      </c>
      <c r="M77" s="581">
        <v>1578544</v>
      </c>
      <c r="N77" s="581">
        <v>91945</v>
      </c>
      <c r="O77" s="581">
        <v>47692</v>
      </c>
      <c r="P77" s="582">
        <v>11.5482</v>
      </c>
      <c r="Q77" s="582">
        <v>8</v>
      </c>
      <c r="R77" s="584">
        <v>3.5481999999999996</v>
      </c>
      <c r="S77" s="583">
        <f t="shared" ref="S77:AX77" si="83">SUM(S74:S76)</f>
        <v>0</v>
      </c>
      <c r="T77" s="581">
        <f t="shared" si="83"/>
        <v>0</v>
      </c>
      <c r="U77" s="581">
        <f t="shared" si="83"/>
        <v>0</v>
      </c>
      <c r="V77" s="581">
        <f t="shared" si="83"/>
        <v>0</v>
      </c>
      <c r="W77" s="581">
        <f t="shared" si="83"/>
        <v>0</v>
      </c>
      <c r="X77" s="581">
        <f t="shared" si="83"/>
        <v>0</v>
      </c>
      <c r="Y77" s="581">
        <f t="shared" si="83"/>
        <v>0</v>
      </c>
      <c r="Z77" s="581">
        <f t="shared" si="83"/>
        <v>0</v>
      </c>
      <c r="AA77" s="581">
        <f t="shared" si="83"/>
        <v>0</v>
      </c>
      <c r="AB77" s="583">
        <f t="shared" si="83"/>
        <v>0</v>
      </c>
      <c r="AC77" s="581">
        <f t="shared" si="83"/>
        <v>0</v>
      </c>
      <c r="AD77" s="581">
        <f t="shared" si="83"/>
        <v>0</v>
      </c>
      <c r="AE77" s="581">
        <f t="shared" si="83"/>
        <v>0</v>
      </c>
      <c r="AF77" s="581">
        <f t="shared" si="83"/>
        <v>0</v>
      </c>
      <c r="AG77" s="582">
        <f t="shared" si="83"/>
        <v>0</v>
      </c>
      <c r="AH77" s="582">
        <f t="shared" si="83"/>
        <v>0</v>
      </c>
      <c r="AI77" s="582">
        <f t="shared" si="83"/>
        <v>0</v>
      </c>
      <c r="AJ77" s="582">
        <f t="shared" si="83"/>
        <v>0</v>
      </c>
      <c r="AK77" s="582">
        <f t="shared" si="83"/>
        <v>0</v>
      </c>
      <c r="AL77" s="582">
        <f t="shared" si="83"/>
        <v>0</v>
      </c>
      <c r="AM77" s="582">
        <f t="shared" si="83"/>
        <v>0</v>
      </c>
      <c r="AN77" s="584">
        <f t="shared" si="83"/>
        <v>0</v>
      </c>
      <c r="AO77" s="583">
        <f t="shared" si="83"/>
        <v>6388431</v>
      </c>
      <c r="AP77" s="581">
        <f t="shared" si="83"/>
        <v>4597250</v>
      </c>
      <c r="AQ77" s="581">
        <f t="shared" si="83"/>
        <v>73000</v>
      </c>
      <c r="AR77" s="581">
        <f t="shared" si="83"/>
        <v>0</v>
      </c>
      <c r="AS77" s="581">
        <f t="shared" si="83"/>
        <v>1578544</v>
      </c>
      <c r="AT77" s="581">
        <f t="shared" si="83"/>
        <v>91945</v>
      </c>
      <c r="AU77" s="581">
        <f t="shared" si="83"/>
        <v>47692</v>
      </c>
      <c r="AV77" s="582">
        <f t="shared" si="83"/>
        <v>11.5482</v>
      </c>
      <c r="AW77" s="582">
        <f t="shared" si="83"/>
        <v>8</v>
      </c>
      <c r="AX77" s="584">
        <f t="shared" si="83"/>
        <v>3.5481999999999996</v>
      </c>
    </row>
    <row r="78" spans="1:50" ht="14.1" customHeight="1" x14ac:dyDescent="0.2">
      <c r="A78" s="585">
        <v>19</v>
      </c>
      <c r="B78" s="586">
        <v>2421</v>
      </c>
      <c r="C78" s="587">
        <v>600079163</v>
      </c>
      <c r="D78" s="586">
        <v>72743301</v>
      </c>
      <c r="E78" s="588" t="s">
        <v>609</v>
      </c>
      <c r="F78" s="585">
        <v>3111</v>
      </c>
      <c r="G78" s="588" t="s">
        <v>317</v>
      </c>
      <c r="H78" s="589" t="s">
        <v>283</v>
      </c>
      <c r="I78" s="495">
        <v>10055811</v>
      </c>
      <c r="J78" s="411">
        <v>7296399</v>
      </c>
      <c r="K78" s="520">
        <v>0</v>
      </c>
      <c r="L78" s="520">
        <v>0</v>
      </c>
      <c r="M78" s="475">
        <v>2466183</v>
      </c>
      <c r="N78" s="496">
        <v>145928</v>
      </c>
      <c r="O78" s="411">
        <v>147301</v>
      </c>
      <c r="P78" s="412">
        <v>16.946400000000001</v>
      </c>
      <c r="Q78" s="415">
        <v>12.741899999999999</v>
      </c>
      <c r="R78" s="685">
        <v>4.2045000000000003</v>
      </c>
      <c r="S78" s="499">
        <v>0</v>
      </c>
      <c r="T78" s="486">
        <v>0</v>
      </c>
      <c r="U78" s="486">
        <v>0</v>
      </c>
      <c r="V78" s="486">
        <f>SUM(S78:U78)</f>
        <v>0</v>
      </c>
      <c r="W78" s="486">
        <v>0</v>
      </c>
      <c r="X78" s="486">
        <v>0</v>
      </c>
      <c r="Y78" s="486">
        <f>SUM(W78:X78)</f>
        <v>0</v>
      </c>
      <c r="Z78" s="486">
        <f>V78+Y78</f>
        <v>0</v>
      </c>
      <c r="AA78" s="178">
        <f t="shared" ref="AA78:AA141" si="84">ROUND((V78+W78)*33.8%,0)</f>
        <v>0</v>
      </c>
      <c r="AB78" s="745">
        <f>ROUND(V78*2%,0)</f>
        <v>0</v>
      </c>
      <c r="AC78" s="486">
        <v>0</v>
      </c>
      <c r="AD78" s="486">
        <v>0</v>
      </c>
      <c r="AE78" s="486">
        <f t="shared" ref="AE78:AE142" si="85">SUM(AC78:AD78)</f>
        <v>0</v>
      </c>
      <c r="AF78" s="486">
        <f t="shared" ref="AF78:AF142" si="86">Z78+AA78+AB78+AE78</f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ref="AL78:AL79" si="87">AG78+AI78+AJ78</f>
        <v>0</v>
      </c>
      <c r="AM78" s="501">
        <f t="shared" ref="AM78:AM79" si="88">AH78+AK78</f>
        <v>0</v>
      </c>
      <c r="AN78" s="502">
        <f t="shared" ref="AN78:AN142" si="89">SUM(AL78:AM78)</f>
        <v>0</v>
      </c>
      <c r="AO78" s="499">
        <f>I78+AF78</f>
        <v>10055811</v>
      </c>
      <c r="AP78" s="486">
        <f>J78+V78</f>
        <v>7296399</v>
      </c>
      <c r="AQ78" s="486">
        <f>K78+Y78</f>
        <v>0</v>
      </c>
      <c r="AR78" s="486">
        <f>L78</f>
        <v>0</v>
      </c>
      <c r="AS78" s="486">
        <f>M78+AA78</f>
        <v>2466183</v>
      </c>
      <c r="AT78" s="486">
        <f>N78+AB78</f>
        <v>145928</v>
      </c>
      <c r="AU78" s="486">
        <f>O78+AE78</f>
        <v>147301</v>
      </c>
      <c r="AV78" s="501">
        <f>P78+AN78</f>
        <v>16.946400000000001</v>
      </c>
      <c r="AW78" s="501">
        <f>Q78+AL78</f>
        <v>12.741899999999999</v>
      </c>
      <c r="AX78" s="502">
        <f>R78+AM78</f>
        <v>4.2045000000000003</v>
      </c>
    </row>
    <row r="79" spans="1:50" ht="14.1" customHeight="1" x14ac:dyDescent="0.2">
      <c r="A79" s="585">
        <v>19</v>
      </c>
      <c r="B79" s="586">
        <v>2421</v>
      </c>
      <c r="C79" s="587">
        <v>600079163</v>
      </c>
      <c r="D79" s="586">
        <v>72743301</v>
      </c>
      <c r="E79" s="588" t="s">
        <v>609</v>
      </c>
      <c r="F79" s="585">
        <v>3141</v>
      </c>
      <c r="G79" s="588" t="s">
        <v>321</v>
      </c>
      <c r="H79" s="589" t="s">
        <v>284</v>
      </c>
      <c r="I79" s="495">
        <v>1370984</v>
      </c>
      <c r="J79" s="496">
        <v>1003411</v>
      </c>
      <c r="K79" s="475">
        <v>0</v>
      </c>
      <c r="L79" s="475">
        <v>0</v>
      </c>
      <c r="M79" s="475">
        <v>339153</v>
      </c>
      <c r="N79" s="496">
        <v>20068</v>
      </c>
      <c r="O79" s="496">
        <v>8352</v>
      </c>
      <c r="P79" s="412">
        <v>3.41</v>
      </c>
      <c r="Q79" s="497">
        <v>0</v>
      </c>
      <c r="R79" s="498">
        <v>3.41</v>
      </c>
      <c r="S79" s="499">
        <v>0</v>
      </c>
      <c r="T79" s="486">
        <v>0</v>
      </c>
      <c r="U79" s="486">
        <v>0</v>
      </c>
      <c r="V79" s="486">
        <f>SUM(S79:U79)</f>
        <v>0</v>
      </c>
      <c r="W79" s="486">
        <v>0</v>
      </c>
      <c r="X79" s="486">
        <v>0</v>
      </c>
      <c r="Y79" s="486">
        <f>SUM(W79:X79)</f>
        <v>0</v>
      </c>
      <c r="Z79" s="486">
        <f>V79+Y79</f>
        <v>0</v>
      </c>
      <c r="AA79" s="178">
        <f t="shared" si="84"/>
        <v>0</v>
      </c>
      <c r="AB79" s="745">
        <f>ROUND(V79*2%,0)</f>
        <v>0</v>
      </c>
      <c r="AC79" s="486">
        <v>0</v>
      </c>
      <c r="AD79" s="486">
        <v>0</v>
      </c>
      <c r="AE79" s="486">
        <f t="shared" si="85"/>
        <v>0</v>
      </c>
      <c r="AF79" s="486">
        <f t="shared" si="86"/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si="87"/>
        <v>0</v>
      </c>
      <c r="AM79" s="501">
        <f t="shared" si="88"/>
        <v>0</v>
      </c>
      <c r="AN79" s="502">
        <f t="shared" si="89"/>
        <v>0</v>
      </c>
      <c r="AO79" s="499">
        <f>I79+AF79</f>
        <v>1370984</v>
      </c>
      <c r="AP79" s="486">
        <f>J79+V79</f>
        <v>1003411</v>
      </c>
      <c r="AQ79" s="486">
        <f>K79+Y79</f>
        <v>0</v>
      </c>
      <c r="AR79" s="486">
        <f>L79</f>
        <v>0</v>
      </c>
      <c r="AS79" s="486">
        <f>M79+AA79</f>
        <v>339153</v>
      </c>
      <c r="AT79" s="486">
        <f>N79+AB79</f>
        <v>20068</v>
      </c>
      <c r="AU79" s="486">
        <f>O79+AE79</f>
        <v>8352</v>
      </c>
      <c r="AV79" s="501">
        <f>P79+AN79</f>
        <v>3.41</v>
      </c>
      <c r="AW79" s="501">
        <f>Q79+AL79</f>
        <v>0</v>
      </c>
      <c r="AX79" s="502">
        <f>R79+AM79</f>
        <v>3.41</v>
      </c>
    </row>
    <row r="80" spans="1:50" ht="14.1" customHeight="1" x14ac:dyDescent="0.2">
      <c r="A80" s="181">
        <v>19</v>
      </c>
      <c r="B80" s="179">
        <v>2421</v>
      </c>
      <c r="C80" s="180">
        <v>600079163</v>
      </c>
      <c r="D80" s="179">
        <v>72743301</v>
      </c>
      <c r="E80" s="578" t="s">
        <v>610</v>
      </c>
      <c r="F80" s="181"/>
      <c r="G80" s="578"/>
      <c r="H80" s="579"/>
      <c r="I80" s="580">
        <v>11426795</v>
      </c>
      <c r="J80" s="581">
        <v>8299810</v>
      </c>
      <c r="K80" s="581">
        <v>0</v>
      </c>
      <c r="L80" s="581">
        <v>0</v>
      </c>
      <c r="M80" s="581">
        <v>2805336</v>
      </c>
      <c r="N80" s="581">
        <v>165996</v>
      </c>
      <c r="O80" s="581">
        <v>155653</v>
      </c>
      <c r="P80" s="582">
        <v>20.356400000000001</v>
      </c>
      <c r="Q80" s="582">
        <v>12.741899999999999</v>
      </c>
      <c r="R80" s="584">
        <v>7.6145000000000005</v>
      </c>
      <c r="S80" s="583">
        <f t="shared" ref="S80:AX80" si="90">SUM(S78:S79)</f>
        <v>0</v>
      </c>
      <c r="T80" s="581">
        <f t="shared" si="90"/>
        <v>0</v>
      </c>
      <c r="U80" s="581">
        <f t="shared" si="90"/>
        <v>0</v>
      </c>
      <c r="V80" s="581">
        <f t="shared" si="90"/>
        <v>0</v>
      </c>
      <c r="W80" s="581">
        <f t="shared" si="90"/>
        <v>0</v>
      </c>
      <c r="X80" s="581">
        <f t="shared" si="90"/>
        <v>0</v>
      </c>
      <c r="Y80" s="581">
        <f t="shared" si="90"/>
        <v>0</v>
      </c>
      <c r="Z80" s="581">
        <f t="shared" si="90"/>
        <v>0</v>
      </c>
      <c r="AA80" s="581">
        <f t="shared" si="90"/>
        <v>0</v>
      </c>
      <c r="AB80" s="583">
        <f t="shared" si="90"/>
        <v>0</v>
      </c>
      <c r="AC80" s="581">
        <f t="shared" si="90"/>
        <v>0</v>
      </c>
      <c r="AD80" s="581">
        <f t="shared" si="90"/>
        <v>0</v>
      </c>
      <c r="AE80" s="581">
        <f t="shared" si="90"/>
        <v>0</v>
      </c>
      <c r="AF80" s="581">
        <f t="shared" si="90"/>
        <v>0</v>
      </c>
      <c r="AG80" s="582">
        <f t="shared" si="90"/>
        <v>0</v>
      </c>
      <c r="AH80" s="582">
        <f t="shared" si="90"/>
        <v>0</v>
      </c>
      <c r="AI80" s="582">
        <f t="shared" si="90"/>
        <v>0</v>
      </c>
      <c r="AJ80" s="582">
        <f t="shared" si="90"/>
        <v>0</v>
      </c>
      <c r="AK80" s="582">
        <f t="shared" si="90"/>
        <v>0</v>
      </c>
      <c r="AL80" s="582">
        <f t="shared" si="90"/>
        <v>0</v>
      </c>
      <c r="AM80" s="582">
        <f t="shared" si="90"/>
        <v>0</v>
      </c>
      <c r="AN80" s="584">
        <f t="shared" si="90"/>
        <v>0</v>
      </c>
      <c r="AO80" s="583">
        <f t="shared" si="90"/>
        <v>11426795</v>
      </c>
      <c r="AP80" s="581">
        <f t="shared" si="90"/>
        <v>8299810</v>
      </c>
      <c r="AQ80" s="581">
        <f t="shared" si="90"/>
        <v>0</v>
      </c>
      <c r="AR80" s="581">
        <f t="shared" si="90"/>
        <v>0</v>
      </c>
      <c r="AS80" s="581">
        <f t="shared" si="90"/>
        <v>2805336</v>
      </c>
      <c r="AT80" s="581">
        <f t="shared" si="90"/>
        <v>165996</v>
      </c>
      <c r="AU80" s="581">
        <f t="shared" si="90"/>
        <v>155653</v>
      </c>
      <c r="AV80" s="582">
        <f t="shared" si="90"/>
        <v>20.356400000000001</v>
      </c>
      <c r="AW80" s="582">
        <f t="shared" si="90"/>
        <v>12.741899999999999</v>
      </c>
      <c r="AX80" s="584">
        <f t="shared" si="90"/>
        <v>7.6145000000000005</v>
      </c>
    </row>
    <row r="81" spans="1:50" ht="14.1" customHeight="1" x14ac:dyDescent="0.2">
      <c r="A81" s="585">
        <v>20</v>
      </c>
      <c r="B81" s="586">
        <v>2419</v>
      </c>
      <c r="C81" s="587">
        <v>600079171</v>
      </c>
      <c r="D81" s="586">
        <v>72742500</v>
      </c>
      <c r="E81" s="588" t="s">
        <v>611</v>
      </c>
      <c r="F81" s="585">
        <v>3111</v>
      </c>
      <c r="G81" s="588" t="s">
        <v>317</v>
      </c>
      <c r="H81" s="589" t="s">
        <v>283</v>
      </c>
      <c r="I81" s="495">
        <v>5066800</v>
      </c>
      <c r="J81" s="411">
        <v>3694477</v>
      </c>
      <c r="K81" s="520">
        <v>0</v>
      </c>
      <c r="L81" s="520">
        <v>0</v>
      </c>
      <c r="M81" s="475">
        <v>1248733</v>
      </c>
      <c r="N81" s="496">
        <v>73890</v>
      </c>
      <c r="O81" s="411">
        <v>49700</v>
      </c>
      <c r="P81" s="412">
        <v>8.376100000000001</v>
      </c>
      <c r="Q81" s="415">
        <v>6.2419000000000002</v>
      </c>
      <c r="R81" s="685">
        <v>2.1341999999999999</v>
      </c>
      <c r="S81" s="499">
        <v>0</v>
      </c>
      <c r="T81" s="486">
        <v>0</v>
      </c>
      <c r="U81" s="486">
        <v>0</v>
      </c>
      <c r="V81" s="486">
        <f>SUM(S81:U81)</f>
        <v>0</v>
      </c>
      <c r="W81" s="486">
        <v>0</v>
      </c>
      <c r="X81" s="486">
        <v>0</v>
      </c>
      <c r="Y81" s="486">
        <f>SUM(W81:X81)</f>
        <v>0</v>
      </c>
      <c r="Z81" s="486">
        <f>V81+Y81</f>
        <v>0</v>
      </c>
      <c r="AA81" s="178">
        <f t="shared" si="84"/>
        <v>0</v>
      </c>
      <c r="AB81" s="745">
        <f>ROUND(V81*2%,0)</f>
        <v>0</v>
      </c>
      <c r="AC81" s="486">
        <v>0</v>
      </c>
      <c r="AD81" s="486">
        <v>0</v>
      </c>
      <c r="AE81" s="486">
        <f t="shared" si="85"/>
        <v>0</v>
      </c>
      <c r="AF81" s="486">
        <f t="shared" si="86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ref="AL81:AL82" si="91">AG81+AI81+AJ81</f>
        <v>0</v>
      </c>
      <c r="AM81" s="501">
        <f t="shared" ref="AM81:AM82" si="92">AH81+AK81</f>
        <v>0</v>
      </c>
      <c r="AN81" s="502">
        <f t="shared" si="89"/>
        <v>0</v>
      </c>
      <c r="AO81" s="499">
        <f>I81+AF81</f>
        <v>5066800</v>
      </c>
      <c r="AP81" s="486">
        <f>J81+V81</f>
        <v>3694477</v>
      </c>
      <c r="AQ81" s="486">
        <f>K81+Y81</f>
        <v>0</v>
      </c>
      <c r="AR81" s="486">
        <f>L81</f>
        <v>0</v>
      </c>
      <c r="AS81" s="486">
        <f>M81+AA81</f>
        <v>1248733</v>
      </c>
      <c r="AT81" s="486">
        <f>N81+AB81</f>
        <v>73890</v>
      </c>
      <c r="AU81" s="486">
        <f>O81+AE81</f>
        <v>49700</v>
      </c>
      <c r="AV81" s="501">
        <f>P81+AN81</f>
        <v>8.376100000000001</v>
      </c>
      <c r="AW81" s="501">
        <f>Q81+AL81</f>
        <v>6.2419000000000002</v>
      </c>
      <c r="AX81" s="502">
        <f>R81+AM81</f>
        <v>2.1341999999999999</v>
      </c>
    </row>
    <row r="82" spans="1:50" ht="14.1" customHeight="1" x14ac:dyDescent="0.2">
      <c r="A82" s="585">
        <v>20</v>
      </c>
      <c r="B82" s="586">
        <v>2419</v>
      </c>
      <c r="C82" s="587">
        <v>600079171</v>
      </c>
      <c r="D82" s="586">
        <v>72742500</v>
      </c>
      <c r="E82" s="588" t="s">
        <v>611</v>
      </c>
      <c r="F82" s="585">
        <v>3141</v>
      </c>
      <c r="G82" s="588" t="s">
        <v>321</v>
      </c>
      <c r="H82" s="589" t="s">
        <v>284</v>
      </c>
      <c r="I82" s="495">
        <v>807538</v>
      </c>
      <c r="J82" s="496">
        <v>590910</v>
      </c>
      <c r="K82" s="475">
        <v>720</v>
      </c>
      <c r="L82" s="475">
        <v>0</v>
      </c>
      <c r="M82" s="475">
        <v>199971</v>
      </c>
      <c r="N82" s="496">
        <v>11819</v>
      </c>
      <c r="O82" s="496">
        <v>4118</v>
      </c>
      <c r="P82" s="412">
        <v>2.0099999999999998</v>
      </c>
      <c r="Q82" s="497">
        <v>0</v>
      </c>
      <c r="R82" s="498">
        <v>2.0099999999999998</v>
      </c>
      <c r="S82" s="499">
        <v>0</v>
      </c>
      <c r="T82" s="486">
        <v>0</v>
      </c>
      <c r="U82" s="486">
        <v>0</v>
      </c>
      <c r="V82" s="486">
        <f>SUM(S82:U82)</f>
        <v>0</v>
      </c>
      <c r="W82" s="486">
        <v>0</v>
      </c>
      <c r="X82" s="486">
        <v>0</v>
      </c>
      <c r="Y82" s="486">
        <f>SUM(W82:X82)</f>
        <v>0</v>
      </c>
      <c r="Z82" s="486">
        <f>V82+Y82</f>
        <v>0</v>
      </c>
      <c r="AA82" s="178">
        <f t="shared" si="84"/>
        <v>0</v>
      </c>
      <c r="AB82" s="745">
        <f>ROUND(V82*2%,0)</f>
        <v>0</v>
      </c>
      <c r="AC82" s="486">
        <v>0</v>
      </c>
      <c r="AD82" s="486">
        <v>0</v>
      </c>
      <c r="AE82" s="486">
        <f t="shared" si="85"/>
        <v>0</v>
      </c>
      <c r="AF82" s="486">
        <f t="shared" si="86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91"/>
        <v>0</v>
      </c>
      <c r="AM82" s="501">
        <f t="shared" si="92"/>
        <v>0</v>
      </c>
      <c r="AN82" s="502">
        <f t="shared" si="89"/>
        <v>0</v>
      </c>
      <c r="AO82" s="499">
        <f>I82+AF82</f>
        <v>807538</v>
      </c>
      <c r="AP82" s="486">
        <f>J82+V82</f>
        <v>590910</v>
      </c>
      <c r="AQ82" s="486">
        <f>K82+Y82</f>
        <v>720</v>
      </c>
      <c r="AR82" s="486">
        <f>L82</f>
        <v>0</v>
      </c>
      <c r="AS82" s="486">
        <f>M82+AA82</f>
        <v>199971</v>
      </c>
      <c r="AT82" s="486">
        <f>N82+AB82</f>
        <v>11819</v>
      </c>
      <c r="AU82" s="486">
        <f>O82+AE82</f>
        <v>4118</v>
      </c>
      <c r="AV82" s="501">
        <f>P82+AN82</f>
        <v>2.0099999999999998</v>
      </c>
      <c r="AW82" s="501">
        <f>Q82+AL82</f>
        <v>0</v>
      </c>
      <c r="AX82" s="502">
        <f>R82+AM82</f>
        <v>2.0099999999999998</v>
      </c>
    </row>
    <row r="83" spans="1:50" ht="14.1" customHeight="1" x14ac:dyDescent="0.2">
      <c r="A83" s="181">
        <v>20</v>
      </c>
      <c r="B83" s="179">
        <v>2419</v>
      </c>
      <c r="C83" s="180">
        <v>600079171</v>
      </c>
      <c r="D83" s="179">
        <v>72742500</v>
      </c>
      <c r="E83" s="578" t="s">
        <v>612</v>
      </c>
      <c r="F83" s="181"/>
      <c r="G83" s="578"/>
      <c r="H83" s="579"/>
      <c r="I83" s="580">
        <v>5874338</v>
      </c>
      <c r="J83" s="581">
        <v>4285387</v>
      </c>
      <c r="K83" s="581">
        <v>720</v>
      </c>
      <c r="L83" s="581">
        <v>0</v>
      </c>
      <c r="M83" s="581">
        <v>1448704</v>
      </c>
      <c r="N83" s="581">
        <v>85709</v>
      </c>
      <c r="O83" s="581">
        <v>53818</v>
      </c>
      <c r="P83" s="582">
        <v>10.386100000000001</v>
      </c>
      <c r="Q83" s="582">
        <v>6.2419000000000002</v>
      </c>
      <c r="R83" s="584">
        <v>4.1441999999999997</v>
      </c>
      <c r="S83" s="583">
        <f t="shared" ref="S83:AX83" si="93">SUM(S81:S82)</f>
        <v>0</v>
      </c>
      <c r="T83" s="581">
        <f t="shared" si="93"/>
        <v>0</v>
      </c>
      <c r="U83" s="581">
        <f t="shared" si="93"/>
        <v>0</v>
      </c>
      <c r="V83" s="581">
        <f t="shared" si="93"/>
        <v>0</v>
      </c>
      <c r="W83" s="581">
        <f t="shared" si="93"/>
        <v>0</v>
      </c>
      <c r="X83" s="581">
        <f t="shared" si="93"/>
        <v>0</v>
      </c>
      <c r="Y83" s="581">
        <f t="shared" si="93"/>
        <v>0</v>
      </c>
      <c r="Z83" s="581">
        <f t="shared" si="93"/>
        <v>0</v>
      </c>
      <c r="AA83" s="581">
        <f t="shared" si="93"/>
        <v>0</v>
      </c>
      <c r="AB83" s="583">
        <f t="shared" si="93"/>
        <v>0</v>
      </c>
      <c r="AC83" s="581">
        <f t="shared" si="93"/>
        <v>0</v>
      </c>
      <c r="AD83" s="581">
        <f t="shared" si="93"/>
        <v>0</v>
      </c>
      <c r="AE83" s="581">
        <f t="shared" si="93"/>
        <v>0</v>
      </c>
      <c r="AF83" s="581">
        <f t="shared" si="93"/>
        <v>0</v>
      </c>
      <c r="AG83" s="582">
        <f t="shared" si="93"/>
        <v>0</v>
      </c>
      <c r="AH83" s="582">
        <f t="shared" si="93"/>
        <v>0</v>
      </c>
      <c r="AI83" s="582">
        <f t="shared" si="93"/>
        <v>0</v>
      </c>
      <c r="AJ83" s="582">
        <f t="shared" si="93"/>
        <v>0</v>
      </c>
      <c r="AK83" s="582">
        <f t="shared" si="93"/>
        <v>0</v>
      </c>
      <c r="AL83" s="582">
        <f t="shared" si="93"/>
        <v>0</v>
      </c>
      <c r="AM83" s="582">
        <f t="shared" si="93"/>
        <v>0</v>
      </c>
      <c r="AN83" s="584">
        <f t="shared" si="93"/>
        <v>0</v>
      </c>
      <c r="AO83" s="583">
        <f t="shared" si="93"/>
        <v>5874338</v>
      </c>
      <c r="AP83" s="581">
        <f t="shared" si="93"/>
        <v>4285387</v>
      </c>
      <c r="AQ83" s="581">
        <f t="shared" si="93"/>
        <v>720</v>
      </c>
      <c r="AR83" s="581">
        <f t="shared" si="93"/>
        <v>0</v>
      </c>
      <c r="AS83" s="581">
        <f t="shared" si="93"/>
        <v>1448704</v>
      </c>
      <c r="AT83" s="581">
        <f t="shared" si="93"/>
        <v>85709</v>
      </c>
      <c r="AU83" s="581">
        <f t="shared" si="93"/>
        <v>53818</v>
      </c>
      <c r="AV83" s="582">
        <f t="shared" si="93"/>
        <v>10.386100000000001</v>
      </c>
      <c r="AW83" s="582">
        <f t="shared" si="93"/>
        <v>6.2419000000000002</v>
      </c>
      <c r="AX83" s="584">
        <f t="shared" si="93"/>
        <v>4.1441999999999997</v>
      </c>
    </row>
    <row r="84" spans="1:50" ht="14.1" customHeight="1" x14ac:dyDescent="0.2">
      <c r="A84" s="585">
        <v>21</v>
      </c>
      <c r="B84" s="586">
        <v>2430</v>
      </c>
      <c r="C84" s="587">
        <v>600079180</v>
      </c>
      <c r="D84" s="586">
        <v>46747532</v>
      </c>
      <c r="E84" s="588" t="s">
        <v>613</v>
      </c>
      <c r="F84" s="585">
        <v>3111</v>
      </c>
      <c r="G84" s="588" t="s">
        <v>317</v>
      </c>
      <c r="H84" s="589" t="s">
        <v>283</v>
      </c>
      <c r="I84" s="495">
        <v>4772019</v>
      </c>
      <c r="J84" s="411">
        <v>3482046</v>
      </c>
      <c r="K84" s="520">
        <v>0</v>
      </c>
      <c r="L84" s="520">
        <v>0</v>
      </c>
      <c r="M84" s="475">
        <v>1176932</v>
      </c>
      <c r="N84" s="496">
        <v>69641</v>
      </c>
      <c r="O84" s="411">
        <v>43400</v>
      </c>
      <c r="P84" s="412">
        <v>7.9841999999999995</v>
      </c>
      <c r="Q84" s="415">
        <v>6</v>
      </c>
      <c r="R84" s="685">
        <v>1.9842</v>
      </c>
      <c r="S84" s="499">
        <v>0</v>
      </c>
      <c r="T84" s="486">
        <v>0</v>
      </c>
      <c r="U84" s="486">
        <v>0</v>
      </c>
      <c r="V84" s="486">
        <f>SUM(S84:U84)</f>
        <v>0</v>
      </c>
      <c r="W84" s="486">
        <v>0</v>
      </c>
      <c r="X84" s="486">
        <v>0</v>
      </c>
      <c r="Y84" s="486">
        <f>SUM(W84:X84)</f>
        <v>0</v>
      </c>
      <c r="Z84" s="486">
        <f>V84+Y84</f>
        <v>0</v>
      </c>
      <c r="AA84" s="178">
        <f t="shared" si="84"/>
        <v>0</v>
      </c>
      <c r="AB84" s="745">
        <f>ROUND(V84*2%,0)</f>
        <v>0</v>
      </c>
      <c r="AC84" s="486">
        <v>0</v>
      </c>
      <c r="AD84" s="486">
        <v>0</v>
      </c>
      <c r="AE84" s="486">
        <f t="shared" si="85"/>
        <v>0</v>
      </c>
      <c r="AF84" s="486">
        <f t="shared" si="86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ref="AL84:AL86" si="94">AG84+AI84+AJ84</f>
        <v>0</v>
      </c>
      <c r="AM84" s="501">
        <f t="shared" ref="AM84:AM86" si="95">AH84+AK84</f>
        <v>0</v>
      </c>
      <c r="AN84" s="502">
        <f t="shared" si="89"/>
        <v>0</v>
      </c>
      <c r="AO84" s="499">
        <f>I84+AF84</f>
        <v>4772019</v>
      </c>
      <c r="AP84" s="486">
        <f>J84+V84</f>
        <v>3482046</v>
      </c>
      <c r="AQ84" s="486">
        <f>K84+Y84</f>
        <v>0</v>
      </c>
      <c r="AR84" s="486">
        <f>L84</f>
        <v>0</v>
      </c>
      <c r="AS84" s="486">
        <f t="shared" ref="AS84:AT86" si="96">M84+AA84</f>
        <v>1176932</v>
      </c>
      <c r="AT84" s="486">
        <f t="shared" si="96"/>
        <v>69641</v>
      </c>
      <c r="AU84" s="486">
        <f>O84+AE84</f>
        <v>43400</v>
      </c>
      <c r="AV84" s="501">
        <f>P84+AN84</f>
        <v>7.9841999999999995</v>
      </c>
      <c r="AW84" s="501">
        <f t="shared" ref="AW84:AX86" si="97">Q84+AL84</f>
        <v>6</v>
      </c>
      <c r="AX84" s="502">
        <f t="shared" si="97"/>
        <v>1.9842</v>
      </c>
    </row>
    <row r="85" spans="1:50" ht="14.1" customHeight="1" x14ac:dyDescent="0.2">
      <c r="A85" s="585">
        <v>21</v>
      </c>
      <c r="B85" s="586">
        <v>2430</v>
      </c>
      <c r="C85" s="587">
        <v>600079180</v>
      </c>
      <c r="D85" s="586">
        <v>46747532</v>
      </c>
      <c r="E85" s="588" t="s">
        <v>613</v>
      </c>
      <c r="F85" s="585">
        <v>3111</v>
      </c>
      <c r="G85" s="208" t="s">
        <v>318</v>
      </c>
      <c r="H85" s="589" t="s">
        <v>284</v>
      </c>
      <c r="I85" s="495">
        <v>230590</v>
      </c>
      <c r="J85" s="496">
        <v>169801</v>
      </c>
      <c r="K85" s="475">
        <v>0</v>
      </c>
      <c r="L85" s="475">
        <v>0</v>
      </c>
      <c r="M85" s="475">
        <v>57393</v>
      </c>
      <c r="N85" s="496">
        <v>3396</v>
      </c>
      <c r="O85" s="496">
        <v>0</v>
      </c>
      <c r="P85" s="412">
        <v>0.5</v>
      </c>
      <c r="Q85" s="497">
        <v>0.5</v>
      </c>
      <c r="R85" s="498">
        <v>0</v>
      </c>
      <c r="S85" s="499">
        <v>0</v>
      </c>
      <c r="T85" s="486">
        <v>0</v>
      </c>
      <c r="U85" s="486">
        <v>0</v>
      </c>
      <c r="V85" s="486">
        <f>SUM(S85:U85)</f>
        <v>0</v>
      </c>
      <c r="W85" s="486">
        <v>0</v>
      </c>
      <c r="X85" s="486">
        <v>0</v>
      </c>
      <c r="Y85" s="486">
        <f>SUM(W85:X85)</f>
        <v>0</v>
      </c>
      <c r="Z85" s="486">
        <f>V85+Y85</f>
        <v>0</v>
      </c>
      <c r="AA85" s="178">
        <f t="shared" si="84"/>
        <v>0</v>
      </c>
      <c r="AB85" s="745">
        <f>ROUND(V85*2%,0)</f>
        <v>0</v>
      </c>
      <c r="AC85" s="486">
        <v>0</v>
      </c>
      <c r="AD85" s="486">
        <v>0</v>
      </c>
      <c r="AE85" s="486">
        <f t="shared" si="85"/>
        <v>0</v>
      </c>
      <c r="AF85" s="486">
        <f t="shared" si="86"/>
        <v>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94"/>
        <v>0</v>
      </c>
      <c r="AM85" s="501">
        <f t="shared" si="95"/>
        <v>0</v>
      </c>
      <c r="AN85" s="502">
        <f t="shared" si="89"/>
        <v>0</v>
      </c>
      <c r="AO85" s="499">
        <f>I85+AF85</f>
        <v>230590</v>
      </c>
      <c r="AP85" s="486">
        <f>J85+V85</f>
        <v>169801</v>
      </c>
      <c r="AQ85" s="486">
        <f>K85+Y85</f>
        <v>0</v>
      </c>
      <c r="AR85" s="486">
        <f>L85</f>
        <v>0</v>
      </c>
      <c r="AS85" s="486">
        <f t="shared" si="96"/>
        <v>57393</v>
      </c>
      <c r="AT85" s="486">
        <f t="shared" si="96"/>
        <v>3396</v>
      </c>
      <c r="AU85" s="486">
        <f>O85+AE85</f>
        <v>0</v>
      </c>
      <c r="AV85" s="501">
        <f>P85+AN85</f>
        <v>0.5</v>
      </c>
      <c r="AW85" s="501">
        <f t="shared" si="97"/>
        <v>0.5</v>
      </c>
      <c r="AX85" s="502">
        <f t="shared" si="97"/>
        <v>0</v>
      </c>
    </row>
    <row r="86" spans="1:50" ht="14.1" customHeight="1" x14ac:dyDescent="0.2">
      <c r="A86" s="585">
        <v>21</v>
      </c>
      <c r="B86" s="586">
        <v>2430</v>
      </c>
      <c r="C86" s="587">
        <v>600079180</v>
      </c>
      <c r="D86" s="586">
        <v>46747532</v>
      </c>
      <c r="E86" s="588" t="s">
        <v>613</v>
      </c>
      <c r="F86" s="585">
        <v>3141</v>
      </c>
      <c r="G86" s="588" t="s">
        <v>321</v>
      </c>
      <c r="H86" s="589" t="s">
        <v>284</v>
      </c>
      <c r="I86" s="495">
        <v>736975</v>
      </c>
      <c r="J86" s="496">
        <v>540043</v>
      </c>
      <c r="K86" s="475">
        <v>0</v>
      </c>
      <c r="L86" s="475">
        <v>0</v>
      </c>
      <c r="M86" s="475">
        <v>182535</v>
      </c>
      <c r="N86" s="496">
        <v>10801</v>
      </c>
      <c r="O86" s="496">
        <v>3596</v>
      </c>
      <c r="P86" s="412">
        <v>1.84</v>
      </c>
      <c r="Q86" s="497">
        <v>0</v>
      </c>
      <c r="R86" s="498">
        <v>1.84</v>
      </c>
      <c r="S86" s="499">
        <v>0</v>
      </c>
      <c r="T86" s="486">
        <v>0</v>
      </c>
      <c r="U86" s="486">
        <v>0</v>
      </c>
      <c r="V86" s="486">
        <f>SUM(S86:U86)</f>
        <v>0</v>
      </c>
      <c r="W86" s="486">
        <v>0</v>
      </c>
      <c r="X86" s="486">
        <v>0</v>
      </c>
      <c r="Y86" s="486">
        <f>SUM(W86:X86)</f>
        <v>0</v>
      </c>
      <c r="Z86" s="486">
        <f>V86+Y86</f>
        <v>0</v>
      </c>
      <c r="AA86" s="178">
        <f t="shared" si="84"/>
        <v>0</v>
      </c>
      <c r="AB86" s="745">
        <f>ROUND(V86*2%,0)</f>
        <v>0</v>
      </c>
      <c r="AC86" s="486">
        <v>0</v>
      </c>
      <c r="AD86" s="486">
        <v>0</v>
      </c>
      <c r="AE86" s="486">
        <f t="shared" si="85"/>
        <v>0</v>
      </c>
      <c r="AF86" s="486">
        <f t="shared" si="86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94"/>
        <v>0</v>
      </c>
      <c r="AM86" s="501">
        <f t="shared" si="95"/>
        <v>0</v>
      </c>
      <c r="AN86" s="502">
        <f t="shared" si="89"/>
        <v>0</v>
      </c>
      <c r="AO86" s="499">
        <f>I86+AF86</f>
        <v>736975</v>
      </c>
      <c r="AP86" s="486">
        <f>J86+V86</f>
        <v>540043</v>
      </c>
      <c r="AQ86" s="486">
        <f>K86+Y86</f>
        <v>0</v>
      </c>
      <c r="AR86" s="486">
        <f>L86</f>
        <v>0</v>
      </c>
      <c r="AS86" s="486">
        <f t="shared" si="96"/>
        <v>182535</v>
      </c>
      <c r="AT86" s="486">
        <f t="shared" si="96"/>
        <v>10801</v>
      </c>
      <c r="AU86" s="486">
        <f>O86+AE86</f>
        <v>3596</v>
      </c>
      <c r="AV86" s="501">
        <f>P86+AN86</f>
        <v>1.84</v>
      </c>
      <c r="AW86" s="501">
        <f t="shared" si="97"/>
        <v>0</v>
      </c>
      <c r="AX86" s="502">
        <f t="shared" si="97"/>
        <v>1.84</v>
      </c>
    </row>
    <row r="87" spans="1:50" ht="14.1" customHeight="1" x14ac:dyDescent="0.2">
      <c r="A87" s="181">
        <v>21</v>
      </c>
      <c r="B87" s="179">
        <v>2430</v>
      </c>
      <c r="C87" s="180">
        <v>600079180</v>
      </c>
      <c r="D87" s="179">
        <v>46747532</v>
      </c>
      <c r="E87" s="578" t="s">
        <v>614</v>
      </c>
      <c r="F87" s="181"/>
      <c r="G87" s="578"/>
      <c r="H87" s="579"/>
      <c r="I87" s="580">
        <v>5739584</v>
      </c>
      <c r="J87" s="581">
        <v>4191890</v>
      </c>
      <c r="K87" s="581">
        <v>0</v>
      </c>
      <c r="L87" s="581">
        <v>0</v>
      </c>
      <c r="M87" s="581">
        <v>1416860</v>
      </c>
      <c r="N87" s="581">
        <v>83838</v>
      </c>
      <c r="O87" s="581">
        <v>46996</v>
      </c>
      <c r="P87" s="582">
        <v>10.324199999999999</v>
      </c>
      <c r="Q87" s="582">
        <v>6.5</v>
      </c>
      <c r="R87" s="584">
        <v>3.8242000000000003</v>
      </c>
      <c r="S87" s="583">
        <f t="shared" ref="S87:AX87" si="98">SUM(S84:S86)</f>
        <v>0</v>
      </c>
      <c r="T87" s="581">
        <f t="shared" si="98"/>
        <v>0</v>
      </c>
      <c r="U87" s="581">
        <f t="shared" si="98"/>
        <v>0</v>
      </c>
      <c r="V87" s="581">
        <f t="shared" si="98"/>
        <v>0</v>
      </c>
      <c r="W87" s="581">
        <f t="shared" si="98"/>
        <v>0</v>
      </c>
      <c r="X87" s="581">
        <f t="shared" si="98"/>
        <v>0</v>
      </c>
      <c r="Y87" s="581">
        <f t="shared" si="98"/>
        <v>0</v>
      </c>
      <c r="Z87" s="581">
        <f t="shared" si="98"/>
        <v>0</v>
      </c>
      <c r="AA87" s="581">
        <f t="shared" si="98"/>
        <v>0</v>
      </c>
      <c r="AB87" s="583">
        <f t="shared" si="98"/>
        <v>0</v>
      </c>
      <c r="AC87" s="581">
        <f t="shared" si="98"/>
        <v>0</v>
      </c>
      <c r="AD87" s="581">
        <f t="shared" si="98"/>
        <v>0</v>
      </c>
      <c r="AE87" s="581">
        <f t="shared" si="98"/>
        <v>0</v>
      </c>
      <c r="AF87" s="581">
        <f t="shared" si="98"/>
        <v>0</v>
      </c>
      <c r="AG87" s="582">
        <f t="shared" si="98"/>
        <v>0</v>
      </c>
      <c r="AH87" s="582">
        <f t="shared" si="98"/>
        <v>0</v>
      </c>
      <c r="AI87" s="582">
        <f t="shared" si="98"/>
        <v>0</v>
      </c>
      <c r="AJ87" s="582">
        <f t="shared" si="98"/>
        <v>0</v>
      </c>
      <c r="AK87" s="582">
        <f t="shared" si="98"/>
        <v>0</v>
      </c>
      <c r="AL87" s="582">
        <f t="shared" si="98"/>
        <v>0</v>
      </c>
      <c r="AM87" s="582">
        <f t="shared" si="98"/>
        <v>0</v>
      </c>
      <c r="AN87" s="584">
        <f t="shared" si="98"/>
        <v>0</v>
      </c>
      <c r="AO87" s="583">
        <f t="shared" si="98"/>
        <v>5739584</v>
      </c>
      <c r="AP87" s="581">
        <f t="shared" si="98"/>
        <v>4191890</v>
      </c>
      <c r="AQ87" s="581">
        <f t="shared" si="98"/>
        <v>0</v>
      </c>
      <c r="AR87" s="581">
        <f t="shared" si="98"/>
        <v>0</v>
      </c>
      <c r="AS87" s="581">
        <f t="shared" si="98"/>
        <v>1416860</v>
      </c>
      <c r="AT87" s="581">
        <f t="shared" si="98"/>
        <v>83838</v>
      </c>
      <c r="AU87" s="581">
        <f t="shared" si="98"/>
        <v>46996</v>
      </c>
      <c r="AV87" s="582">
        <f t="shared" si="98"/>
        <v>10.324199999999999</v>
      </c>
      <c r="AW87" s="582">
        <f t="shared" si="98"/>
        <v>6.5</v>
      </c>
      <c r="AX87" s="584">
        <f t="shared" si="98"/>
        <v>3.8242000000000003</v>
      </c>
    </row>
    <row r="88" spans="1:50" ht="14.1" customHeight="1" x14ac:dyDescent="0.2">
      <c r="A88" s="585">
        <v>22</v>
      </c>
      <c r="B88" s="586">
        <v>2409</v>
      </c>
      <c r="C88" s="587">
        <v>600079635</v>
      </c>
      <c r="D88" s="586">
        <v>72742747</v>
      </c>
      <c r="E88" s="588" t="s">
        <v>615</v>
      </c>
      <c r="F88" s="585">
        <v>3111</v>
      </c>
      <c r="G88" s="588" t="s">
        <v>317</v>
      </c>
      <c r="H88" s="589" t="s">
        <v>283</v>
      </c>
      <c r="I88" s="495">
        <v>7392065</v>
      </c>
      <c r="J88" s="411">
        <v>5392831</v>
      </c>
      <c r="K88" s="520">
        <v>0</v>
      </c>
      <c r="L88" s="520">
        <v>0</v>
      </c>
      <c r="M88" s="475">
        <v>1822777</v>
      </c>
      <c r="N88" s="496">
        <v>107857</v>
      </c>
      <c r="O88" s="411">
        <v>68600</v>
      </c>
      <c r="P88" s="412">
        <v>12.2037</v>
      </c>
      <c r="Q88" s="415">
        <v>8.9354999999999993</v>
      </c>
      <c r="R88" s="685">
        <v>3.2681999999999998</v>
      </c>
      <c r="S88" s="499">
        <v>0</v>
      </c>
      <c r="T88" s="486">
        <v>0</v>
      </c>
      <c r="U88" s="486">
        <v>0</v>
      </c>
      <c r="V88" s="486">
        <f>SUM(S88:U88)</f>
        <v>0</v>
      </c>
      <c r="W88" s="486">
        <v>0</v>
      </c>
      <c r="X88" s="486">
        <v>0</v>
      </c>
      <c r="Y88" s="486">
        <f>SUM(W88:X88)</f>
        <v>0</v>
      </c>
      <c r="Z88" s="486">
        <f>V88+Y88</f>
        <v>0</v>
      </c>
      <c r="AA88" s="178">
        <f t="shared" si="84"/>
        <v>0</v>
      </c>
      <c r="AB88" s="745">
        <f>ROUND(V88*2%,0)</f>
        <v>0</v>
      </c>
      <c r="AC88" s="486">
        <v>0</v>
      </c>
      <c r="AD88" s="486">
        <v>0</v>
      </c>
      <c r="AE88" s="486">
        <f t="shared" si="85"/>
        <v>0</v>
      </c>
      <c r="AF88" s="486">
        <f t="shared" si="86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ref="AL88:AL89" si="99">AG88+AI88+AJ88</f>
        <v>0</v>
      </c>
      <c r="AM88" s="501">
        <f t="shared" ref="AM88:AM89" si="100">AH88+AK88</f>
        <v>0</v>
      </c>
      <c r="AN88" s="502">
        <f t="shared" si="89"/>
        <v>0</v>
      </c>
      <c r="AO88" s="499">
        <f>I88+AF88</f>
        <v>7392065</v>
      </c>
      <c r="AP88" s="486">
        <f>J88+V88</f>
        <v>5392831</v>
      </c>
      <c r="AQ88" s="486">
        <f>K88+Y88</f>
        <v>0</v>
      </c>
      <c r="AR88" s="486">
        <f>L88</f>
        <v>0</v>
      </c>
      <c r="AS88" s="486">
        <f>M88+AA88</f>
        <v>1822777</v>
      </c>
      <c r="AT88" s="486">
        <f>N88+AB88</f>
        <v>107857</v>
      </c>
      <c r="AU88" s="486">
        <f>O88+AE88</f>
        <v>68600</v>
      </c>
      <c r="AV88" s="501">
        <f>P88+AN88</f>
        <v>12.2037</v>
      </c>
      <c r="AW88" s="501">
        <f>Q88+AL88</f>
        <v>8.9354999999999993</v>
      </c>
      <c r="AX88" s="502">
        <f>R88+AM88</f>
        <v>3.2681999999999998</v>
      </c>
    </row>
    <row r="89" spans="1:50" ht="14.1" customHeight="1" x14ac:dyDescent="0.2">
      <c r="A89" s="585">
        <v>22</v>
      </c>
      <c r="B89" s="586">
        <v>2409</v>
      </c>
      <c r="C89" s="587">
        <v>600079635</v>
      </c>
      <c r="D89" s="586">
        <v>72742747</v>
      </c>
      <c r="E89" s="588" t="s">
        <v>615</v>
      </c>
      <c r="F89" s="585">
        <v>3141</v>
      </c>
      <c r="G89" s="588" t="s">
        <v>321</v>
      </c>
      <c r="H89" s="589" t="s">
        <v>284</v>
      </c>
      <c r="I89" s="495">
        <v>1267762</v>
      </c>
      <c r="J89" s="496">
        <v>909575</v>
      </c>
      <c r="K89" s="475">
        <v>20000</v>
      </c>
      <c r="L89" s="475">
        <v>0</v>
      </c>
      <c r="M89" s="475">
        <v>314196</v>
      </c>
      <c r="N89" s="496">
        <v>18191</v>
      </c>
      <c r="O89" s="496">
        <v>5800</v>
      </c>
      <c r="P89" s="412">
        <v>3.16</v>
      </c>
      <c r="Q89" s="497">
        <v>0</v>
      </c>
      <c r="R89" s="498">
        <v>3.16</v>
      </c>
      <c r="S89" s="499">
        <v>0</v>
      </c>
      <c r="T89" s="486">
        <v>0</v>
      </c>
      <c r="U89" s="486">
        <v>0</v>
      </c>
      <c r="V89" s="486">
        <f>SUM(S89:U89)</f>
        <v>0</v>
      </c>
      <c r="W89" s="486">
        <v>0</v>
      </c>
      <c r="X89" s="486">
        <v>0</v>
      </c>
      <c r="Y89" s="486">
        <f>SUM(W89:X89)</f>
        <v>0</v>
      </c>
      <c r="Z89" s="486">
        <f>V89+Y89</f>
        <v>0</v>
      </c>
      <c r="AA89" s="178">
        <f t="shared" si="84"/>
        <v>0</v>
      </c>
      <c r="AB89" s="745">
        <f>ROUND(V89*2%,0)</f>
        <v>0</v>
      </c>
      <c r="AC89" s="486">
        <v>0</v>
      </c>
      <c r="AD89" s="486">
        <v>0</v>
      </c>
      <c r="AE89" s="486">
        <f t="shared" si="85"/>
        <v>0</v>
      </c>
      <c r="AF89" s="486">
        <f t="shared" si="86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si="99"/>
        <v>0</v>
      </c>
      <c r="AM89" s="501">
        <f t="shared" si="100"/>
        <v>0</v>
      </c>
      <c r="AN89" s="502">
        <f t="shared" si="89"/>
        <v>0</v>
      </c>
      <c r="AO89" s="499">
        <f>I89+AF89</f>
        <v>1267762</v>
      </c>
      <c r="AP89" s="486">
        <f>J89+V89</f>
        <v>909575</v>
      </c>
      <c r="AQ89" s="486">
        <f>K89+Y89</f>
        <v>20000</v>
      </c>
      <c r="AR89" s="486">
        <f>L89</f>
        <v>0</v>
      </c>
      <c r="AS89" s="486">
        <f>M89+AA89</f>
        <v>314196</v>
      </c>
      <c r="AT89" s="486">
        <f>N89+AB89</f>
        <v>18191</v>
      </c>
      <c r="AU89" s="486">
        <f>O89+AE89</f>
        <v>5800</v>
      </c>
      <c r="AV89" s="501">
        <f>P89+AN89</f>
        <v>3.16</v>
      </c>
      <c r="AW89" s="501">
        <f>Q89+AL89</f>
        <v>0</v>
      </c>
      <c r="AX89" s="502">
        <f>R89+AM89</f>
        <v>3.16</v>
      </c>
    </row>
    <row r="90" spans="1:50" ht="14.1" customHeight="1" x14ac:dyDescent="0.2">
      <c r="A90" s="181">
        <v>22</v>
      </c>
      <c r="B90" s="179">
        <v>2409</v>
      </c>
      <c r="C90" s="180">
        <v>600079635</v>
      </c>
      <c r="D90" s="179">
        <v>72742747</v>
      </c>
      <c r="E90" s="578" t="s">
        <v>616</v>
      </c>
      <c r="F90" s="181"/>
      <c r="G90" s="578"/>
      <c r="H90" s="579"/>
      <c r="I90" s="580">
        <v>8659827</v>
      </c>
      <c r="J90" s="581">
        <v>6302406</v>
      </c>
      <c r="K90" s="581">
        <v>20000</v>
      </c>
      <c r="L90" s="581">
        <v>0</v>
      </c>
      <c r="M90" s="581">
        <v>2136973</v>
      </c>
      <c r="N90" s="581">
        <v>126048</v>
      </c>
      <c r="O90" s="581">
        <v>74400</v>
      </c>
      <c r="P90" s="582">
        <v>15.3637</v>
      </c>
      <c r="Q90" s="582">
        <v>8.9354999999999993</v>
      </c>
      <c r="R90" s="584">
        <v>6.4282000000000004</v>
      </c>
      <c r="S90" s="583">
        <f t="shared" ref="S90:AX90" si="101">SUM(S88:S89)</f>
        <v>0</v>
      </c>
      <c r="T90" s="581">
        <f t="shared" si="101"/>
        <v>0</v>
      </c>
      <c r="U90" s="581">
        <f t="shared" si="101"/>
        <v>0</v>
      </c>
      <c r="V90" s="581">
        <f t="shared" si="101"/>
        <v>0</v>
      </c>
      <c r="W90" s="581">
        <f t="shared" si="101"/>
        <v>0</v>
      </c>
      <c r="X90" s="581">
        <f t="shared" si="101"/>
        <v>0</v>
      </c>
      <c r="Y90" s="581">
        <f t="shared" si="101"/>
        <v>0</v>
      </c>
      <c r="Z90" s="581">
        <f t="shared" si="101"/>
        <v>0</v>
      </c>
      <c r="AA90" s="581">
        <f t="shared" si="101"/>
        <v>0</v>
      </c>
      <c r="AB90" s="583">
        <f t="shared" si="101"/>
        <v>0</v>
      </c>
      <c r="AC90" s="581">
        <f t="shared" si="101"/>
        <v>0</v>
      </c>
      <c r="AD90" s="581">
        <f t="shared" si="101"/>
        <v>0</v>
      </c>
      <c r="AE90" s="581">
        <f t="shared" si="101"/>
        <v>0</v>
      </c>
      <c r="AF90" s="581">
        <f t="shared" si="101"/>
        <v>0</v>
      </c>
      <c r="AG90" s="582">
        <f t="shared" si="101"/>
        <v>0</v>
      </c>
      <c r="AH90" s="582">
        <f t="shared" si="101"/>
        <v>0</v>
      </c>
      <c r="AI90" s="582">
        <f t="shared" si="101"/>
        <v>0</v>
      </c>
      <c r="AJ90" s="582">
        <f t="shared" si="101"/>
        <v>0</v>
      </c>
      <c r="AK90" s="582">
        <f t="shared" si="101"/>
        <v>0</v>
      </c>
      <c r="AL90" s="582">
        <f t="shared" si="101"/>
        <v>0</v>
      </c>
      <c r="AM90" s="582">
        <f t="shared" si="101"/>
        <v>0</v>
      </c>
      <c r="AN90" s="584">
        <f t="shared" si="101"/>
        <v>0</v>
      </c>
      <c r="AO90" s="583">
        <f t="shared" si="101"/>
        <v>8659827</v>
      </c>
      <c r="AP90" s="581">
        <f t="shared" si="101"/>
        <v>6302406</v>
      </c>
      <c r="AQ90" s="581">
        <f t="shared" si="101"/>
        <v>20000</v>
      </c>
      <c r="AR90" s="581">
        <f t="shared" si="101"/>
        <v>0</v>
      </c>
      <c r="AS90" s="581">
        <f t="shared" si="101"/>
        <v>2136973</v>
      </c>
      <c r="AT90" s="581">
        <f t="shared" si="101"/>
        <v>126048</v>
      </c>
      <c r="AU90" s="581">
        <f t="shared" si="101"/>
        <v>74400</v>
      </c>
      <c r="AV90" s="582">
        <f t="shared" si="101"/>
        <v>15.3637</v>
      </c>
      <c r="AW90" s="582">
        <f t="shared" si="101"/>
        <v>8.9354999999999993</v>
      </c>
      <c r="AX90" s="584">
        <f t="shared" si="101"/>
        <v>6.4282000000000004</v>
      </c>
    </row>
    <row r="91" spans="1:50" ht="14.1" customHeight="1" x14ac:dyDescent="0.2">
      <c r="A91" s="585">
        <v>23</v>
      </c>
      <c r="B91" s="586">
        <v>2429</v>
      </c>
      <c r="C91" s="587">
        <v>600079244</v>
      </c>
      <c r="D91" s="586">
        <v>72741708</v>
      </c>
      <c r="E91" s="588" t="s">
        <v>617</v>
      </c>
      <c r="F91" s="585">
        <v>3111</v>
      </c>
      <c r="G91" s="588" t="s">
        <v>317</v>
      </c>
      <c r="H91" s="589" t="s">
        <v>283</v>
      </c>
      <c r="I91" s="495">
        <v>6760403</v>
      </c>
      <c r="J91" s="411">
        <v>4929752</v>
      </c>
      <c r="K91" s="520">
        <v>0</v>
      </c>
      <c r="L91" s="520">
        <v>0</v>
      </c>
      <c r="M91" s="475">
        <v>1666256</v>
      </c>
      <c r="N91" s="496">
        <v>98595</v>
      </c>
      <c r="O91" s="411">
        <v>65800</v>
      </c>
      <c r="P91" s="412">
        <v>11.319799999999999</v>
      </c>
      <c r="Q91" s="415">
        <v>8.4515999999999991</v>
      </c>
      <c r="R91" s="685">
        <v>2.8681999999999999</v>
      </c>
      <c r="S91" s="499"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178">
        <f t="shared" si="84"/>
        <v>0</v>
      </c>
      <c r="AB91" s="745">
        <f>ROUND(V91*2%,0)</f>
        <v>0</v>
      </c>
      <c r="AC91" s="486">
        <v>0</v>
      </c>
      <c r="AD91" s="486">
        <v>0</v>
      </c>
      <c r="AE91" s="486">
        <f t="shared" si="85"/>
        <v>0</v>
      </c>
      <c r="AF91" s="486">
        <f t="shared" si="86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ref="AL91:AL93" si="102">AG91+AI91+AJ91</f>
        <v>0</v>
      </c>
      <c r="AM91" s="501">
        <f t="shared" ref="AM91:AM93" si="103">AH91+AK91</f>
        <v>0</v>
      </c>
      <c r="AN91" s="502">
        <f t="shared" si="89"/>
        <v>0</v>
      </c>
      <c r="AO91" s="499">
        <f>I91+AF91</f>
        <v>6760403</v>
      </c>
      <c r="AP91" s="486">
        <f>J91+V91</f>
        <v>4929752</v>
      </c>
      <c r="AQ91" s="486">
        <f>K91+Y91</f>
        <v>0</v>
      </c>
      <c r="AR91" s="486">
        <f>L91</f>
        <v>0</v>
      </c>
      <c r="AS91" s="486">
        <f t="shared" ref="AS91:AT93" si="104">M91+AA91</f>
        <v>1666256</v>
      </c>
      <c r="AT91" s="486">
        <f t="shared" si="104"/>
        <v>98595</v>
      </c>
      <c r="AU91" s="486">
        <f>O91+AE91</f>
        <v>65800</v>
      </c>
      <c r="AV91" s="501">
        <f>P91+AN91</f>
        <v>11.319799999999999</v>
      </c>
      <c r="AW91" s="501">
        <f t="shared" ref="AW91:AX93" si="105">Q91+AL91</f>
        <v>8.4515999999999991</v>
      </c>
      <c r="AX91" s="502">
        <f t="shared" si="105"/>
        <v>2.8681999999999999</v>
      </c>
    </row>
    <row r="92" spans="1:50" ht="14.1" customHeight="1" x14ac:dyDescent="0.2">
      <c r="A92" s="585">
        <v>23</v>
      </c>
      <c r="B92" s="586">
        <v>2429</v>
      </c>
      <c r="C92" s="587">
        <v>600079244</v>
      </c>
      <c r="D92" s="586">
        <v>72741708</v>
      </c>
      <c r="E92" s="588" t="s">
        <v>617</v>
      </c>
      <c r="F92" s="585">
        <v>3111</v>
      </c>
      <c r="G92" s="208" t="s">
        <v>318</v>
      </c>
      <c r="H92" s="589" t="s">
        <v>284</v>
      </c>
      <c r="I92" s="495">
        <v>230590</v>
      </c>
      <c r="J92" s="496">
        <v>169801</v>
      </c>
      <c r="K92" s="475">
        <v>0</v>
      </c>
      <c r="L92" s="475">
        <v>0</v>
      </c>
      <c r="M92" s="475">
        <v>57393</v>
      </c>
      <c r="N92" s="496">
        <v>3396</v>
      </c>
      <c r="O92" s="496">
        <v>0</v>
      </c>
      <c r="P92" s="412">
        <v>0.5</v>
      </c>
      <c r="Q92" s="497">
        <v>0.5</v>
      </c>
      <c r="R92" s="498">
        <v>0</v>
      </c>
      <c r="S92" s="499"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178">
        <f t="shared" si="84"/>
        <v>0</v>
      </c>
      <c r="AB92" s="745">
        <f>ROUND(V92*2%,0)</f>
        <v>0</v>
      </c>
      <c r="AC92" s="486">
        <v>0</v>
      </c>
      <c r="AD92" s="486">
        <v>0</v>
      </c>
      <c r="AE92" s="486">
        <f t="shared" si="85"/>
        <v>0</v>
      </c>
      <c r="AF92" s="486">
        <f t="shared" si="86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02"/>
        <v>0</v>
      </c>
      <c r="AM92" s="501">
        <f t="shared" si="103"/>
        <v>0</v>
      </c>
      <c r="AN92" s="502">
        <f t="shared" si="89"/>
        <v>0</v>
      </c>
      <c r="AO92" s="499">
        <f>I92+AF92</f>
        <v>230590</v>
      </c>
      <c r="AP92" s="486">
        <f>J92+V92</f>
        <v>169801</v>
      </c>
      <c r="AQ92" s="486">
        <f>K92+Y92</f>
        <v>0</v>
      </c>
      <c r="AR92" s="486">
        <f>L92</f>
        <v>0</v>
      </c>
      <c r="AS92" s="486">
        <f t="shared" si="104"/>
        <v>57393</v>
      </c>
      <c r="AT92" s="486">
        <f t="shared" si="104"/>
        <v>3396</v>
      </c>
      <c r="AU92" s="486">
        <f>O92+AE92</f>
        <v>0</v>
      </c>
      <c r="AV92" s="501">
        <f>P92+AN92</f>
        <v>0.5</v>
      </c>
      <c r="AW92" s="501">
        <f t="shared" si="105"/>
        <v>0.5</v>
      </c>
      <c r="AX92" s="502">
        <f t="shared" si="105"/>
        <v>0</v>
      </c>
    </row>
    <row r="93" spans="1:50" ht="14.1" customHeight="1" x14ac:dyDescent="0.2">
      <c r="A93" s="585">
        <v>23</v>
      </c>
      <c r="B93" s="586">
        <v>2429</v>
      </c>
      <c r="C93" s="587">
        <v>600079244</v>
      </c>
      <c r="D93" s="586">
        <v>72741708</v>
      </c>
      <c r="E93" s="588" t="s">
        <v>617</v>
      </c>
      <c r="F93" s="585">
        <v>3141</v>
      </c>
      <c r="G93" s="588" t="s">
        <v>321</v>
      </c>
      <c r="H93" s="589" t="s">
        <v>284</v>
      </c>
      <c r="I93" s="495">
        <v>987272</v>
      </c>
      <c r="J93" s="496">
        <v>722947</v>
      </c>
      <c r="K93" s="475">
        <v>0</v>
      </c>
      <c r="L93" s="475">
        <v>0</v>
      </c>
      <c r="M93" s="475">
        <v>244356</v>
      </c>
      <c r="N93" s="496">
        <v>14459</v>
      </c>
      <c r="O93" s="496">
        <v>5510</v>
      </c>
      <c r="P93" s="412">
        <v>2.46</v>
      </c>
      <c r="Q93" s="497">
        <v>0</v>
      </c>
      <c r="R93" s="498">
        <v>2.46</v>
      </c>
      <c r="S93" s="499">
        <v>0</v>
      </c>
      <c r="T93" s="486">
        <v>0</v>
      </c>
      <c r="U93" s="486">
        <v>0</v>
      </c>
      <c r="V93" s="486">
        <f>SUM(S93:U93)</f>
        <v>0</v>
      </c>
      <c r="W93" s="486">
        <v>0</v>
      </c>
      <c r="X93" s="486">
        <v>0</v>
      </c>
      <c r="Y93" s="486">
        <f>SUM(W93:X93)</f>
        <v>0</v>
      </c>
      <c r="Z93" s="486">
        <f>V93+Y93</f>
        <v>0</v>
      </c>
      <c r="AA93" s="178">
        <f t="shared" si="84"/>
        <v>0</v>
      </c>
      <c r="AB93" s="745">
        <f>ROUND(V93*2%,0)</f>
        <v>0</v>
      </c>
      <c r="AC93" s="486">
        <v>0</v>
      </c>
      <c r="AD93" s="486">
        <v>0</v>
      </c>
      <c r="AE93" s="486">
        <f t="shared" si="85"/>
        <v>0</v>
      </c>
      <c r="AF93" s="486">
        <f t="shared" si="86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02"/>
        <v>0</v>
      </c>
      <c r="AM93" s="501">
        <f t="shared" si="103"/>
        <v>0</v>
      </c>
      <c r="AN93" s="502">
        <f t="shared" si="89"/>
        <v>0</v>
      </c>
      <c r="AO93" s="499">
        <f>I93+AF93</f>
        <v>987272</v>
      </c>
      <c r="AP93" s="486">
        <f>J93+V93</f>
        <v>722947</v>
      </c>
      <c r="AQ93" s="486">
        <f>K93+Y93</f>
        <v>0</v>
      </c>
      <c r="AR93" s="486">
        <f>L93</f>
        <v>0</v>
      </c>
      <c r="AS93" s="486">
        <f t="shared" si="104"/>
        <v>244356</v>
      </c>
      <c r="AT93" s="486">
        <f t="shared" si="104"/>
        <v>14459</v>
      </c>
      <c r="AU93" s="486">
        <f>O93+AE93</f>
        <v>5510</v>
      </c>
      <c r="AV93" s="501">
        <f>P93+AN93</f>
        <v>2.46</v>
      </c>
      <c r="AW93" s="501">
        <f t="shared" si="105"/>
        <v>0</v>
      </c>
      <c r="AX93" s="502">
        <f t="shared" si="105"/>
        <v>2.46</v>
      </c>
    </row>
    <row r="94" spans="1:50" ht="14.1" customHeight="1" x14ac:dyDescent="0.2">
      <c r="A94" s="181">
        <v>23</v>
      </c>
      <c r="B94" s="179">
        <v>2429</v>
      </c>
      <c r="C94" s="180">
        <v>600079244</v>
      </c>
      <c r="D94" s="179">
        <v>72741708</v>
      </c>
      <c r="E94" s="578" t="s">
        <v>618</v>
      </c>
      <c r="F94" s="181"/>
      <c r="G94" s="578"/>
      <c r="H94" s="579"/>
      <c r="I94" s="580">
        <v>7978265</v>
      </c>
      <c r="J94" s="581">
        <v>5822500</v>
      </c>
      <c r="K94" s="581">
        <v>0</v>
      </c>
      <c r="L94" s="581">
        <v>0</v>
      </c>
      <c r="M94" s="581">
        <v>1968005</v>
      </c>
      <c r="N94" s="581">
        <v>116450</v>
      </c>
      <c r="O94" s="581">
        <v>71310</v>
      </c>
      <c r="P94" s="582">
        <v>14.279799999999998</v>
      </c>
      <c r="Q94" s="582">
        <v>8.9515999999999991</v>
      </c>
      <c r="R94" s="584">
        <v>5.3281999999999998</v>
      </c>
      <c r="S94" s="583">
        <f t="shared" ref="S94:AX94" si="106">SUM(S91:S93)</f>
        <v>0</v>
      </c>
      <c r="T94" s="581">
        <f t="shared" si="106"/>
        <v>0</v>
      </c>
      <c r="U94" s="581">
        <f t="shared" si="106"/>
        <v>0</v>
      </c>
      <c r="V94" s="581">
        <f t="shared" si="106"/>
        <v>0</v>
      </c>
      <c r="W94" s="581">
        <f t="shared" si="106"/>
        <v>0</v>
      </c>
      <c r="X94" s="581">
        <f t="shared" si="106"/>
        <v>0</v>
      </c>
      <c r="Y94" s="581">
        <f t="shared" si="106"/>
        <v>0</v>
      </c>
      <c r="Z94" s="581">
        <f t="shared" si="106"/>
        <v>0</v>
      </c>
      <c r="AA94" s="581">
        <f t="shared" si="106"/>
        <v>0</v>
      </c>
      <c r="AB94" s="583">
        <f t="shared" si="106"/>
        <v>0</v>
      </c>
      <c r="AC94" s="581">
        <f t="shared" si="106"/>
        <v>0</v>
      </c>
      <c r="AD94" s="581">
        <f t="shared" si="106"/>
        <v>0</v>
      </c>
      <c r="AE94" s="581">
        <f t="shared" si="106"/>
        <v>0</v>
      </c>
      <c r="AF94" s="581">
        <f t="shared" si="106"/>
        <v>0</v>
      </c>
      <c r="AG94" s="582">
        <f t="shared" si="106"/>
        <v>0</v>
      </c>
      <c r="AH94" s="582">
        <f t="shared" si="106"/>
        <v>0</v>
      </c>
      <c r="AI94" s="582">
        <f t="shared" si="106"/>
        <v>0</v>
      </c>
      <c r="AJ94" s="582">
        <f t="shared" si="106"/>
        <v>0</v>
      </c>
      <c r="AK94" s="582">
        <f t="shared" si="106"/>
        <v>0</v>
      </c>
      <c r="AL94" s="582">
        <f t="shared" si="106"/>
        <v>0</v>
      </c>
      <c r="AM94" s="582">
        <f t="shared" si="106"/>
        <v>0</v>
      </c>
      <c r="AN94" s="584">
        <f t="shared" si="106"/>
        <v>0</v>
      </c>
      <c r="AO94" s="583">
        <f t="shared" si="106"/>
        <v>7978265</v>
      </c>
      <c r="AP94" s="581">
        <f t="shared" si="106"/>
        <v>5822500</v>
      </c>
      <c r="AQ94" s="581">
        <f t="shared" si="106"/>
        <v>0</v>
      </c>
      <c r="AR94" s="581">
        <f t="shared" si="106"/>
        <v>0</v>
      </c>
      <c r="AS94" s="581">
        <f t="shared" si="106"/>
        <v>1968005</v>
      </c>
      <c r="AT94" s="581">
        <f t="shared" si="106"/>
        <v>116450</v>
      </c>
      <c r="AU94" s="581">
        <f t="shared" si="106"/>
        <v>71310</v>
      </c>
      <c r="AV94" s="582">
        <f t="shared" si="106"/>
        <v>14.279799999999998</v>
      </c>
      <c r="AW94" s="582">
        <f t="shared" si="106"/>
        <v>8.9515999999999991</v>
      </c>
      <c r="AX94" s="584">
        <f t="shared" si="106"/>
        <v>5.3281999999999998</v>
      </c>
    </row>
    <row r="95" spans="1:50" ht="14.1" customHeight="1" x14ac:dyDescent="0.2">
      <c r="A95" s="585">
        <v>24</v>
      </c>
      <c r="B95" s="586">
        <v>2412</v>
      </c>
      <c r="C95" s="587">
        <v>600079252</v>
      </c>
      <c r="D95" s="586">
        <v>72742429</v>
      </c>
      <c r="E95" s="588" t="s">
        <v>619</v>
      </c>
      <c r="F95" s="585">
        <v>3111</v>
      </c>
      <c r="G95" s="588" t="s">
        <v>317</v>
      </c>
      <c r="H95" s="589" t="s">
        <v>283</v>
      </c>
      <c r="I95" s="495">
        <v>9807599</v>
      </c>
      <c r="J95" s="411">
        <v>7012181</v>
      </c>
      <c r="K95" s="520">
        <v>102285</v>
      </c>
      <c r="L95" s="520">
        <v>0</v>
      </c>
      <c r="M95" s="475">
        <v>2404689</v>
      </c>
      <c r="N95" s="496">
        <v>140243</v>
      </c>
      <c r="O95" s="411">
        <v>148201</v>
      </c>
      <c r="P95" s="412">
        <v>17.366399999999999</v>
      </c>
      <c r="Q95" s="415">
        <v>12.7319</v>
      </c>
      <c r="R95" s="685">
        <v>4.6345000000000001</v>
      </c>
      <c r="S95" s="499">
        <v>0</v>
      </c>
      <c r="T95" s="486">
        <v>0</v>
      </c>
      <c r="U95" s="486">
        <v>0</v>
      </c>
      <c r="V95" s="486">
        <f>SUM(S95:U95)</f>
        <v>0</v>
      </c>
      <c r="W95" s="486">
        <v>0</v>
      </c>
      <c r="X95" s="486">
        <v>0</v>
      </c>
      <c r="Y95" s="486">
        <f>SUM(W95:X95)</f>
        <v>0</v>
      </c>
      <c r="Z95" s="486">
        <f>V95+Y95</f>
        <v>0</v>
      </c>
      <c r="AA95" s="178">
        <f t="shared" si="84"/>
        <v>0</v>
      </c>
      <c r="AB95" s="745">
        <f>ROUND(V95*2%,0)</f>
        <v>0</v>
      </c>
      <c r="AC95" s="486">
        <v>0</v>
      </c>
      <c r="AD95" s="486">
        <v>0</v>
      </c>
      <c r="AE95" s="486">
        <f t="shared" si="85"/>
        <v>0</v>
      </c>
      <c r="AF95" s="486">
        <f t="shared" si="86"/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ref="AL95:AL97" si="107">AG95+AI95+AJ95</f>
        <v>0</v>
      </c>
      <c r="AM95" s="501">
        <f t="shared" ref="AM95:AM97" si="108">AH95+AK95</f>
        <v>0</v>
      </c>
      <c r="AN95" s="502">
        <f t="shared" si="89"/>
        <v>0</v>
      </c>
      <c r="AO95" s="499">
        <f>I95+AF95</f>
        <v>9807599</v>
      </c>
      <c r="AP95" s="486">
        <f>J95+V95</f>
        <v>7012181</v>
      </c>
      <c r="AQ95" s="486">
        <f>K95+Y95</f>
        <v>102285</v>
      </c>
      <c r="AR95" s="486">
        <f>L95</f>
        <v>0</v>
      </c>
      <c r="AS95" s="486">
        <f t="shared" ref="AS95:AT97" si="109">M95+AA95</f>
        <v>2404689</v>
      </c>
      <c r="AT95" s="486">
        <f t="shared" si="109"/>
        <v>140243</v>
      </c>
      <c r="AU95" s="486">
        <f>O95+AE95</f>
        <v>148201</v>
      </c>
      <c r="AV95" s="501">
        <f>P95+AN95</f>
        <v>17.366399999999999</v>
      </c>
      <c r="AW95" s="501">
        <f t="shared" ref="AW95:AX97" si="110">Q95+AL95</f>
        <v>12.7319</v>
      </c>
      <c r="AX95" s="502">
        <f t="shared" si="110"/>
        <v>4.6345000000000001</v>
      </c>
    </row>
    <row r="96" spans="1:50" ht="14.1" customHeight="1" x14ac:dyDescent="0.2">
      <c r="A96" s="585">
        <v>24</v>
      </c>
      <c r="B96" s="586">
        <v>2412</v>
      </c>
      <c r="C96" s="587">
        <v>600079252</v>
      </c>
      <c r="D96" s="586">
        <v>72742429</v>
      </c>
      <c r="E96" s="588" t="s">
        <v>619</v>
      </c>
      <c r="F96" s="585">
        <v>3111</v>
      </c>
      <c r="G96" s="208" t="s">
        <v>318</v>
      </c>
      <c r="H96" s="589" t="s">
        <v>284</v>
      </c>
      <c r="I96" s="495">
        <v>769243</v>
      </c>
      <c r="J96" s="496">
        <v>562219</v>
      </c>
      <c r="K96" s="475">
        <v>0</v>
      </c>
      <c r="L96" s="475">
        <v>0</v>
      </c>
      <c r="M96" s="475">
        <v>190030</v>
      </c>
      <c r="N96" s="496">
        <v>11244</v>
      </c>
      <c r="O96" s="496">
        <v>5750</v>
      </c>
      <c r="P96" s="412">
        <v>1.9100000000000001</v>
      </c>
      <c r="Q96" s="497">
        <v>1.9100000000000001</v>
      </c>
      <c r="R96" s="498">
        <v>0</v>
      </c>
      <c r="S96" s="499"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178">
        <f t="shared" si="84"/>
        <v>0</v>
      </c>
      <c r="AB96" s="745">
        <f>ROUND(V96*2%,0)</f>
        <v>0</v>
      </c>
      <c r="AC96" s="486">
        <v>0</v>
      </c>
      <c r="AD96" s="486">
        <v>0</v>
      </c>
      <c r="AE96" s="486">
        <f t="shared" si="85"/>
        <v>0</v>
      </c>
      <c r="AF96" s="486">
        <f t="shared" si="86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107"/>
        <v>0</v>
      </c>
      <c r="AM96" s="501">
        <f t="shared" si="108"/>
        <v>0</v>
      </c>
      <c r="AN96" s="502">
        <f t="shared" si="89"/>
        <v>0</v>
      </c>
      <c r="AO96" s="499">
        <f>I96+AF96</f>
        <v>769243</v>
      </c>
      <c r="AP96" s="486">
        <f>J96+V96</f>
        <v>562219</v>
      </c>
      <c r="AQ96" s="486">
        <f>K96+Y96</f>
        <v>0</v>
      </c>
      <c r="AR96" s="486">
        <f>L96</f>
        <v>0</v>
      </c>
      <c r="AS96" s="486">
        <f t="shared" si="109"/>
        <v>190030</v>
      </c>
      <c r="AT96" s="486">
        <f t="shared" si="109"/>
        <v>11244</v>
      </c>
      <c r="AU96" s="486">
        <f>O96+AE96</f>
        <v>5750</v>
      </c>
      <c r="AV96" s="501">
        <f>P96+AN96</f>
        <v>1.9100000000000001</v>
      </c>
      <c r="AW96" s="501">
        <f t="shared" si="110"/>
        <v>1.9100000000000001</v>
      </c>
      <c r="AX96" s="502">
        <f t="shared" si="110"/>
        <v>0</v>
      </c>
    </row>
    <row r="97" spans="1:50" ht="14.1" customHeight="1" x14ac:dyDescent="0.2">
      <c r="A97" s="585">
        <v>24</v>
      </c>
      <c r="B97" s="586">
        <v>2412</v>
      </c>
      <c r="C97" s="587">
        <v>600079252</v>
      </c>
      <c r="D97" s="586">
        <v>72742429</v>
      </c>
      <c r="E97" s="588" t="s">
        <v>619</v>
      </c>
      <c r="F97" s="585">
        <v>3141</v>
      </c>
      <c r="G97" s="588" t="s">
        <v>321</v>
      </c>
      <c r="H97" s="589" t="s">
        <v>284</v>
      </c>
      <c r="I97" s="495">
        <v>1471427</v>
      </c>
      <c r="J97" s="496">
        <v>1078101</v>
      </c>
      <c r="K97" s="475">
        <v>0</v>
      </c>
      <c r="L97" s="475">
        <v>0</v>
      </c>
      <c r="M97" s="475">
        <v>364398</v>
      </c>
      <c r="N97" s="496">
        <v>21562</v>
      </c>
      <c r="O97" s="496">
        <v>7366</v>
      </c>
      <c r="P97" s="412">
        <v>3.6599999999999997</v>
      </c>
      <c r="Q97" s="497">
        <v>0</v>
      </c>
      <c r="R97" s="498">
        <v>3.6599999999999997</v>
      </c>
      <c r="S97" s="499">
        <v>0</v>
      </c>
      <c r="T97" s="486">
        <v>0</v>
      </c>
      <c r="U97" s="486">
        <v>0</v>
      </c>
      <c r="V97" s="486">
        <f>SUM(S97:U97)</f>
        <v>0</v>
      </c>
      <c r="W97" s="486">
        <v>0</v>
      </c>
      <c r="X97" s="486">
        <v>0</v>
      </c>
      <c r="Y97" s="486">
        <f>SUM(W97:X97)</f>
        <v>0</v>
      </c>
      <c r="Z97" s="486">
        <f>V97+Y97</f>
        <v>0</v>
      </c>
      <c r="AA97" s="178">
        <f t="shared" si="84"/>
        <v>0</v>
      </c>
      <c r="AB97" s="745">
        <f>ROUND(V97*2%,0)</f>
        <v>0</v>
      </c>
      <c r="AC97" s="486">
        <v>0</v>
      </c>
      <c r="AD97" s="486">
        <v>0</v>
      </c>
      <c r="AE97" s="486">
        <f t="shared" si="85"/>
        <v>0</v>
      </c>
      <c r="AF97" s="486">
        <f t="shared" si="86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07"/>
        <v>0</v>
      </c>
      <c r="AM97" s="501">
        <f t="shared" si="108"/>
        <v>0</v>
      </c>
      <c r="AN97" s="502">
        <f t="shared" si="89"/>
        <v>0</v>
      </c>
      <c r="AO97" s="499">
        <f>I97+AF97</f>
        <v>1471427</v>
      </c>
      <c r="AP97" s="486">
        <f>J97+V97</f>
        <v>1078101</v>
      </c>
      <c r="AQ97" s="486">
        <f>K97+Y97</f>
        <v>0</v>
      </c>
      <c r="AR97" s="486">
        <f>L97</f>
        <v>0</v>
      </c>
      <c r="AS97" s="486">
        <f t="shared" si="109"/>
        <v>364398</v>
      </c>
      <c r="AT97" s="486">
        <f t="shared" si="109"/>
        <v>21562</v>
      </c>
      <c r="AU97" s="486">
        <f>O97+AE97</f>
        <v>7366</v>
      </c>
      <c r="AV97" s="501">
        <f>P97+AN97</f>
        <v>3.6599999999999997</v>
      </c>
      <c r="AW97" s="501">
        <f t="shared" si="110"/>
        <v>0</v>
      </c>
      <c r="AX97" s="502">
        <f t="shared" si="110"/>
        <v>3.6599999999999997</v>
      </c>
    </row>
    <row r="98" spans="1:50" ht="14.1" customHeight="1" x14ac:dyDescent="0.2">
      <c r="A98" s="181">
        <v>24</v>
      </c>
      <c r="B98" s="179">
        <v>2412</v>
      </c>
      <c r="C98" s="180">
        <v>600079252</v>
      </c>
      <c r="D98" s="179">
        <v>72742429</v>
      </c>
      <c r="E98" s="578" t="s">
        <v>620</v>
      </c>
      <c r="F98" s="181"/>
      <c r="G98" s="578"/>
      <c r="H98" s="579"/>
      <c r="I98" s="580">
        <v>12048269</v>
      </c>
      <c r="J98" s="581">
        <v>8652501</v>
      </c>
      <c r="K98" s="581">
        <v>102285</v>
      </c>
      <c r="L98" s="581">
        <v>0</v>
      </c>
      <c r="M98" s="581">
        <v>2959117</v>
      </c>
      <c r="N98" s="581">
        <v>173049</v>
      </c>
      <c r="O98" s="581">
        <v>161317</v>
      </c>
      <c r="P98" s="582">
        <v>22.936399999999999</v>
      </c>
      <c r="Q98" s="582">
        <v>14.6419</v>
      </c>
      <c r="R98" s="584">
        <v>8.2944999999999993</v>
      </c>
      <c r="S98" s="583">
        <f t="shared" ref="S98:AX98" si="111">SUM(S95:S97)</f>
        <v>0</v>
      </c>
      <c r="T98" s="581">
        <f t="shared" si="111"/>
        <v>0</v>
      </c>
      <c r="U98" s="581">
        <f t="shared" si="111"/>
        <v>0</v>
      </c>
      <c r="V98" s="581">
        <f t="shared" si="111"/>
        <v>0</v>
      </c>
      <c r="W98" s="581">
        <f t="shared" si="111"/>
        <v>0</v>
      </c>
      <c r="X98" s="581">
        <f t="shared" si="111"/>
        <v>0</v>
      </c>
      <c r="Y98" s="581">
        <f t="shared" si="111"/>
        <v>0</v>
      </c>
      <c r="Z98" s="581">
        <f t="shared" si="111"/>
        <v>0</v>
      </c>
      <c r="AA98" s="581">
        <f t="shared" si="111"/>
        <v>0</v>
      </c>
      <c r="AB98" s="583">
        <f t="shared" si="111"/>
        <v>0</v>
      </c>
      <c r="AC98" s="581">
        <f t="shared" si="111"/>
        <v>0</v>
      </c>
      <c r="AD98" s="581">
        <f t="shared" si="111"/>
        <v>0</v>
      </c>
      <c r="AE98" s="581">
        <f t="shared" si="111"/>
        <v>0</v>
      </c>
      <c r="AF98" s="581">
        <f t="shared" si="111"/>
        <v>0</v>
      </c>
      <c r="AG98" s="582">
        <f t="shared" si="111"/>
        <v>0</v>
      </c>
      <c r="AH98" s="582">
        <f t="shared" si="111"/>
        <v>0</v>
      </c>
      <c r="AI98" s="582">
        <f t="shared" si="111"/>
        <v>0</v>
      </c>
      <c r="AJ98" s="582">
        <f t="shared" si="111"/>
        <v>0</v>
      </c>
      <c r="AK98" s="582">
        <f t="shared" si="111"/>
        <v>0</v>
      </c>
      <c r="AL98" s="582">
        <f t="shared" si="111"/>
        <v>0</v>
      </c>
      <c r="AM98" s="582">
        <f t="shared" si="111"/>
        <v>0</v>
      </c>
      <c r="AN98" s="584">
        <f t="shared" si="111"/>
        <v>0</v>
      </c>
      <c r="AO98" s="583">
        <f t="shared" si="111"/>
        <v>12048269</v>
      </c>
      <c r="AP98" s="581">
        <f t="shared" si="111"/>
        <v>8652501</v>
      </c>
      <c r="AQ98" s="581">
        <f t="shared" si="111"/>
        <v>102285</v>
      </c>
      <c r="AR98" s="581">
        <f t="shared" si="111"/>
        <v>0</v>
      </c>
      <c r="AS98" s="581">
        <f t="shared" si="111"/>
        <v>2959117</v>
      </c>
      <c r="AT98" s="581">
        <f t="shared" si="111"/>
        <v>173049</v>
      </c>
      <c r="AU98" s="581">
        <f t="shared" si="111"/>
        <v>161317</v>
      </c>
      <c r="AV98" s="582">
        <f t="shared" si="111"/>
        <v>22.936399999999999</v>
      </c>
      <c r="AW98" s="582">
        <f t="shared" si="111"/>
        <v>14.6419</v>
      </c>
      <c r="AX98" s="584">
        <f t="shared" si="111"/>
        <v>8.2944999999999993</v>
      </c>
    </row>
    <row r="99" spans="1:50" ht="14.1" customHeight="1" x14ac:dyDescent="0.2">
      <c r="A99" s="585">
        <v>25</v>
      </c>
      <c r="B99" s="586">
        <v>2418</v>
      </c>
      <c r="C99" s="587">
        <v>600079261</v>
      </c>
      <c r="D99" s="586">
        <v>72741783</v>
      </c>
      <c r="E99" s="588" t="s">
        <v>621</v>
      </c>
      <c r="F99" s="585">
        <v>3111</v>
      </c>
      <c r="G99" s="588" t="s">
        <v>317</v>
      </c>
      <c r="H99" s="589" t="s">
        <v>283</v>
      </c>
      <c r="I99" s="495">
        <v>3325763</v>
      </c>
      <c r="J99" s="411">
        <v>2407411</v>
      </c>
      <c r="K99" s="520">
        <v>0</v>
      </c>
      <c r="L99" s="520">
        <v>0</v>
      </c>
      <c r="M99" s="475">
        <v>813704</v>
      </c>
      <c r="N99" s="496">
        <v>48148</v>
      </c>
      <c r="O99" s="411">
        <v>56500</v>
      </c>
      <c r="P99" s="412">
        <v>5.4897999999999998</v>
      </c>
      <c r="Q99" s="415">
        <v>4</v>
      </c>
      <c r="R99" s="685">
        <v>1.4898</v>
      </c>
      <c r="S99" s="499">
        <v>0</v>
      </c>
      <c r="T99" s="486">
        <v>0</v>
      </c>
      <c r="U99" s="486">
        <v>0</v>
      </c>
      <c r="V99" s="486">
        <f>SUM(S99:U99)</f>
        <v>0</v>
      </c>
      <c r="W99" s="486">
        <v>0</v>
      </c>
      <c r="X99" s="486">
        <v>0</v>
      </c>
      <c r="Y99" s="486">
        <f>SUM(W99:X99)</f>
        <v>0</v>
      </c>
      <c r="Z99" s="486">
        <f>V99+Y99</f>
        <v>0</v>
      </c>
      <c r="AA99" s="178">
        <f t="shared" si="84"/>
        <v>0</v>
      </c>
      <c r="AB99" s="745">
        <f>ROUND(V99*2%,0)</f>
        <v>0</v>
      </c>
      <c r="AC99" s="486">
        <v>0</v>
      </c>
      <c r="AD99" s="486">
        <v>0</v>
      </c>
      <c r="AE99" s="486">
        <f t="shared" si="85"/>
        <v>0</v>
      </c>
      <c r="AF99" s="486">
        <f t="shared" si="86"/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ref="AL99:AL100" si="112">AG99+AI99+AJ99</f>
        <v>0</v>
      </c>
      <c r="AM99" s="501">
        <f t="shared" ref="AM99:AM100" si="113">AH99+AK99</f>
        <v>0</v>
      </c>
      <c r="AN99" s="502">
        <f t="shared" si="89"/>
        <v>0</v>
      </c>
      <c r="AO99" s="499">
        <f>I99+AF99</f>
        <v>3325763</v>
      </c>
      <c r="AP99" s="486">
        <f>J99+V99</f>
        <v>2407411</v>
      </c>
      <c r="AQ99" s="486">
        <f>K99+Y99</f>
        <v>0</v>
      </c>
      <c r="AR99" s="486">
        <f>L99</f>
        <v>0</v>
      </c>
      <c r="AS99" s="486">
        <f>M99+AA99</f>
        <v>813704</v>
      </c>
      <c r="AT99" s="486">
        <f>N99+AB99</f>
        <v>48148</v>
      </c>
      <c r="AU99" s="486">
        <f>O99+AE99</f>
        <v>56500</v>
      </c>
      <c r="AV99" s="501">
        <f>P99+AN99</f>
        <v>5.4897999999999998</v>
      </c>
      <c r="AW99" s="501">
        <f>Q99+AL99</f>
        <v>4</v>
      </c>
      <c r="AX99" s="502">
        <f>R99+AM99</f>
        <v>1.4898</v>
      </c>
    </row>
    <row r="100" spans="1:50" ht="14.1" customHeight="1" x14ac:dyDescent="0.2">
      <c r="A100" s="585">
        <v>25</v>
      </c>
      <c r="B100" s="586">
        <v>2418</v>
      </c>
      <c r="C100" s="587">
        <v>600079261</v>
      </c>
      <c r="D100" s="586">
        <v>72741783</v>
      </c>
      <c r="E100" s="588" t="s">
        <v>621</v>
      </c>
      <c r="F100" s="585">
        <v>3141</v>
      </c>
      <c r="G100" s="588" t="s">
        <v>321</v>
      </c>
      <c r="H100" s="589" t="s">
        <v>284</v>
      </c>
      <c r="I100" s="495">
        <v>583286</v>
      </c>
      <c r="J100" s="496">
        <v>427597</v>
      </c>
      <c r="K100" s="475">
        <v>0</v>
      </c>
      <c r="L100" s="475">
        <v>0</v>
      </c>
      <c r="M100" s="475">
        <v>144527</v>
      </c>
      <c r="N100" s="496">
        <v>8552</v>
      </c>
      <c r="O100" s="496">
        <v>2610</v>
      </c>
      <c r="P100" s="412">
        <v>1.46</v>
      </c>
      <c r="Q100" s="497">
        <v>0</v>
      </c>
      <c r="R100" s="498">
        <v>1.46</v>
      </c>
      <c r="S100" s="499">
        <v>0</v>
      </c>
      <c r="T100" s="486">
        <v>0</v>
      </c>
      <c r="U100" s="486">
        <v>0</v>
      </c>
      <c r="V100" s="486">
        <f>SUM(S100:U100)</f>
        <v>0</v>
      </c>
      <c r="W100" s="486">
        <v>0</v>
      </c>
      <c r="X100" s="486">
        <v>0</v>
      </c>
      <c r="Y100" s="486">
        <f>SUM(W100:X100)</f>
        <v>0</v>
      </c>
      <c r="Z100" s="486">
        <f>V100+Y100</f>
        <v>0</v>
      </c>
      <c r="AA100" s="178">
        <f t="shared" si="84"/>
        <v>0</v>
      </c>
      <c r="AB100" s="745">
        <f>ROUND(V100*2%,0)</f>
        <v>0</v>
      </c>
      <c r="AC100" s="486">
        <v>0</v>
      </c>
      <c r="AD100" s="486">
        <v>0</v>
      </c>
      <c r="AE100" s="486">
        <f t="shared" si="85"/>
        <v>0</v>
      </c>
      <c r="AF100" s="486">
        <f t="shared" si="86"/>
        <v>0</v>
      </c>
      <c r="AG100" s="501">
        <v>0</v>
      </c>
      <c r="AH100" s="501">
        <v>0</v>
      </c>
      <c r="AI100" s="501">
        <v>0</v>
      </c>
      <c r="AJ100" s="501">
        <v>0</v>
      </c>
      <c r="AK100" s="501">
        <v>0</v>
      </c>
      <c r="AL100" s="501">
        <f t="shared" si="112"/>
        <v>0</v>
      </c>
      <c r="AM100" s="501">
        <f t="shared" si="113"/>
        <v>0</v>
      </c>
      <c r="AN100" s="502">
        <f t="shared" si="89"/>
        <v>0</v>
      </c>
      <c r="AO100" s="499">
        <f>I100+AF100</f>
        <v>583286</v>
      </c>
      <c r="AP100" s="486">
        <f>J100+V100</f>
        <v>427597</v>
      </c>
      <c r="AQ100" s="486">
        <f>K100+Y100</f>
        <v>0</v>
      </c>
      <c r="AR100" s="486">
        <f>L100</f>
        <v>0</v>
      </c>
      <c r="AS100" s="486">
        <f>M100+AA100</f>
        <v>144527</v>
      </c>
      <c r="AT100" s="486">
        <f>N100+AB100</f>
        <v>8552</v>
      </c>
      <c r="AU100" s="486">
        <f>O100+AE100</f>
        <v>2610</v>
      </c>
      <c r="AV100" s="501">
        <f>P100+AN100</f>
        <v>1.46</v>
      </c>
      <c r="AW100" s="501">
        <f>Q100+AL100</f>
        <v>0</v>
      </c>
      <c r="AX100" s="502">
        <f>R100+AM100</f>
        <v>1.46</v>
      </c>
    </row>
    <row r="101" spans="1:50" ht="14.1" customHeight="1" x14ac:dyDescent="0.2">
      <c r="A101" s="181">
        <v>25</v>
      </c>
      <c r="B101" s="179">
        <v>2418</v>
      </c>
      <c r="C101" s="180">
        <v>600079261</v>
      </c>
      <c r="D101" s="179">
        <v>72741783</v>
      </c>
      <c r="E101" s="578" t="s">
        <v>622</v>
      </c>
      <c r="F101" s="181"/>
      <c r="G101" s="578"/>
      <c r="H101" s="579"/>
      <c r="I101" s="580">
        <v>3909049</v>
      </c>
      <c r="J101" s="581">
        <v>2835008</v>
      </c>
      <c r="K101" s="581">
        <v>0</v>
      </c>
      <c r="L101" s="581">
        <v>0</v>
      </c>
      <c r="M101" s="581">
        <v>958231</v>
      </c>
      <c r="N101" s="581">
        <v>56700</v>
      </c>
      <c r="O101" s="581">
        <v>59110</v>
      </c>
      <c r="P101" s="582">
        <v>6.9497999999999998</v>
      </c>
      <c r="Q101" s="582">
        <v>4</v>
      </c>
      <c r="R101" s="584">
        <v>2.9497999999999998</v>
      </c>
      <c r="S101" s="583">
        <f t="shared" ref="S101:AX101" si="114">SUM(S99:S100)</f>
        <v>0</v>
      </c>
      <c r="T101" s="581">
        <f t="shared" si="114"/>
        <v>0</v>
      </c>
      <c r="U101" s="581">
        <f t="shared" si="114"/>
        <v>0</v>
      </c>
      <c r="V101" s="581">
        <f t="shared" si="114"/>
        <v>0</v>
      </c>
      <c r="W101" s="581">
        <f t="shared" si="114"/>
        <v>0</v>
      </c>
      <c r="X101" s="581">
        <f t="shared" si="114"/>
        <v>0</v>
      </c>
      <c r="Y101" s="581">
        <f t="shared" si="114"/>
        <v>0</v>
      </c>
      <c r="Z101" s="581">
        <f t="shared" si="114"/>
        <v>0</v>
      </c>
      <c r="AA101" s="581">
        <f t="shared" si="114"/>
        <v>0</v>
      </c>
      <c r="AB101" s="583">
        <f t="shared" si="114"/>
        <v>0</v>
      </c>
      <c r="AC101" s="581">
        <f t="shared" si="114"/>
        <v>0</v>
      </c>
      <c r="AD101" s="581">
        <f t="shared" si="114"/>
        <v>0</v>
      </c>
      <c r="AE101" s="581">
        <f t="shared" si="114"/>
        <v>0</v>
      </c>
      <c r="AF101" s="581">
        <f t="shared" si="114"/>
        <v>0</v>
      </c>
      <c r="AG101" s="582">
        <f t="shared" si="114"/>
        <v>0</v>
      </c>
      <c r="AH101" s="582">
        <f t="shared" si="114"/>
        <v>0</v>
      </c>
      <c r="AI101" s="582">
        <f t="shared" si="114"/>
        <v>0</v>
      </c>
      <c r="AJ101" s="582">
        <f t="shared" si="114"/>
        <v>0</v>
      </c>
      <c r="AK101" s="582">
        <f t="shared" si="114"/>
        <v>0</v>
      </c>
      <c r="AL101" s="582">
        <f t="shared" si="114"/>
        <v>0</v>
      </c>
      <c r="AM101" s="582">
        <f t="shared" si="114"/>
        <v>0</v>
      </c>
      <c r="AN101" s="584">
        <f t="shared" si="114"/>
        <v>0</v>
      </c>
      <c r="AO101" s="583">
        <f t="shared" si="114"/>
        <v>3909049</v>
      </c>
      <c r="AP101" s="581">
        <f t="shared" si="114"/>
        <v>2835008</v>
      </c>
      <c r="AQ101" s="581">
        <f t="shared" si="114"/>
        <v>0</v>
      </c>
      <c r="AR101" s="581">
        <f t="shared" si="114"/>
        <v>0</v>
      </c>
      <c r="AS101" s="581">
        <f t="shared" si="114"/>
        <v>958231</v>
      </c>
      <c r="AT101" s="581">
        <f t="shared" si="114"/>
        <v>56700</v>
      </c>
      <c r="AU101" s="581">
        <f t="shared" si="114"/>
        <v>59110</v>
      </c>
      <c r="AV101" s="582">
        <f t="shared" si="114"/>
        <v>6.9497999999999998</v>
      </c>
      <c r="AW101" s="582">
        <f t="shared" si="114"/>
        <v>4</v>
      </c>
      <c r="AX101" s="584">
        <f t="shared" si="114"/>
        <v>2.9497999999999998</v>
      </c>
    </row>
    <row r="102" spans="1:50" ht="14.1" customHeight="1" x14ac:dyDescent="0.2">
      <c r="A102" s="585">
        <v>26</v>
      </c>
      <c r="B102" s="586">
        <v>2414</v>
      </c>
      <c r="C102" s="587">
        <v>600079295</v>
      </c>
      <c r="D102" s="586">
        <v>72742020</v>
      </c>
      <c r="E102" s="588" t="s">
        <v>623</v>
      </c>
      <c r="F102" s="585">
        <v>3111</v>
      </c>
      <c r="G102" s="588" t="s">
        <v>317</v>
      </c>
      <c r="H102" s="589" t="s">
        <v>283</v>
      </c>
      <c r="I102" s="495">
        <v>4537132</v>
      </c>
      <c r="J102" s="411">
        <v>3230916</v>
      </c>
      <c r="K102" s="520">
        <v>80380</v>
      </c>
      <c r="L102" s="520">
        <v>0</v>
      </c>
      <c r="M102" s="475">
        <v>1119218</v>
      </c>
      <c r="N102" s="496">
        <v>64618</v>
      </c>
      <c r="O102" s="411">
        <v>42000</v>
      </c>
      <c r="P102" s="412">
        <v>7.9460999999999995</v>
      </c>
      <c r="Q102" s="415">
        <v>6.1619000000000002</v>
      </c>
      <c r="R102" s="685">
        <v>1.7842</v>
      </c>
      <c r="S102" s="499">
        <v>0</v>
      </c>
      <c r="T102" s="486">
        <v>0</v>
      </c>
      <c r="U102" s="486">
        <v>0</v>
      </c>
      <c r="V102" s="486">
        <f>SUM(S102:U102)</f>
        <v>0</v>
      </c>
      <c r="W102" s="486">
        <v>0</v>
      </c>
      <c r="X102" s="486">
        <v>0</v>
      </c>
      <c r="Y102" s="486">
        <f>SUM(W102:X102)</f>
        <v>0</v>
      </c>
      <c r="Z102" s="486">
        <f>V102+Y102</f>
        <v>0</v>
      </c>
      <c r="AA102" s="178">
        <f t="shared" si="84"/>
        <v>0</v>
      </c>
      <c r="AB102" s="745">
        <f>ROUND(V102*2%,0)</f>
        <v>0</v>
      </c>
      <c r="AC102" s="486">
        <v>0</v>
      </c>
      <c r="AD102" s="486">
        <v>0</v>
      </c>
      <c r="AE102" s="486">
        <f t="shared" si="85"/>
        <v>0</v>
      </c>
      <c r="AF102" s="486">
        <f t="shared" si="86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ref="AL102:AL104" si="115">AG102+AI102+AJ102</f>
        <v>0</v>
      </c>
      <c r="AM102" s="501">
        <f t="shared" ref="AM102:AM104" si="116">AH102+AK102</f>
        <v>0</v>
      </c>
      <c r="AN102" s="502">
        <f t="shared" si="89"/>
        <v>0</v>
      </c>
      <c r="AO102" s="499">
        <f>I102+AF102</f>
        <v>4537132</v>
      </c>
      <c r="AP102" s="486">
        <f>J102+V102</f>
        <v>3230916</v>
      </c>
      <c r="AQ102" s="486">
        <f>K102+Y102</f>
        <v>80380</v>
      </c>
      <c r="AR102" s="486">
        <f>L102</f>
        <v>0</v>
      </c>
      <c r="AS102" s="486">
        <f t="shared" ref="AS102:AT104" si="117">M102+AA102</f>
        <v>1119218</v>
      </c>
      <c r="AT102" s="486">
        <f t="shared" si="117"/>
        <v>64618</v>
      </c>
      <c r="AU102" s="486">
        <f>O102+AE102</f>
        <v>42000</v>
      </c>
      <c r="AV102" s="501">
        <f>P102+AN102</f>
        <v>7.9460999999999995</v>
      </c>
      <c r="AW102" s="501">
        <f t="shared" ref="AW102:AX104" si="118">Q102+AL102</f>
        <v>6.1619000000000002</v>
      </c>
      <c r="AX102" s="502">
        <f t="shared" si="118"/>
        <v>1.7842</v>
      </c>
    </row>
    <row r="103" spans="1:50" ht="14.1" customHeight="1" x14ac:dyDescent="0.2">
      <c r="A103" s="585">
        <v>26</v>
      </c>
      <c r="B103" s="586">
        <v>2414</v>
      </c>
      <c r="C103" s="587">
        <v>600079295</v>
      </c>
      <c r="D103" s="586">
        <v>72742020</v>
      </c>
      <c r="E103" s="588" t="s">
        <v>623</v>
      </c>
      <c r="F103" s="585">
        <v>3111</v>
      </c>
      <c r="G103" s="208" t="s">
        <v>318</v>
      </c>
      <c r="H103" s="589" t="s">
        <v>284</v>
      </c>
      <c r="I103" s="495">
        <v>2567</v>
      </c>
      <c r="J103" s="496">
        <v>1890</v>
      </c>
      <c r="K103" s="475">
        <v>0</v>
      </c>
      <c r="L103" s="475">
        <v>0</v>
      </c>
      <c r="M103" s="475">
        <v>639</v>
      </c>
      <c r="N103" s="496">
        <v>38</v>
      </c>
      <c r="O103" s="496">
        <v>0</v>
      </c>
      <c r="P103" s="412">
        <v>0</v>
      </c>
      <c r="Q103" s="497">
        <v>0</v>
      </c>
      <c r="R103" s="498">
        <v>0</v>
      </c>
      <c r="S103" s="499">
        <v>0</v>
      </c>
      <c r="T103" s="486">
        <v>0</v>
      </c>
      <c r="U103" s="486">
        <v>0</v>
      </c>
      <c r="V103" s="486">
        <f>SUM(S103:U103)</f>
        <v>0</v>
      </c>
      <c r="W103" s="486">
        <v>0</v>
      </c>
      <c r="X103" s="486">
        <v>0</v>
      </c>
      <c r="Y103" s="486">
        <f>SUM(W103:X103)</f>
        <v>0</v>
      </c>
      <c r="Z103" s="486">
        <f>V103+Y103</f>
        <v>0</v>
      </c>
      <c r="AA103" s="178">
        <f t="shared" si="84"/>
        <v>0</v>
      </c>
      <c r="AB103" s="745">
        <f>ROUND(V103*2%,0)</f>
        <v>0</v>
      </c>
      <c r="AC103" s="486">
        <v>0</v>
      </c>
      <c r="AD103" s="486">
        <v>0</v>
      </c>
      <c r="AE103" s="486">
        <f t="shared" si="85"/>
        <v>0</v>
      </c>
      <c r="AF103" s="486">
        <f t="shared" si="86"/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115"/>
        <v>0</v>
      </c>
      <c r="AM103" s="501">
        <f t="shared" si="116"/>
        <v>0</v>
      </c>
      <c r="AN103" s="502">
        <f t="shared" si="89"/>
        <v>0</v>
      </c>
      <c r="AO103" s="499">
        <f>I103+AF103</f>
        <v>2567</v>
      </c>
      <c r="AP103" s="486">
        <f>J103+V103</f>
        <v>1890</v>
      </c>
      <c r="AQ103" s="486">
        <f>K103+Y103</f>
        <v>0</v>
      </c>
      <c r="AR103" s="486">
        <f>L103</f>
        <v>0</v>
      </c>
      <c r="AS103" s="486">
        <f t="shared" si="117"/>
        <v>639</v>
      </c>
      <c r="AT103" s="486">
        <f t="shared" si="117"/>
        <v>38</v>
      </c>
      <c r="AU103" s="486">
        <f>O103+AE103</f>
        <v>0</v>
      </c>
      <c r="AV103" s="501">
        <f>P103+AN103</f>
        <v>0</v>
      </c>
      <c r="AW103" s="501">
        <f t="shared" si="118"/>
        <v>0</v>
      </c>
      <c r="AX103" s="502">
        <f t="shared" si="118"/>
        <v>0</v>
      </c>
    </row>
    <row r="104" spans="1:50" ht="14.1" customHeight="1" x14ac:dyDescent="0.2">
      <c r="A104" s="585">
        <v>26</v>
      </c>
      <c r="B104" s="586">
        <v>2414</v>
      </c>
      <c r="C104" s="587">
        <v>600079295</v>
      </c>
      <c r="D104" s="586">
        <v>72742020</v>
      </c>
      <c r="E104" s="588" t="s">
        <v>623</v>
      </c>
      <c r="F104" s="585">
        <v>3141</v>
      </c>
      <c r="G104" s="588" t="s">
        <v>321</v>
      </c>
      <c r="H104" s="589" t="s">
        <v>284</v>
      </c>
      <c r="I104" s="495">
        <v>720854</v>
      </c>
      <c r="J104" s="496">
        <v>528258</v>
      </c>
      <c r="K104" s="475">
        <v>0</v>
      </c>
      <c r="L104" s="475">
        <v>0</v>
      </c>
      <c r="M104" s="475">
        <v>178551</v>
      </c>
      <c r="N104" s="496">
        <v>10565</v>
      </c>
      <c r="O104" s="496">
        <v>3480</v>
      </c>
      <c r="P104" s="412">
        <v>1.8</v>
      </c>
      <c r="Q104" s="497">
        <v>0</v>
      </c>
      <c r="R104" s="498">
        <v>1.8</v>
      </c>
      <c r="S104" s="499">
        <v>0</v>
      </c>
      <c r="T104" s="486">
        <v>0</v>
      </c>
      <c r="U104" s="486">
        <v>0</v>
      </c>
      <c r="V104" s="486">
        <f>SUM(S104:U104)</f>
        <v>0</v>
      </c>
      <c r="W104" s="486">
        <v>0</v>
      </c>
      <c r="X104" s="486">
        <v>0</v>
      </c>
      <c r="Y104" s="486">
        <f>SUM(W104:X104)</f>
        <v>0</v>
      </c>
      <c r="Z104" s="486">
        <f>V104+Y104</f>
        <v>0</v>
      </c>
      <c r="AA104" s="178">
        <f t="shared" si="84"/>
        <v>0</v>
      </c>
      <c r="AB104" s="745">
        <f>ROUND(V104*2%,0)</f>
        <v>0</v>
      </c>
      <c r="AC104" s="486">
        <v>0</v>
      </c>
      <c r="AD104" s="486">
        <v>0</v>
      </c>
      <c r="AE104" s="486">
        <f t="shared" si="85"/>
        <v>0</v>
      </c>
      <c r="AF104" s="486">
        <f t="shared" si="86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si="115"/>
        <v>0</v>
      </c>
      <c r="AM104" s="501">
        <f t="shared" si="116"/>
        <v>0</v>
      </c>
      <c r="AN104" s="502">
        <f t="shared" si="89"/>
        <v>0</v>
      </c>
      <c r="AO104" s="499">
        <f>I104+AF104</f>
        <v>720854</v>
      </c>
      <c r="AP104" s="486">
        <f>J104+V104</f>
        <v>528258</v>
      </c>
      <c r="AQ104" s="486">
        <f>K104+Y104</f>
        <v>0</v>
      </c>
      <c r="AR104" s="486">
        <f>L104</f>
        <v>0</v>
      </c>
      <c r="AS104" s="486">
        <f t="shared" si="117"/>
        <v>178551</v>
      </c>
      <c r="AT104" s="486">
        <f t="shared" si="117"/>
        <v>10565</v>
      </c>
      <c r="AU104" s="486">
        <f>O104+AE104</f>
        <v>3480</v>
      </c>
      <c r="AV104" s="501">
        <f>P104+AN104</f>
        <v>1.8</v>
      </c>
      <c r="AW104" s="501">
        <f t="shared" si="118"/>
        <v>0</v>
      </c>
      <c r="AX104" s="502">
        <f t="shared" si="118"/>
        <v>1.8</v>
      </c>
    </row>
    <row r="105" spans="1:50" ht="14.1" customHeight="1" x14ac:dyDescent="0.2">
      <c r="A105" s="181">
        <v>26</v>
      </c>
      <c r="B105" s="179">
        <v>2414</v>
      </c>
      <c r="C105" s="180">
        <v>600079295</v>
      </c>
      <c r="D105" s="179">
        <v>72742020</v>
      </c>
      <c r="E105" s="578" t="s">
        <v>624</v>
      </c>
      <c r="F105" s="181"/>
      <c r="G105" s="578"/>
      <c r="H105" s="579"/>
      <c r="I105" s="580">
        <v>5260553</v>
      </c>
      <c r="J105" s="581">
        <v>3761064</v>
      </c>
      <c r="K105" s="581">
        <v>80380</v>
      </c>
      <c r="L105" s="581">
        <v>0</v>
      </c>
      <c r="M105" s="581">
        <v>1298408</v>
      </c>
      <c r="N105" s="581">
        <v>75221</v>
      </c>
      <c r="O105" s="581">
        <v>45480</v>
      </c>
      <c r="P105" s="582">
        <v>9.7461000000000002</v>
      </c>
      <c r="Q105" s="582">
        <v>6.1619000000000002</v>
      </c>
      <c r="R105" s="584">
        <v>3.5842000000000001</v>
      </c>
      <c r="S105" s="583">
        <f t="shared" ref="S105:AX105" si="119">SUM(S102:S104)</f>
        <v>0</v>
      </c>
      <c r="T105" s="581">
        <f t="shared" si="119"/>
        <v>0</v>
      </c>
      <c r="U105" s="581">
        <f t="shared" si="119"/>
        <v>0</v>
      </c>
      <c r="V105" s="581">
        <f t="shared" si="119"/>
        <v>0</v>
      </c>
      <c r="W105" s="581">
        <f t="shared" si="119"/>
        <v>0</v>
      </c>
      <c r="X105" s="581">
        <f t="shared" si="119"/>
        <v>0</v>
      </c>
      <c r="Y105" s="581">
        <f t="shared" si="119"/>
        <v>0</v>
      </c>
      <c r="Z105" s="581">
        <f t="shared" si="119"/>
        <v>0</v>
      </c>
      <c r="AA105" s="581">
        <f t="shared" si="119"/>
        <v>0</v>
      </c>
      <c r="AB105" s="583">
        <f t="shared" si="119"/>
        <v>0</v>
      </c>
      <c r="AC105" s="581">
        <f t="shared" si="119"/>
        <v>0</v>
      </c>
      <c r="AD105" s="581">
        <f t="shared" si="119"/>
        <v>0</v>
      </c>
      <c r="AE105" s="581">
        <f t="shared" si="119"/>
        <v>0</v>
      </c>
      <c r="AF105" s="581">
        <f t="shared" si="119"/>
        <v>0</v>
      </c>
      <c r="AG105" s="582">
        <f t="shared" si="119"/>
        <v>0</v>
      </c>
      <c r="AH105" s="582">
        <f t="shared" si="119"/>
        <v>0</v>
      </c>
      <c r="AI105" s="582">
        <f t="shared" si="119"/>
        <v>0</v>
      </c>
      <c r="AJ105" s="582">
        <f t="shared" si="119"/>
        <v>0</v>
      </c>
      <c r="AK105" s="582">
        <f t="shared" si="119"/>
        <v>0</v>
      </c>
      <c r="AL105" s="582">
        <f t="shared" si="119"/>
        <v>0</v>
      </c>
      <c r="AM105" s="582">
        <f t="shared" si="119"/>
        <v>0</v>
      </c>
      <c r="AN105" s="584">
        <f t="shared" si="119"/>
        <v>0</v>
      </c>
      <c r="AO105" s="583">
        <f t="shared" si="119"/>
        <v>5260553</v>
      </c>
      <c r="AP105" s="581">
        <f t="shared" si="119"/>
        <v>3761064</v>
      </c>
      <c r="AQ105" s="581">
        <f t="shared" si="119"/>
        <v>80380</v>
      </c>
      <c r="AR105" s="581">
        <f t="shared" si="119"/>
        <v>0</v>
      </c>
      <c r="AS105" s="581">
        <f t="shared" si="119"/>
        <v>1298408</v>
      </c>
      <c r="AT105" s="581">
        <f t="shared" si="119"/>
        <v>75221</v>
      </c>
      <c r="AU105" s="581">
        <f t="shared" si="119"/>
        <v>45480</v>
      </c>
      <c r="AV105" s="582">
        <f t="shared" si="119"/>
        <v>9.7461000000000002</v>
      </c>
      <c r="AW105" s="582">
        <f t="shared" si="119"/>
        <v>6.1619000000000002</v>
      </c>
      <c r="AX105" s="584">
        <f t="shared" si="119"/>
        <v>3.5842000000000001</v>
      </c>
    </row>
    <row r="106" spans="1:50" ht="14.1" customHeight="1" x14ac:dyDescent="0.2">
      <c r="A106" s="585">
        <v>27</v>
      </c>
      <c r="B106" s="586">
        <v>2443</v>
      </c>
      <c r="C106" s="587">
        <v>600079309</v>
      </c>
      <c r="D106" s="586">
        <v>72743051</v>
      </c>
      <c r="E106" s="588" t="s">
        <v>625</v>
      </c>
      <c r="F106" s="585">
        <v>3111</v>
      </c>
      <c r="G106" s="588" t="s">
        <v>317</v>
      </c>
      <c r="H106" s="589" t="s">
        <v>283</v>
      </c>
      <c r="I106" s="495">
        <v>4476482</v>
      </c>
      <c r="J106" s="411">
        <v>3265451</v>
      </c>
      <c r="K106" s="520">
        <v>0</v>
      </c>
      <c r="L106" s="520">
        <v>0</v>
      </c>
      <c r="M106" s="475">
        <v>1103722</v>
      </c>
      <c r="N106" s="496">
        <v>65309</v>
      </c>
      <c r="O106" s="411">
        <v>42000</v>
      </c>
      <c r="P106" s="412">
        <v>7.9841999999999995</v>
      </c>
      <c r="Q106" s="415">
        <v>6</v>
      </c>
      <c r="R106" s="685">
        <v>1.9842</v>
      </c>
      <c r="S106" s="499">
        <v>0</v>
      </c>
      <c r="T106" s="486">
        <v>0</v>
      </c>
      <c r="U106" s="486">
        <v>0</v>
      </c>
      <c r="V106" s="486">
        <f>SUM(S106:U106)</f>
        <v>0</v>
      </c>
      <c r="W106" s="486">
        <v>0</v>
      </c>
      <c r="X106" s="486">
        <v>0</v>
      </c>
      <c r="Y106" s="486">
        <f>SUM(W106:X106)</f>
        <v>0</v>
      </c>
      <c r="Z106" s="486">
        <f>V106+Y106</f>
        <v>0</v>
      </c>
      <c r="AA106" s="178">
        <f t="shared" si="84"/>
        <v>0</v>
      </c>
      <c r="AB106" s="745">
        <f>ROUND(V106*2%,0)</f>
        <v>0</v>
      </c>
      <c r="AC106" s="486">
        <v>0</v>
      </c>
      <c r="AD106" s="486">
        <v>0</v>
      </c>
      <c r="AE106" s="486">
        <f t="shared" si="85"/>
        <v>0</v>
      </c>
      <c r="AF106" s="486">
        <f t="shared" si="86"/>
        <v>0</v>
      </c>
      <c r="AG106" s="501">
        <v>0</v>
      </c>
      <c r="AH106" s="501">
        <v>0</v>
      </c>
      <c r="AI106" s="501">
        <v>0</v>
      </c>
      <c r="AJ106" s="501">
        <v>0</v>
      </c>
      <c r="AK106" s="501">
        <v>0</v>
      </c>
      <c r="AL106" s="501">
        <f t="shared" ref="AL106:AL108" si="120">AG106+AI106+AJ106</f>
        <v>0</v>
      </c>
      <c r="AM106" s="501">
        <f t="shared" ref="AM106:AM108" si="121">AH106+AK106</f>
        <v>0</v>
      </c>
      <c r="AN106" s="502">
        <f t="shared" si="89"/>
        <v>0</v>
      </c>
      <c r="AO106" s="499">
        <f>I106+AF106</f>
        <v>4476482</v>
      </c>
      <c r="AP106" s="486">
        <f>J106+V106</f>
        <v>3265451</v>
      </c>
      <c r="AQ106" s="486">
        <f>K106+Y106</f>
        <v>0</v>
      </c>
      <c r="AR106" s="486">
        <f>L106</f>
        <v>0</v>
      </c>
      <c r="AS106" s="486">
        <f t="shared" ref="AS106:AT108" si="122">M106+AA106</f>
        <v>1103722</v>
      </c>
      <c r="AT106" s="486">
        <f t="shared" si="122"/>
        <v>65309</v>
      </c>
      <c r="AU106" s="486">
        <f>O106+AE106</f>
        <v>42000</v>
      </c>
      <c r="AV106" s="501">
        <f>P106+AN106</f>
        <v>7.9841999999999995</v>
      </c>
      <c r="AW106" s="501">
        <f t="shared" ref="AW106:AX108" si="123">Q106+AL106</f>
        <v>6</v>
      </c>
      <c r="AX106" s="502">
        <f t="shared" si="123"/>
        <v>1.9842</v>
      </c>
    </row>
    <row r="107" spans="1:50" ht="14.1" customHeight="1" x14ac:dyDescent="0.2">
      <c r="A107" s="585">
        <v>27</v>
      </c>
      <c r="B107" s="586">
        <v>2443</v>
      </c>
      <c r="C107" s="587">
        <v>600079309</v>
      </c>
      <c r="D107" s="586">
        <v>72743051</v>
      </c>
      <c r="E107" s="588" t="s">
        <v>625</v>
      </c>
      <c r="F107" s="585">
        <v>3111</v>
      </c>
      <c r="G107" s="208" t="s">
        <v>318</v>
      </c>
      <c r="H107" s="589" t="s">
        <v>284</v>
      </c>
      <c r="I107" s="495">
        <v>0</v>
      </c>
      <c r="J107" s="496">
        <v>0</v>
      </c>
      <c r="K107" s="475">
        <v>0</v>
      </c>
      <c r="L107" s="475">
        <v>0</v>
      </c>
      <c r="M107" s="475">
        <v>0</v>
      </c>
      <c r="N107" s="496">
        <v>0</v>
      </c>
      <c r="O107" s="496">
        <v>0</v>
      </c>
      <c r="P107" s="412">
        <v>0</v>
      </c>
      <c r="Q107" s="497">
        <v>0</v>
      </c>
      <c r="R107" s="498">
        <v>0</v>
      </c>
      <c r="S107" s="499">
        <v>0</v>
      </c>
      <c r="T107" s="486">
        <v>0</v>
      </c>
      <c r="U107" s="486">
        <v>0</v>
      </c>
      <c r="V107" s="486">
        <f>SUM(S107:U107)</f>
        <v>0</v>
      </c>
      <c r="W107" s="486">
        <v>0</v>
      </c>
      <c r="X107" s="486">
        <v>0</v>
      </c>
      <c r="Y107" s="486">
        <f>SUM(W107:X107)</f>
        <v>0</v>
      </c>
      <c r="Z107" s="486">
        <f>V107+Y107</f>
        <v>0</v>
      </c>
      <c r="AA107" s="178">
        <f t="shared" si="84"/>
        <v>0</v>
      </c>
      <c r="AB107" s="745">
        <f>ROUND(V107*2%,0)</f>
        <v>0</v>
      </c>
      <c r="AC107" s="486">
        <v>0</v>
      </c>
      <c r="AD107" s="486">
        <v>0</v>
      </c>
      <c r="AE107" s="486">
        <f t="shared" si="85"/>
        <v>0</v>
      </c>
      <c r="AF107" s="486">
        <f t="shared" si="86"/>
        <v>0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si="120"/>
        <v>0</v>
      </c>
      <c r="AM107" s="501">
        <f t="shared" si="121"/>
        <v>0</v>
      </c>
      <c r="AN107" s="502">
        <f t="shared" si="89"/>
        <v>0</v>
      </c>
      <c r="AO107" s="499">
        <f>I107+AF107</f>
        <v>0</v>
      </c>
      <c r="AP107" s="486">
        <f>J107+V107</f>
        <v>0</v>
      </c>
      <c r="AQ107" s="486">
        <f>K107+Y107</f>
        <v>0</v>
      </c>
      <c r="AR107" s="486">
        <f>L107</f>
        <v>0</v>
      </c>
      <c r="AS107" s="486">
        <f t="shared" si="122"/>
        <v>0</v>
      </c>
      <c r="AT107" s="486">
        <f t="shared" si="122"/>
        <v>0</v>
      </c>
      <c r="AU107" s="486">
        <f>O107+AE107</f>
        <v>0</v>
      </c>
      <c r="AV107" s="501">
        <f>P107+AN107</f>
        <v>0</v>
      </c>
      <c r="AW107" s="501">
        <f t="shared" si="123"/>
        <v>0</v>
      </c>
      <c r="AX107" s="502">
        <f t="shared" si="123"/>
        <v>0</v>
      </c>
    </row>
    <row r="108" spans="1:50" ht="14.1" customHeight="1" x14ac:dyDescent="0.2">
      <c r="A108" s="585">
        <v>27</v>
      </c>
      <c r="B108" s="586">
        <v>2443</v>
      </c>
      <c r="C108" s="587">
        <v>600079309</v>
      </c>
      <c r="D108" s="586">
        <v>72743051</v>
      </c>
      <c r="E108" s="588" t="s">
        <v>625</v>
      </c>
      <c r="F108" s="585">
        <v>3141</v>
      </c>
      <c r="G108" s="588" t="s">
        <v>321</v>
      </c>
      <c r="H108" s="589" t="s">
        <v>284</v>
      </c>
      <c r="I108" s="495">
        <v>720854</v>
      </c>
      <c r="J108" s="496">
        <v>528258</v>
      </c>
      <c r="K108" s="475">
        <v>0</v>
      </c>
      <c r="L108" s="475">
        <v>0</v>
      </c>
      <c r="M108" s="475">
        <v>178551</v>
      </c>
      <c r="N108" s="496">
        <v>10565</v>
      </c>
      <c r="O108" s="496">
        <v>3480</v>
      </c>
      <c r="P108" s="412">
        <v>1.8</v>
      </c>
      <c r="Q108" s="497">
        <v>0</v>
      </c>
      <c r="R108" s="498">
        <v>1.8</v>
      </c>
      <c r="S108" s="499">
        <v>0</v>
      </c>
      <c r="T108" s="486">
        <v>0</v>
      </c>
      <c r="U108" s="486">
        <v>0</v>
      </c>
      <c r="V108" s="486">
        <f>SUM(S108:U108)</f>
        <v>0</v>
      </c>
      <c r="W108" s="486">
        <v>0</v>
      </c>
      <c r="X108" s="486">
        <v>0</v>
      </c>
      <c r="Y108" s="486">
        <f>SUM(W108:X108)</f>
        <v>0</v>
      </c>
      <c r="Z108" s="486">
        <f>V108+Y108</f>
        <v>0</v>
      </c>
      <c r="AA108" s="178">
        <f t="shared" si="84"/>
        <v>0</v>
      </c>
      <c r="AB108" s="745">
        <f>ROUND(V108*2%,0)</f>
        <v>0</v>
      </c>
      <c r="AC108" s="486">
        <v>0</v>
      </c>
      <c r="AD108" s="486">
        <v>0</v>
      </c>
      <c r="AE108" s="486">
        <f t="shared" si="85"/>
        <v>0</v>
      </c>
      <c r="AF108" s="486">
        <f t="shared" si="86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20"/>
        <v>0</v>
      </c>
      <c r="AM108" s="501">
        <f t="shared" si="121"/>
        <v>0</v>
      </c>
      <c r="AN108" s="502">
        <f t="shared" si="89"/>
        <v>0</v>
      </c>
      <c r="AO108" s="499">
        <f>I108+AF108</f>
        <v>720854</v>
      </c>
      <c r="AP108" s="486">
        <f>J108+V108</f>
        <v>528258</v>
      </c>
      <c r="AQ108" s="486">
        <f>K108+Y108</f>
        <v>0</v>
      </c>
      <c r="AR108" s="486">
        <f>L108</f>
        <v>0</v>
      </c>
      <c r="AS108" s="486">
        <f t="shared" si="122"/>
        <v>178551</v>
      </c>
      <c r="AT108" s="486">
        <f t="shared" si="122"/>
        <v>10565</v>
      </c>
      <c r="AU108" s="486">
        <f>O108+AE108</f>
        <v>3480</v>
      </c>
      <c r="AV108" s="501">
        <f>P108+AN108</f>
        <v>1.8</v>
      </c>
      <c r="AW108" s="501">
        <f t="shared" si="123"/>
        <v>0</v>
      </c>
      <c r="AX108" s="502">
        <f t="shared" si="123"/>
        <v>1.8</v>
      </c>
    </row>
    <row r="109" spans="1:50" ht="14.1" customHeight="1" x14ac:dyDescent="0.2">
      <c r="A109" s="181">
        <v>27</v>
      </c>
      <c r="B109" s="179">
        <v>2443</v>
      </c>
      <c r="C109" s="180">
        <v>600079309</v>
      </c>
      <c r="D109" s="179">
        <v>72743051</v>
      </c>
      <c r="E109" s="578" t="s">
        <v>626</v>
      </c>
      <c r="F109" s="181"/>
      <c r="G109" s="578"/>
      <c r="H109" s="579"/>
      <c r="I109" s="580">
        <v>5197336</v>
      </c>
      <c r="J109" s="581">
        <v>3793709</v>
      </c>
      <c r="K109" s="581">
        <v>0</v>
      </c>
      <c r="L109" s="581">
        <v>0</v>
      </c>
      <c r="M109" s="581">
        <v>1282273</v>
      </c>
      <c r="N109" s="581">
        <v>75874</v>
      </c>
      <c r="O109" s="581">
        <v>45480</v>
      </c>
      <c r="P109" s="582">
        <v>9.7842000000000002</v>
      </c>
      <c r="Q109" s="582">
        <v>6</v>
      </c>
      <c r="R109" s="584">
        <v>3.7842000000000002</v>
      </c>
      <c r="S109" s="583">
        <f t="shared" ref="S109:AX109" si="124">SUM(S106:S108)</f>
        <v>0</v>
      </c>
      <c r="T109" s="581">
        <f t="shared" si="124"/>
        <v>0</v>
      </c>
      <c r="U109" s="581">
        <f t="shared" si="124"/>
        <v>0</v>
      </c>
      <c r="V109" s="581">
        <f t="shared" si="124"/>
        <v>0</v>
      </c>
      <c r="W109" s="581">
        <f t="shared" si="124"/>
        <v>0</v>
      </c>
      <c r="X109" s="581">
        <f t="shared" si="124"/>
        <v>0</v>
      </c>
      <c r="Y109" s="581">
        <f t="shared" si="124"/>
        <v>0</v>
      </c>
      <c r="Z109" s="581">
        <f t="shared" si="124"/>
        <v>0</v>
      </c>
      <c r="AA109" s="581">
        <f t="shared" si="124"/>
        <v>0</v>
      </c>
      <c r="AB109" s="583">
        <f t="shared" si="124"/>
        <v>0</v>
      </c>
      <c r="AC109" s="581">
        <f t="shared" si="124"/>
        <v>0</v>
      </c>
      <c r="AD109" s="581">
        <f t="shared" si="124"/>
        <v>0</v>
      </c>
      <c r="AE109" s="581">
        <f t="shared" si="124"/>
        <v>0</v>
      </c>
      <c r="AF109" s="581">
        <f t="shared" si="124"/>
        <v>0</v>
      </c>
      <c r="AG109" s="582">
        <f t="shared" si="124"/>
        <v>0</v>
      </c>
      <c r="AH109" s="582">
        <f t="shared" si="124"/>
        <v>0</v>
      </c>
      <c r="AI109" s="582">
        <f t="shared" si="124"/>
        <v>0</v>
      </c>
      <c r="AJ109" s="582">
        <f t="shared" si="124"/>
        <v>0</v>
      </c>
      <c r="AK109" s="582">
        <f t="shared" si="124"/>
        <v>0</v>
      </c>
      <c r="AL109" s="582">
        <f t="shared" si="124"/>
        <v>0</v>
      </c>
      <c r="AM109" s="582">
        <f t="shared" si="124"/>
        <v>0</v>
      </c>
      <c r="AN109" s="584">
        <f t="shared" si="124"/>
        <v>0</v>
      </c>
      <c r="AO109" s="583">
        <f t="shared" si="124"/>
        <v>5197336</v>
      </c>
      <c r="AP109" s="581">
        <f t="shared" si="124"/>
        <v>3793709</v>
      </c>
      <c r="AQ109" s="581">
        <f t="shared" si="124"/>
        <v>0</v>
      </c>
      <c r="AR109" s="581">
        <f t="shared" si="124"/>
        <v>0</v>
      </c>
      <c r="AS109" s="581">
        <f t="shared" si="124"/>
        <v>1282273</v>
      </c>
      <c r="AT109" s="581">
        <f t="shared" si="124"/>
        <v>75874</v>
      </c>
      <c r="AU109" s="581">
        <f t="shared" si="124"/>
        <v>45480</v>
      </c>
      <c r="AV109" s="582">
        <f t="shared" si="124"/>
        <v>9.7842000000000002</v>
      </c>
      <c r="AW109" s="582">
        <f t="shared" si="124"/>
        <v>6</v>
      </c>
      <c r="AX109" s="584">
        <f t="shared" si="124"/>
        <v>3.7842000000000002</v>
      </c>
    </row>
    <row r="110" spans="1:50" ht="14.1" customHeight="1" x14ac:dyDescent="0.2">
      <c r="A110" s="585">
        <v>28</v>
      </c>
      <c r="B110" s="586">
        <v>2425</v>
      </c>
      <c r="C110" s="587">
        <v>600079333</v>
      </c>
      <c r="D110" s="586">
        <v>72741864</v>
      </c>
      <c r="E110" s="588" t="s">
        <v>627</v>
      </c>
      <c r="F110" s="585">
        <v>3111</v>
      </c>
      <c r="G110" s="588" t="s">
        <v>317</v>
      </c>
      <c r="H110" s="589" t="s">
        <v>283</v>
      </c>
      <c r="I110" s="495">
        <v>3315592</v>
      </c>
      <c r="J110" s="411">
        <v>2416783</v>
      </c>
      <c r="K110" s="520">
        <v>0</v>
      </c>
      <c r="L110" s="520">
        <v>0</v>
      </c>
      <c r="M110" s="475">
        <v>816873</v>
      </c>
      <c r="N110" s="496">
        <v>48336</v>
      </c>
      <c r="O110" s="411">
        <v>33600</v>
      </c>
      <c r="P110" s="412">
        <v>5.4897999999999998</v>
      </c>
      <c r="Q110" s="415">
        <v>4</v>
      </c>
      <c r="R110" s="685">
        <v>1.4898</v>
      </c>
      <c r="S110" s="499">
        <v>0</v>
      </c>
      <c r="T110" s="486">
        <v>0</v>
      </c>
      <c r="U110" s="486">
        <v>0</v>
      </c>
      <c r="V110" s="486">
        <f>SUM(S110:U110)</f>
        <v>0</v>
      </c>
      <c r="W110" s="486">
        <v>0</v>
      </c>
      <c r="X110" s="486">
        <v>0</v>
      </c>
      <c r="Y110" s="486">
        <f>SUM(W110:X110)</f>
        <v>0</v>
      </c>
      <c r="Z110" s="486">
        <f>V110+Y110</f>
        <v>0</v>
      </c>
      <c r="AA110" s="178">
        <f t="shared" si="84"/>
        <v>0</v>
      </c>
      <c r="AB110" s="745">
        <f>ROUND(V110*2%,0)</f>
        <v>0</v>
      </c>
      <c r="AC110" s="486">
        <v>0</v>
      </c>
      <c r="AD110" s="486">
        <v>0</v>
      </c>
      <c r="AE110" s="486">
        <f t="shared" si="85"/>
        <v>0</v>
      </c>
      <c r="AF110" s="486">
        <f t="shared" si="86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ref="AL110:AL111" si="125">AG110+AI110+AJ110</f>
        <v>0</v>
      </c>
      <c r="AM110" s="501">
        <f t="shared" ref="AM110:AM111" si="126">AH110+AK110</f>
        <v>0</v>
      </c>
      <c r="AN110" s="502">
        <f t="shared" si="89"/>
        <v>0</v>
      </c>
      <c r="AO110" s="499">
        <f>I110+AF110</f>
        <v>3315592</v>
      </c>
      <c r="AP110" s="486">
        <f>J110+V110</f>
        <v>2416783</v>
      </c>
      <c r="AQ110" s="486">
        <f>K110+Y110</f>
        <v>0</v>
      </c>
      <c r="AR110" s="486">
        <f>L110</f>
        <v>0</v>
      </c>
      <c r="AS110" s="486">
        <f>M110+AA110</f>
        <v>816873</v>
      </c>
      <c r="AT110" s="486">
        <f>N110+AB110</f>
        <v>48336</v>
      </c>
      <c r="AU110" s="486">
        <f>O110+AE110</f>
        <v>33600</v>
      </c>
      <c r="AV110" s="501">
        <f>P110+AN110</f>
        <v>5.4897999999999998</v>
      </c>
      <c r="AW110" s="501">
        <f>Q110+AL110</f>
        <v>4</v>
      </c>
      <c r="AX110" s="502">
        <f>R110+AM110</f>
        <v>1.4898</v>
      </c>
    </row>
    <row r="111" spans="1:50" ht="14.1" customHeight="1" x14ac:dyDescent="0.2">
      <c r="A111" s="585">
        <v>28</v>
      </c>
      <c r="B111" s="586">
        <v>2425</v>
      </c>
      <c r="C111" s="587">
        <v>600079333</v>
      </c>
      <c r="D111" s="586">
        <v>72741864</v>
      </c>
      <c r="E111" s="588" t="s">
        <v>627</v>
      </c>
      <c r="F111" s="585">
        <v>3141</v>
      </c>
      <c r="G111" s="588" t="s">
        <v>321</v>
      </c>
      <c r="H111" s="589" t="s">
        <v>284</v>
      </c>
      <c r="I111" s="495">
        <v>604405</v>
      </c>
      <c r="J111" s="496">
        <v>443020</v>
      </c>
      <c r="K111" s="475">
        <v>0</v>
      </c>
      <c r="L111" s="475">
        <v>0</v>
      </c>
      <c r="M111" s="475">
        <v>149740</v>
      </c>
      <c r="N111" s="496">
        <v>8861</v>
      </c>
      <c r="O111" s="496">
        <v>2784</v>
      </c>
      <c r="P111" s="412">
        <v>1.51</v>
      </c>
      <c r="Q111" s="497">
        <v>0</v>
      </c>
      <c r="R111" s="498">
        <v>1.51</v>
      </c>
      <c r="S111" s="499">
        <v>0</v>
      </c>
      <c r="T111" s="486">
        <v>0</v>
      </c>
      <c r="U111" s="486">
        <v>0</v>
      </c>
      <c r="V111" s="486">
        <f>SUM(S111:U111)</f>
        <v>0</v>
      </c>
      <c r="W111" s="486">
        <v>0</v>
      </c>
      <c r="X111" s="486">
        <v>0</v>
      </c>
      <c r="Y111" s="486">
        <f>SUM(W111:X111)</f>
        <v>0</v>
      </c>
      <c r="Z111" s="486">
        <f>V111+Y111</f>
        <v>0</v>
      </c>
      <c r="AA111" s="178">
        <f t="shared" si="84"/>
        <v>0</v>
      </c>
      <c r="AB111" s="745">
        <f>ROUND(V111*2%,0)</f>
        <v>0</v>
      </c>
      <c r="AC111" s="486">
        <v>0</v>
      </c>
      <c r="AD111" s="486">
        <v>0</v>
      </c>
      <c r="AE111" s="486">
        <f t="shared" si="85"/>
        <v>0</v>
      </c>
      <c r="AF111" s="486">
        <f t="shared" si="86"/>
        <v>0</v>
      </c>
      <c r="AG111" s="501">
        <v>0</v>
      </c>
      <c r="AH111" s="501">
        <v>0</v>
      </c>
      <c r="AI111" s="501">
        <v>0</v>
      </c>
      <c r="AJ111" s="501">
        <v>0</v>
      </c>
      <c r="AK111" s="501">
        <v>0</v>
      </c>
      <c r="AL111" s="501">
        <f t="shared" si="125"/>
        <v>0</v>
      </c>
      <c r="AM111" s="501">
        <f t="shared" si="126"/>
        <v>0</v>
      </c>
      <c r="AN111" s="502">
        <f t="shared" si="89"/>
        <v>0</v>
      </c>
      <c r="AO111" s="499">
        <f>I111+AF111</f>
        <v>604405</v>
      </c>
      <c r="AP111" s="486">
        <f>J111+V111</f>
        <v>443020</v>
      </c>
      <c r="AQ111" s="486">
        <f>K111+Y111</f>
        <v>0</v>
      </c>
      <c r="AR111" s="486">
        <f>L111</f>
        <v>0</v>
      </c>
      <c r="AS111" s="486">
        <f>M111+AA111</f>
        <v>149740</v>
      </c>
      <c r="AT111" s="486">
        <f>N111+AB111</f>
        <v>8861</v>
      </c>
      <c r="AU111" s="486">
        <f>O111+AE111</f>
        <v>2784</v>
      </c>
      <c r="AV111" s="501">
        <f>P111+AN111</f>
        <v>1.51</v>
      </c>
      <c r="AW111" s="501">
        <f>Q111+AL111</f>
        <v>0</v>
      </c>
      <c r="AX111" s="502">
        <f>R111+AM111</f>
        <v>1.51</v>
      </c>
    </row>
    <row r="112" spans="1:50" ht="14.1" customHeight="1" x14ac:dyDescent="0.2">
      <c r="A112" s="181">
        <v>28</v>
      </c>
      <c r="B112" s="179">
        <v>2425</v>
      </c>
      <c r="C112" s="180">
        <v>600079333</v>
      </c>
      <c r="D112" s="179">
        <v>72741864</v>
      </c>
      <c r="E112" s="578" t="s">
        <v>628</v>
      </c>
      <c r="F112" s="181"/>
      <c r="G112" s="578"/>
      <c r="H112" s="579"/>
      <c r="I112" s="580">
        <v>3919997</v>
      </c>
      <c r="J112" s="581">
        <v>2859803</v>
      </c>
      <c r="K112" s="581">
        <v>0</v>
      </c>
      <c r="L112" s="581">
        <v>0</v>
      </c>
      <c r="M112" s="581">
        <v>966613</v>
      </c>
      <c r="N112" s="581">
        <v>57197</v>
      </c>
      <c r="O112" s="581">
        <v>36384</v>
      </c>
      <c r="P112" s="582">
        <v>6.9997999999999996</v>
      </c>
      <c r="Q112" s="582">
        <v>4</v>
      </c>
      <c r="R112" s="584">
        <v>2.9998</v>
      </c>
      <c r="S112" s="583">
        <f t="shared" ref="S112:AX112" si="127">SUM(S110:S111)</f>
        <v>0</v>
      </c>
      <c r="T112" s="581">
        <f t="shared" si="127"/>
        <v>0</v>
      </c>
      <c r="U112" s="581">
        <f t="shared" si="127"/>
        <v>0</v>
      </c>
      <c r="V112" s="581">
        <f t="shared" si="127"/>
        <v>0</v>
      </c>
      <c r="W112" s="581">
        <f t="shared" si="127"/>
        <v>0</v>
      </c>
      <c r="X112" s="581">
        <f t="shared" si="127"/>
        <v>0</v>
      </c>
      <c r="Y112" s="581">
        <f t="shared" si="127"/>
        <v>0</v>
      </c>
      <c r="Z112" s="581">
        <f t="shared" si="127"/>
        <v>0</v>
      </c>
      <c r="AA112" s="581">
        <f t="shared" si="127"/>
        <v>0</v>
      </c>
      <c r="AB112" s="583">
        <f t="shared" si="127"/>
        <v>0</v>
      </c>
      <c r="AC112" s="581">
        <f t="shared" si="127"/>
        <v>0</v>
      </c>
      <c r="AD112" s="581">
        <f t="shared" si="127"/>
        <v>0</v>
      </c>
      <c r="AE112" s="581">
        <f t="shared" si="127"/>
        <v>0</v>
      </c>
      <c r="AF112" s="581">
        <f t="shared" si="127"/>
        <v>0</v>
      </c>
      <c r="AG112" s="582">
        <f t="shared" si="127"/>
        <v>0</v>
      </c>
      <c r="AH112" s="582">
        <f t="shared" si="127"/>
        <v>0</v>
      </c>
      <c r="AI112" s="582">
        <f t="shared" si="127"/>
        <v>0</v>
      </c>
      <c r="AJ112" s="582">
        <f t="shared" si="127"/>
        <v>0</v>
      </c>
      <c r="AK112" s="582">
        <f t="shared" si="127"/>
        <v>0</v>
      </c>
      <c r="AL112" s="582">
        <f t="shared" si="127"/>
        <v>0</v>
      </c>
      <c r="AM112" s="582">
        <f t="shared" si="127"/>
        <v>0</v>
      </c>
      <c r="AN112" s="584">
        <f t="shared" si="127"/>
        <v>0</v>
      </c>
      <c r="AO112" s="583">
        <f t="shared" si="127"/>
        <v>3919997</v>
      </c>
      <c r="AP112" s="581">
        <f t="shared" si="127"/>
        <v>2859803</v>
      </c>
      <c r="AQ112" s="581">
        <f t="shared" si="127"/>
        <v>0</v>
      </c>
      <c r="AR112" s="581">
        <f t="shared" si="127"/>
        <v>0</v>
      </c>
      <c r="AS112" s="581">
        <f t="shared" si="127"/>
        <v>966613</v>
      </c>
      <c r="AT112" s="581">
        <f t="shared" si="127"/>
        <v>57197</v>
      </c>
      <c r="AU112" s="581">
        <f t="shared" si="127"/>
        <v>36384</v>
      </c>
      <c r="AV112" s="582">
        <f t="shared" si="127"/>
        <v>6.9997999999999996</v>
      </c>
      <c r="AW112" s="582">
        <f t="shared" si="127"/>
        <v>4</v>
      </c>
      <c r="AX112" s="584">
        <f t="shared" si="127"/>
        <v>2.9998</v>
      </c>
    </row>
    <row r="113" spans="1:50" ht="14.1" customHeight="1" x14ac:dyDescent="0.2">
      <c r="A113" s="585">
        <v>29</v>
      </c>
      <c r="B113" s="586">
        <v>2433</v>
      </c>
      <c r="C113" s="587">
        <v>600079643</v>
      </c>
      <c r="D113" s="586">
        <v>66113334</v>
      </c>
      <c r="E113" s="588" t="s">
        <v>629</v>
      </c>
      <c r="F113" s="585">
        <v>3111</v>
      </c>
      <c r="G113" s="588" t="s">
        <v>317</v>
      </c>
      <c r="H113" s="589" t="s">
        <v>283</v>
      </c>
      <c r="I113" s="495">
        <v>6327707</v>
      </c>
      <c r="J113" s="411">
        <v>4532627</v>
      </c>
      <c r="K113" s="520">
        <v>0</v>
      </c>
      <c r="L113" s="520">
        <v>0</v>
      </c>
      <c r="M113" s="475">
        <v>1532027</v>
      </c>
      <c r="N113" s="496">
        <v>90653</v>
      </c>
      <c r="O113" s="411">
        <v>172400</v>
      </c>
      <c r="P113" s="412">
        <v>11.119799999999998</v>
      </c>
      <c r="Q113" s="415">
        <v>8.4515999999999991</v>
      </c>
      <c r="R113" s="685">
        <v>2.6681999999999997</v>
      </c>
      <c r="S113" s="499">
        <v>0</v>
      </c>
      <c r="T113" s="486">
        <v>0</v>
      </c>
      <c r="U113" s="486">
        <v>0</v>
      </c>
      <c r="V113" s="486">
        <f>SUM(S113:U113)</f>
        <v>0</v>
      </c>
      <c r="W113" s="486">
        <v>0</v>
      </c>
      <c r="X113" s="486">
        <v>0</v>
      </c>
      <c r="Y113" s="486">
        <f>SUM(W113:X113)</f>
        <v>0</v>
      </c>
      <c r="Z113" s="486">
        <f>V113+Y113</f>
        <v>0</v>
      </c>
      <c r="AA113" s="178">
        <f t="shared" si="84"/>
        <v>0</v>
      </c>
      <c r="AB113" s="745">
        <f>ROUND(V113*2%,0)</f>
        <v>0</v>
      </c>
      <c r="AC113" s="486">
        <v>0</v>
      </c>
      <c r="AD113" s="486">
        <v>0</v>
      </c>
      <c r="AE113" s="486">
        <f t="shared" si="85"/>
        <v>0</v>
      </c>
      <c r="AF113" s="486">
        <f t="shared" si="86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ref="AL113:AL114" si="128">AG113+AI113+AJ113</f>
        <v>0</v>
      </c>
      <c r="AM113" s="501">
        <f t="shared" ref="AM113:AM114" si="129">AH113+AK113</f>
        <v>0</v>
      </c>
      <c r="AN113" s="502">
        <f t="shared" si="89"/>
        <v>0</v>
      </c>
      <c r="AO113" s="499">
        <f>I113+AF113</f>
        <v>6327707</v>
      </c>
      <c r="AP113" s="486">
        <f>J113+V113</f>
        <v>4532627</v>
      </c>
      <c r="AQ113" s="486">
        <f>K113+Y113</f>
        <v>0</v>
      </c>
      <c r="AR113" s="486">
        <f>L113</f>
        <v>0</v>
      </c>
      <c r="AS113" s="486">
        <f>M113+AA113</f>
        <v>1532027</v>
      </c>
      <c r="AT113" s="486">
        <f>N113+AB113</f>
        <v>90653</v>
      </c>
      <c r="AU113" s="486">
        <f>O113+AE113</f>
        <v>172400</v>
      </c>
      <c r="AV113" s="501">
        <f>P113+AN113</f>
        <v>11.119799999999998</v>
      </c>
      <c r="AW113" s="501">
        <f>Q113+AL113</f>
        <v>8.4515999999999991</v>
      </c>
      <c r="AX113" s="502">
        <f>R113+AM113</f>
        <v>2.6681999999999997</v>
      </c>
    </row>
    <row r="114" spans="1:50" ht="14.1" customHeight="1" x14ac:dyDescent="0.2">
      <c r="A114" s="585">
        <v>29</v>
      </c>
      <c r="B114" s="586">
        <v>2433</v>
      </c>
      <c r="C114" s="587">
        <v>600079643</v>
      </c>
      <c r="D114" s="586">
        <v>66113334</v>
      </c>
      <c r="E114" s="588" t="s">
        <v>629</v>
      </c>
      <c r="F114" s="585">
        <v>3141</v>
      </c>
      <c r="G114" s="588" t="s">
        <v>321</v>
      </c>
      <c r="H114" s="589" t="s">
        <v>284</v>
      </c>
      <c r="I114" s="495">
        <v>851674</v>
      </c>
      <c r="J114" s="496">
        <v>546018</v>
      </c>
      <c r="K114" s="475">
        <v>79010</v>
      </c>
      <c r="L114" s="475">
        <v>0</v>
      </c>
      <c r="M114" s="475">
        <v>211259</v>
      </c>
      <c r="N114" s="496">
        <v>10921</v>
      </c>
      <c r="O114" s="496">
        <v>4466</v>
      </c>
      <c r="P114" s="412">
        <v>2.13</v>
      </c>
      <c r="Q114" s="497">
        <v>0</v>
      </c>
      <c r="R114" s="498">
        <v>2.13</v>
      </c>
      <c r="S114" s="499">
        <v>0</v>
      </c>
      <c r="T114" s="486">
        <v>0</v>
      </c>
      <c r="U114" s="486">
        <v>0</v>
      </c>
      <c r="V114" s="486">
        <f>SUM(S114:U114)</f>
        <v>0</v>
      </c>
      <c r="W114" s="486">
        <v>0</v>
      </c>
      <c r="X114" s="486">
        <v>0</v>
      </c>
      <c r="Y114" s="486">
        <f>SUM(W114:X114)</f>
        <v>0</v>
      </c>
      <c r="Z114" s="486">
        <f>V114+Y114</f>
        <v>0</v>
      </c>
      <c r="AA114" s="178">
        <f t="shared" si="84"/>
        <v>0</v>
      </c>
      <c r="AB114" s="745">
        <f>ROUND(V114*2%,0)</f>
        <v>0</v>
      </c>
      <c r="AC114" s="486">
        <v>0</v>
      </c>
      <c r="AD114" s="486">
        <v>0</v>
      </c>
      <c r="AE114" s="486">
        <f t="shared" si="85"/>
        <v>0</v>
      </c>
      <c r="AF114" s="486">
        <f t="shared" si="86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si="128"/>
        <v>0</v>
      </c>
      <c r="AM114" s="501">
        <f t="shared" si="129"/>
        <v>0</v>
      </c>
      <c r="AN114" s="502">
        <f t="shared" si="89"/>
        <v>0</v>
      </c>
      <c r="AO114" s="499">
        <f>I114+AF114</f>
        <v>851674</v>
      </c>
      <c r="AP114" s="486">
        <f>J114+V114</f>
        <v>546018</v>
      </c>
      <c r="AQ114" s="486">
        <f>K114+Y114</f>
        <v>79010</v>
      </c>
      <c r="AR114" s="486">
        <f>L114</f>
        <v>0</v>
      </c>
      <c r="AS114" s="486">
        <f>M114+AA114</f>
        <v>211259</v>
      </c>
      <c r="AT114" s="486">
        <f>N114+AB114</f>
        <v>10921</v>
      </c>
      <c r="AU114" s="486">
        <f>O114+AE114</f>
        <v>4466</v>
      </c>
      <c r="AV114" s="501">
        <f>P114+AN114</f>
        <v>2.13</v>
      </c>
      <c r="AW114" s="501">
        <f>Q114+AL114</f>
        <v>0</v>
      </c>
      <c r="AX114" s="502">
        <f>R114+AM114</f>
        <v>2.13</v>
      </c>
    </row>
    <row r="115" spans="1:50" ht="14.1" customHeight="1" x14ac:dyDescent="0.2">
      <c r="A115" s="181">
        <v>29</v>
      </c>
      <c r="B115" s="179">
        <v>2433</v>
      </c>
      <c r="C115" s="180">
        <v>600079643</v>
      </c>
      <c r="D115" s="179">
        <v>66113334</v>
      </c>
      <c r="E115" s="578" t="s">
        <v>630</v>
      </c>
      <c r="F115" s="181"/>
      <c r="G115" s="578"/>
      <c r="H115" s="579"/>
      <c r="I115" s="580">
        <v>7179381</v>
      </c>
      <c r="J115" s="581">
        <v>5078645</v>
      </c>
      <c r="K115" s="581">
        <v>79010</v>
      </c>
      <c r="L115" s="581">
        <v>0</v>
      </c>
      <c r="M115" s="581">
        <v>1743286</v>
      </c>
      <c r="N115" s="581">
        <v>101574</v>
      </c>
      <c r="O115" s="581">
        <v>176866</v>
      </c>
      <c r="P115" s="582">
        <v>13.249799999999997</v>
      </c>
      <c r="Q115" s="582">
        <v>8.4515999999999991</v>
      </c>
      <c r="R115" s="584">
        <v>4.7981999999999996</v>
      </c>
      <c r="S115" s="583">
        <f t="shared" ref="S115:AX115" si="130">SUM(S113:S114)</f>
        <v>0</v>
      </c>
      <c r="T115" s="581">
        <f t="shared" si="130"/>
        <v>0</v>
      </c>
      <c r="U115" s="581">
        <f t="shared" si="130"/>
        <v>0</v>
      </c>
      <c r="V115" s="581">
        <f t="shared" si="130"/>
        <v>0</v>
      </c>
      <c r="W115" s="581">
        <f t="shared" si="130"/>
        <v>0</v>
      </c>
      <c r="X115" s="581">
        <f t="shared" si="130"/>
        <v>0</v>
      </c>
      <c r="Y115" s="581">
        <f t="shared" si="130"/>
        <v>0</v>
      </c>
      <c r="Z115" s="581">
        <f t="shared" si="130"/>
        <v>0</v>
      </c>
      <c r="AA115" s="581">
        <f t="shared" si="130"/>
        <v>0</v>
      </c>
      <c r="AB115" s="583">
        <f t="shared" si="130"/>
        <v>0</v>
      </c>
      <c r="AC115" s="581">
        <f t="shared" si="130"/>
        <v>0</v>
      </c>
      <c r="AD115" s="581">
        <f t="shared" si="130"/>
        <v>0</v>
      </c>
      <c r="AE115" s="581">
        <f t="shared" si="130"/>
        <v>0</v>
      </c>
      <c r="AF115" s="581">
        <f t="shared" si="130"/>
        <v>0</v>
      </c>
      <c r="AG115" s="582">
        <f t="shared" si="130"/>
        <v>0</v>
      </c>
      <c r="AH115" s="582">
        <f t="shared" si="130"/>
        <v>0</v>
      </c>
      <c r="AI115" s="582">
        <f t="shared" si="130"/>
        <v>0</v>
      </c>
      <c r="AJ115" s="582">
        <f t="shared" si="130"/>
        <v>0</v>
      </c>
      <c r="AK115" s="582">
        <f t="shared" si="130"/>
        <v>0</v>
      </c>
      <c r="AL115" s="582">
        <f t="shared" si="130"/>
        <v>0</v>
      </c>
      <c r="AM115" s="582">
        <f t="shared" si="130"/>
        <v>0</v>
      </c>
      <c r="AN115" s="584">
        <f t="shared" si="130"/>
        <v>0</v>
      </c>
      <c r="AO115" s="583">
        <f t="shared" si="130"/>
        <v>7179381</v>
      </c>
      <c r="AP115" s="581">
        <f t="shared" si="130"/>
        <v>5078645</v>
      </c>
      <c r="AQ115" s="581">
        <f t="shared" si="130"/>
        <v>79010</v>
      </c>
      <c r="AR115" s="581">
        <f t="shared" si="130"/>
        <v>0</v>
      </c>
      <c r="AS115" s="581">
        <f t="shared" si="130"/>
        <v>1743286</v>
      </c>
      <c r="AT115" s="581">
        <f t="shared" si="130"/>
        <v>101574</v>
      </c>
      <c r="AU115" s="581">
        <f t="shared" si="130"/>
        <v>176866</v>
      </c>
      <c r="AV115" s="582">
        <f t="shared" si="130"/>
        <v>13.249799999999997</v>
      </c>
      <c r="AW115" s="582">
        <f t="shared" si="130"/>
        <v>8.4515999999999991</v>
      </c>
      <c r="AX115" s="584">
        <f t="shared" si="130"/>
        <v>4.7981999999999996</v>
      </c>
    </row>
    <row r="116" spans="1:50" ht="14.1" customHeight="1" x14ac:dyDescent="0.2">
      <c r="A116" s="585">
        <v>30</v>
      </c>
      <c r="B116" s="586">
        <v>2435</v>
      </c>
      <c r="C116" s="587">
        <v>600079341</v>
      </c>
      <c r="D116" s="586">
        <v>72743069</v>
      </c>
      <c r="E116" s="588" t="s">
        <v>631</v>
      </c>
      <c r="F116" s="585">
        <v>3111</v>
      </c>
      <c r="G116" s="588" t="s">
        <v>317</v>
      </c>
      <c r="H116" s="589" t="s">
        <v>283</v>
      </c>
      <c r="I116" s="495">
        <v>6593015</v>
      </c>
      <c r="J116" s="411">
        <v>4744568</v>
      </c>
      <c r="K116" s="520">
        <v>42184</v>
      </c>
      <c r="L116" s="520">
        <v>0</v>
      </c>
      <c r="M116" s="475">
        <v>1617922</v>
      </c>
      <c r="N116" s="496">
        <v>94891</v>
      </c>
      <c r="O116" s="411">
        <v>93450</v>
      </c>
      <c r="P116" s="412">
        <v>11.213199999999999</v>
      </c>
      <c r="Q116" s="415">
        <v>8.2579999999999991</v>
      </c>
      <c r="R116" s="685">
        <v>2.9552</v>
      </c>
      <c r="S116" s="499">
        <v>0</v>
      </c>
      <c r="T116" s="486">
        <v>0</v>
      </c>
      <c r="U116" s="486">
        <v>-14728</v>
      </c>
      <c r="V116" s="486">
        <f>SUM(S116:U116)</f>
        <v>-14728</v>
      </c>
      <c r="W116" s="486">
        <v>0</v>
      </c>
      <c r="X116" s="486">
        <v>0</v>
      </c>
      <c r="Y116" s="486">
        <f>SUM(W116:X116)</f>
        <v>0</v>
      </c>
      <c r="Z116" s="486">
        <f>V116+Y116</f>
        <v>-14728</v>
      </c>
      <c r="AA116" s="178">
        <f t="shared" si="84"/>
        <v>-4978</v>
      </c>
      <c r="AB116" s="745">
        <f>ROUND(V116*2%,0)</f>
        <v>-295</v>
      </c>
      <c r="AC116" s="486">
        <v>0</v>
      </c>
      <c r="AD116" s="486">
        <v>20001</v>
      </c>
      <c r="AE116" s="486">
        <f t="shared" si="85"/>
        <v>20001</v>
      </c>
      <c r="AF116" s="486">
        <f t="shared" si="86"/>
        <v>0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ref="AL116:AL119" si="131">AG116+AI116+AJ116</f>
        <v>0</v>
      </c>
      <c r="AM116" s="501">
        <f t="shared" ref="AM116:AM119" si="132">AH116+AK116</f>
        <v>0</v>
      </c>
      <c r="AN116" s="502">
        <f t="shared" si="89"/>
        <v>0</v>
      </c>
      <c r="AO116" s="499">
        <f>I116+AF116</f>
        <v>6593015</v>
      </c>
      <c r="AP116" s="486">
        <f>J116+V116</f>
        <v>4729840</v>
      </c>
      <c r="AQ116" s="486">
        <f>K116+Y116</f>
        <v>42184</v>
      </c>
      <c r="AR116" s="486">
        <f>L116</f>
        <v>0</v>
      </c>
      <c r="AS116" s="486">
        <f t="shared" ref="AS116:AT119" si="133">M116+AA116</f>
        <v>1612944</v>
      </c>
      <c r="AT116" s="486">
        <f t="shared" si="133"/>
        <v>94596</v>
      </c>
      <c r="AU116" s="486">
        <f>O116+AE116</f>
        <v>113451</v>
      </c>
      <c r="AV116" s="501">
        <f>P116+AN116</f>
        <v>11.213199999999999</v>
      </c>
      <c r="AW116" s="501">
        <f t="shared" ref="AW116:AX119" si="134">Q116+AL116</f>
        <v>8.2579999999999991</v>
      </c>
      <c r="AX116" s="502">
        <f t="shared" si="134"/>
        <v>2.9552</v>
      </c>
    </row>
    <row r="117" spans="1:50" ht="14.1" customHeight="1" x14ac:dyDescent="0.2">
      <c r="A117" s="585">
        <v>30</v>
      </c>
      <c r="B117" s="586">
        <v>2435</v>
      </c>
      <c r="C117" s="587">
        <v>600079341</v>
      </c>
      <c r="D117" s="586">
        <v>72743069</v>
      </c>
      <c r="E117" s="588" t="s">
        <v>631</v>
      </c>
      <c r="F117" s="585">
        <v>3111</v>
      </c>
      <c r="G117" s="503" t="s">
        <v>319</v>
      </c>
      <c r="H117" s="589" t="s">
        <v>283</v>
      </c>
      <c r="I117" s="495">
        <v>463849</v>
      </c>
      <c r="J117" s="411">
        <v>341568</v>
      </c>
      <c r="K117" s="520">
        <v>0</v>
      </c>
      <c r="L117" s="520">
        <v>0</v>
      </c>
      <c r="M117" s="475">
        <v>115450</v>
      </c>
      <c r="N117" s="496">
        <v>6831</v>
      </c>
      <c r="O117" s="496">
        <v>0</v>
      </c>
      <c r="P117" s="412">
        <v>1</v>
      </c>
      <c r="Q117" s="415">
        <v>1</v>
      </c>
      <c r="R117" s="498">
        <v>0</v>
      </c>
      <c r="S117" s="499">
        <v>0</v>
      </c>
      <c r="T117" s="486">
        <v>0</v>
      </c>
      <c r="U117" s="486">
        <v>0</v>
      </c>
      <c r="V117" s="486">
        <f>SUM(S117:U117)</f>
        <v>0</v>
      </c>
      <c r="W117" s="486">
        <v>0</v>
      </c>
      <c r="X117" s="486">
        <v>0</v>
      </c>
      <c r="Y117" s="486">
        <f>SUM(W117:X117)</f>
        <v>0</v>
      </c>
      <c r="Z117" s="486">
        <f>V117+Y117</f>
        <v>0</v>
      </c>
      <c r="AA117" s="178">
        <f t="shared" si="84"/>
        <v>0</v>
      </c>
      <c r="AB117" s="745">
        <f>ROUND(V117*2%,0)</f>
        <v>0</v>
      </c>
      <c r="AC117" s="486">
        <v>0</v>
      </c>
      <c r="AD117" s="486">
        <v>0</v>
      </c>
      <c r="AE117" s="486">
        <f t="shared" si="85"/>
        <v>0</v>
      </c>
      <c r="AF117" s="486">
        <f t="shared" si="86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si="131"/>
        <v>0</v>
      </c>
      <c r="AM117" s="501">
        <f t="shared" si="132"/>
        <v>0</v>
      </c>
      <c r="AN117" s="502">
        <f t="shared" si="89"/>
        <v>0</v>
      </c>
      <c r="AO117" s="499">
        <f>I117+AF117</f>
        <v>463849</v>
      </c>
      <c r="AP117" s="486">
        <f>J117+V117</f>
        <v>341568</v>
      </c>
      <c r="AQ117" s="486">
        <f>K117+Y117</f>
        <v>0</v>
      </c>
      <c r="AR117" s="486">
        <f>L117</f>
        <v>0</v>
      </c>
      <c r="AS117" s="486">
        <f t="shared" si="133"/>
        <v>115450</v>
      </c>
      <c r="AT117" s="486">
        <f t="shared" si="133"/>
        <v>6831</v>
      </c>
      <c r="AU117" s="486">
        <f>O117+AE117</f>
        <v>0</v>
      </c>
      <c r="AV117" s="501">
        <f>P117+AN117</f>
        <v>1</v>
      </c>
      <c r="AW117" s="501">
        <f t="shared" si="134"/>
        <v>1</v>
      </c>
      <c r="AX117" s="502">
        <f t="shared" si="134"/>
        <v>0</v>
      </c>
    </row>
    <row r="118" spans="1:50" ht="14.1" customHeight="1" x14ac:dyDescent="0.2">
      <c r="A118" s="585">
        <v>30</v>
      </c>
      <c r="B118" s="586">
        <v>2435</v>
      </c>
      <c r="C118" s="587">
        <v>600079341</v>
      </c>
      <c r="D118" s="586">
        <v>72743069</v>
      </c>
      <c r="E118" s="588" t="s">
        <v>631</v>
      </c>
      <c r="F118" s="585">
        <v>3111</v>
      </c>
      <c r="G118" s="503" t="s">
        <v>318</v>
      </c>
      <c r="H118" s="589" t="s">
        <v>284</v>
      </c>
      <c r="I118" s="495">
        <v>9000</v>
      </c>
      <c r="J118" s="411">
        <v>0</v>
      </c>
      <c r="K118" s="520">
        <v>0</v>
      </c>
      <c r="L118" s="520">
        <v>0</v>
      </c>
      <c r="M118" s="475">
        <v>0</v>
      </c>
      <c r="N118" s="496">
        <v>0</v>
      </c>
      <c r="O118" s="496">
        <v>9000</v>
      </c>
      <c r="P118" s="412">
        <v>0</v>
      </c>
      <c r="Q118" s="415">
        <v>0</v>
      </c>
      <c r="R118" s="498">
        <v>0</v>
      </c>
      <c r="S118" s="499">
        <v>0</v>
      </c>
      <c r="T118" s="486">
        <v>0</v>
      </c>
      <c r="U118" s="486">
        <v>0</v>
      </c>
      <c r="V118" s="486">
        <f>SUM(S118:U118)</f>
        <v>0</v>
      </c>
      <c r="W118" s="486">
        <v>0</v>
      </c>
      <c r="X118" s="486">
        <v>0</v>
      </c>
      <c r="Y118" s="486">
        <f>SUM(W118:X118)</f>
        <v>0</v>
      </c>
      <c r="Z118" s="486">
        <f>V118+Y118</f>
        <v>0</v>
      </c>
      <c r="AA118" s="178">
        <f t="shared" si="84"/>
        <v>0</v>
      </c>
      <c r="AB118" s="745">
        <f>ROUND(V118*2%,0)</f>
        <v>0</v>
      </c>
      <c r="AC118" s="486">
        <v>0</v>
      </c>
      <c r="AD118" s="486">
        <v>0</v>
      </c>
      <c r="AE118" s="486">
        <f t="shared" ref="AE118" si="135">SUM(AC118:AD118)</f>
        <v>0</v>
      </c>
      <c r="AF118" s="486">
        <f t="shared" ref="AF118" si="136">Z118+AA118+AB118+AE118</f>
        <v>0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si="131"/>
        <v>0</v>
      </c>
      <c r="AM118" s="501">
        <f t="shared" si="132"/>
        <v>0</v>
      </c>
      <c r="AN118" s="502">
        <f t="shared" ref="AN118" si="137">SUM(AL118:AM118)</f>
        <v>0</v>
      </c>
      <c r="AO118" s="499">
        <f>I118+AF118</f>
        <v>9000</v>
      </c>
      <c r="AP118" s="486">
        <f>J118+V118</f>
        <v>0</v>
      </c>
      <c r="AQ118" s="486">
        <f>K118+Y118</f>
        <v>0</v>
      </c>
      <c r="AR118" s="486">
        <f>L118</f>
        <v>0</v>
      </c>
      <c r="AS118" s="486">
        <f t="shared" si="133"/>
        <v>0</v>
      </c>
      <c r="AT118" s="486">
        <f t="shared" si="133"/>
        <v>0</v>
      </c>
      <c r="AU118" s="486">
        <f>O118+AE118</f>
        <v>9000</v>
      </c>
      <c r="AV118" s="501">
        <f>P118+AN118</f>
        <v>0</v>
      </c>
      <c r="AW118" s="501">
        <f t="shared" si="134"/>
        <v>0</v>
      </c>
      <c r="AX118" s="502">
        <f t="shared" si="134"/>
        <v>0</v>
      </c>
    </row>
    <row r="119" spans="1:50" ht="14.1" customHeight="1" x14ac:dyDescent="0.2">
      <c r="A119" s="585">
        <v>30</v>
      </c>
      <c r="B119" s="586">
        <v>2435</v>
      </c>
      <c r="C119" s="587">
        <v>600079341</v>
      </c>
      <c r="D119" s="586">
        <v>72743069</v>
      </c>
      <c r="E119" s="588" t="s">
        <v>631</v>
      </c>
      <c r="F119" s="585">
        <v>3141</v>
      </c>
      <c r="G119" s="588" t="s">
        <v>321</v>
      </c>
      <c r="H119" s="589" t="s">
        <v>284</v>
      </c>
      <c r="I119" s="495">
        <v>910633</v>
      </c>
      <c r="J119" s="496">
        <v>666982</v>
      </c>
      <c r="K119" s="475">
        <v>0</v>
      </c>
      <c r="L119" s="475">
        <v>0</v>
      </c>
      <c r="M119" s="475">
        <v>225440</v>
      </c>
      <c r="N119" s="496">
        <v>13339</v>
      </c>
      <c r="O119" s="496">
        <v>4872</v>
      </c>
      <c r="P119" s="412">
        <v>2.2699999999999996</v>
      </c>
      <c r="Q119" s="497">
        <v>0</v>
      </c>
      <c r="R119" s="498">
        <v>2.2699999999999996</v>
      </c>
      <c r="S119" s="499"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486">
        <v>0</v>
      </c>
      <c r="Y119" s="486">
        <f>SUM(W119:X119)</f>
        <v>0</v>
      </c>
      <c r="Z119" s="486">
        <f>V119+Y119</f>
        <v>0</v>
      </c>
      <c r="AA119" s="178">
        <f t="shared" si="84"/>
        <v>0</v>
      </c>
      <c r="AB119" s="745">
        <f>ROUND(V119*2%,0)</f>
        <v>0</v>
      </c>
      <c r="AC119" s="486">
        <v>0</v>
      </c>
      <c r="AD119" s="486">
        <v>0</v>
      </c>
      <c r="AE119" s="486">
        <f t="shared" si="85"/>
        <v>0</v>
      </c>
      <c r="AF119" s="486">
        <f t="shared" si="86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131"/>
        <v>0</v>
      </c>
      <c r="AM119" s="501">
        <f t="shared" si="132"/>
        <v>0</v>
      </c>
      <c r="AN119" s="502">
        <f t="shared" si="89"/>
        <v>0</v>
      </c>
      <c r="AO119" s="499">
        <f>I119+AF119</f>
        <v>910633</v>
      </c>
      <c r="AP119" s="486">
        <f>J119+V119</f>
        <v>666982</v>
      </c>
      <c r="AQ119" s="486">
        <f>K119+Y119</f>
        <v>0</v>
      </c>
      <c r="AR119" s="486">
        <f>L119</f>
        <v>0</v>
      </c>
      <c r="AS119" s="486">
        <f t="shared" si="133"/>
        <v>225440</v>
      </c>
      <c r="AT119" s="486">
        <f t="shared" si="133"/>
        <v>13339</v>
      </c>
      <c r="AU119" s="486">
        <f>O119+AE119</f>
        <v>4872</v>
      </c>
      <c r="AV119" s="501">
        <f>P119+AN119</f>
        <v>2.2699999999999996</v>
      </c>
      <c r="AW119" s="501">
        <f t="shared" si="134"/>
        <v>0</v>
      </c>
      <c r="AX119" s="502">
        <f t="shared" si="134"/>
        <v>2.2699999999999996</v>
      </c>
    </row>
    <row r="120" spans="1:50" ht="14.1" customHeight="1" x14ac:dyDescent="0.2">
      <c r="A120" s="181">
        <v>30</v>
      </c>
      <c r="B120" s="179">
        <v>2435</v>
      </c>
      <c r="C120" s="180">
        <v>600079341</v>
      </c>
      <c r="D120" s="179">
        <v>72743069</v>
      </c>
      <c r="E120" s="578" t="s">
        <v>632</v>
      </c>
      <c r="F120" s="181"/>
      <c r="G120" s="578"/>
      <c r="H120" s="579"/>
      <c r="I120" s="580">
        <v>7976497</v>
      </c>
      <c r="J120" s="581">
        <v>5753118</v>
      </c>
      <c r="K120" s="581">
        <v>42184</v>
      </c>
      <c r="L120" s="581">
        <v>0</v>
      </c>
      <c r="M120" s="581">
        <v>1958812</v>
      </c>
      <c r="N120" s="581">
        <v>115061</v>
      </c>
      <c r="O120" s="581">
        <v>107322</v>
      </c>
      <c r="P120" s="582">
        <v>14.483199999999998</v>
      </c>
      <c r="Q120" s="582">
        <v>9.2579999999999991</v>
      </c>
      <c r="R120" s="584">
        <v>5.2251999999999992</v>
      </c>
      <c r="S120" s="583">
        <f t="shared" ref="S120:AX120" si="138">SUM(S116:S119)</f>
        <v>0</v>
      </c>
      <c r="T120" s="581">
        <f t="shared" si="138"/>
        <v>0</v>
      </c>
      <c r="U120" s="581">
        <f t="shared" si="138"/>
        <v>-14728</v>
      </c>
      <c r="V120" s="581">
        <f t="shared" si="138"/>
        <v>-14728</v>
      </c>
      <c r="W120" s="581">
        <f t="shared" si="138"/>
        <v>0</v>
      </c>
      <c r="X120" s="581">
        <f t="shared" si="138"/>
        <v>0</v>
      </c>
      <c r="Y120" s="581">
        <f t="shared" si="138"/>
        <v>0</v>
      </c>
      <c r="Z120" s="581">
        <f t="shared" si="138"/>
        <v>-14728</v>
      </c>
      <c r="AA120" s="581">
        <f t="shared" si="138"/>
        <v>-4978</v>
      </c>
      <c r="AB120" s="583">
        <f t="shared" si="138"/>
        <v>-295</v>
      </c>
      <c r="AC120" s="581">
        <f t="shared" si="138"/>
        <v>0</v>
      </c>
      <c r="AD120" s="581">
        <f t="shared" si="138"/>
        <v>20001</v>
      </c>
      <c r="AE120" s="581">
        <f t="shared" si="138"/>
        <v>20001</v>
      </c>
      <c r="AF120" s="581">
        <f t="shared" si="138"/>
        <v>0</v>
      </c>
      <c r="AG120" s="582">
        <f t="shared" si="138"/>
        <v>0</v>
      </c>
      <c r="AH120" s="582">
        <f t="shared" si="138"/>
        <v>0</v>
      </c>
      <c r="AI120" s="582">
        <f t="shared" si="138"/>
        <v>0</v>
      </c>
      <c r="AJ120" s="582">
        <f t="shared" si="138"/>
        <v>0</v>
      </c>
      <c r="AK120" s="582">
        <f t="shared" si="138"/>
        <v>0</v>
      </c>
      <c r="AL120" s="582">
        <f t="shared" si="138"/>
        <v>0</v>
      </c>
      <c r="AM120" s="582">
        <f t="shared" si="138"/>
        <v>0</v>
      </c>
      <c r="AN120" s="584">
        <f t="shared" si="138"/>
        <v>0</v>
      </c>
      <c r="AO120" s="583">
        <f t="shared" si="138"/>
        <v>7976497</v>
      </c>
      <c r="AP120" s="581">
        <f t="shared" si="138"/>
        <v>5738390</v>
      </c>
      <c r="AQ120" s="581">
        <f t="shared" si="138"/>
        <v>42184</v>
      </c>
      <c r="AR120" s="581">
        <f t="shared" si="138"/>
        <v>0</v>
      </c>
      <c r="AS120" s="581">
        <f t="shared" si="138"/>
        <v>1953834</v>
      </c>
      <c r="AT120" s="581">
        <f t="shared" si="138"/>
        <v>114766</v>
      </c>
      <c r="AU120" s="581">
        <f t="shared" si="138"/>
        <v>127323</v>
      </c>
      <c r="AV120" s="582">
        <f t="shared" si="138"/>
        <v>14.483199999999998</v>
      </c>
      <c r="AW120" s="582">
        <f t="shared" si="138"/>
        <v>9.2579999999999991</v>
      </c>
      <c r="AX120" s="584">
        <f t="shared" si="138"/>
        <v>5.2251999999999992</v>
      </c>
    </row>
    <row r="121" spans="1:50" ht="14.1" customHeight="1" x14ac:dyDescent="0.2">
      <c r="A121" s="585">
        <v>31</v>
      </c>
      <c r="B121" s="586">
        <v>2474</v>
      </c>
      <c r="C121" s="587">
        <v>600080307</v>
      </c>
      <c r="D121" s="586">
        <v>65635612</v>
      </c>
      <c r="E121" s="588" t="s">
        <v>633</v>
      </c>
      <c r="F121" s="585">
        <v>3111</v>
      </c>
      <c r="G121" s="588" t="s">
        <v>317</v>
      </c>
      <c r="H121" s="589" t="s">
        <v>283</v>
      </c>
      <c r="I121" s="495">
        <v>3176223</v>
      </c>
      <c r="J121" s="411">
        <v>2310214</v>
      </c>
      <c r="K121" s="520">
        <v>4000</v>
      </c>
      <c r="L121" s="520">
        <v>0</v>
      </c>
      <c r="M121" s="475">
        <v>782204</v>
      </c>
      <c r="N121" s="496">
        <v>46205</v>
      </c>
      <c r="O121" s="411">
        <v>33600</v>
      </c>
      <c r="P121" s="412">
        <v>5.0118</v>
      </c>
      <c r="Q121" s="415">
        <v>4.01</v>
      </c>
      <c r="R121" s="685">
        <v>1.0018</v>
      </c>
      <c r="S121" s="499">
        <v>0</v>
      </c>
      <c r="T121" s="486">
        <v>0</v>
      </c>
      <c r="U121" s="486">
        <v>0</v>
      </c>
      <c r="V121" s="486">
        <f t="shared" ref="V121:V126" si="139">SUM(S121:U121)</f>
        <v>0</v>
      </c>
      <c r="W121" s="486">
        <v>0</v>
      </c>
      <c r="X121" s="486">
        <v>0</v>
      </c>
      <c r="Y121" s="486">
        <f t="shared" ref="Y121:Y126" si="140">SUM(W121:X121)</f>
        <v>0</v>
      </c>
      <c r="Z121" s="486">
        <f t="shared" ref="Z121:Z126" si="141">V121+Y121</f>
        <v>0</v>
      </c>
      <c r="AA121" s="178">
        <f t="shared" si="84"/>
        <v>0</v>
      </c>
      <c r="AB121" s="745">
        <f t="shared" ref="AB121:AB126" si="142">ROUND(V121*2%,0)</f>
        <v>0</v>
      </c>
      <c r="AC121" s="486">
        <v>0</v>
      </c>
      <c r="AD121" s="486">
        <v>0</v>
      </c>
      <c r="AE121" s="486">
        <f t="shared" si="85"/>
        <v>0</v>
      </c>
      <c r="AF121" s="486">
        <f t="shared" si="86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ref="AL121:AL126" si="143">AG121+AI121+AJ121</f>
        <v>0</v>
      </c>
      <c r="AM121" s="501">
        <f t="shared" ref="AM121:AM126" si="144">AH121+AK121</f>
        <v>0</v>
      </c>
      <c r="AN121" s="502">
        <f t="shared" si="89"/>
        <v>0</v>
      </c>
      <c r="AO121" s="499">
        <f t="shared" ref="AO121:AO126" si="145">I121+AF121</f>
        <v>3176223</v>
      </c>
      <c r="AP121" s="486">
        <f t="shared" ref="AP121:AP126" si="146">J121+V121</f>
        <v>2310214</v>
      </c>
      <c r="AQ121" s="486">
        <f t="shared" ref="AQ121:AQ126" si="147">K121+Y121</f>
        <v>4000</v>
      </c>
      <c r="AR121" s="486">
        <f t="shared" ref="AR121:AR126" si="148">L121</f>
        <v>0</v>
      </c>
      <c r="AS121" s="486">
        <f t="shared" ref="AS121:AT126" si="149">M121+AA121</f>
        <v>782204</v>
      </c>
      <c r="AT121" s="486">
        <f t="shared" si="149"/>
        <v>46205</v>
      </c>
      <c r="AU121" s="486">
        <f t="shared" ref="AU121:AU126" si="150">O121+AE121</f>
        <v>33600</v>
      </c>
      <c r="AV121" s="501">
        <f t="shared" ref="AV121:AV126" si="151">P121+AN121</f>
        <v>5.0118</v>
      </c>
      <c r="AW121" s="501">
        <f t="shared" ref="AW121:AX126" si="152">Q121+AL121</f>
        <v>4.01</v>
      </c>
      <c r="AX121" s="502">
        <f t="shared" si="152"/>
        <v>1.0018</v>
      </c>
    </row>
    <row r="122" spans="1:50" ht="14.1" customHeight="1" x14ac:dyDescent="0.2">
      <c r="A122" s="585">
        <v>31</v>
      </c>
      <c r="B122" s="586">
        <v>2474</v>
      </c>
      <c r="C122" s="587">
        <v>600080307</v>
      </c>
      <c r="D122" s="586">
        <v>65635612</v>
      </c>
      <c r="E122" s="588" t="s">
        <v>633</v>
      </c>
      <c r="F122" s="585">
        <v>3113</v>
      </c>
      <c r="G122" s="588" t="s">
        <v>320</v>
      </c>
      <c r="H122" s="589" t="s">
        <v>283</v>
      </c>
      <c r="I122" s="495">
        <v>24883630</v>
      </c>
      <c r="J122" s="411">
        <v>17529383</v>
      </c>
      <c r="K122" s="520">
        <v>191817</v>
      </c>
      <c r="L122" s="520">
        <v>167817</v>
      </c>
      <c r="M122" s="475">
        <v>5933043</v>
      </c>
      <c r="N122" s="496">
        <v>350587</v>
      </c>
      <c r="O122" s="411">
        <v>878800</v>
      </c>
      <c r="P122" s="412">
        <v>34.523000000000003</v>
      </c>
      <c r="Q122" s="415">
        <v>26.625999999999998</v>
      </c>
      <c r="R122" s="685">
        <v>7.8970000000000002</v>
      </c>
      <c r="S122" s="499">
        <v>0</v>
      </c>
      <c r="T122" s="486">
        <v>0</v>
      </c>
      <c r="U122" s="486">
        <v>0</v>
      </c>
      <c r="V122" s="486">
        <f t="shared" si="139"/>
        <v>0</v>
      </c>
      <c r="W122" s="486">
        <v>0</v>
      </c>
      <c r="X122" s="486">
        <v>0</v>
      </c>
      <c r="Y122" s="486">
        <f t="shared" si="140"/>
        <v>0</v>
      </c>
      <c r="Z122" s="486">
        <f t="shared" si="141"/>
        <v>0</v>
      </c>
      <c r="AA122" s="178">
        <f t="shared" si="84"/>
        <v>0</v>
      </c>
      <c r="AB122" s="745">
        <f t="shared" si="142"/>
        <v>0</v>
      </c>
      <c r="AC122" s="486">
        <v>0</v>
      </c>
      <c r="AD122" s="486">
        <v>0</v>
      </c>
      <c r="AE122" s="486">
        <f t="shared" si="85"/>
        <v>0</v>
      </c>
      <c r="AF122" s="486">
        <f t="shared" si="86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143"/>
        <v>0</v>
      </c>
      <c r="AM122" s="501">
        <f t="shared" si="144"/>
        <v>0</v>
      </c>
      <c r="AN122" s="502">
        <f t="shared" si="89"/>
        <v>0</v>
      </c>
      <c r="AO122" s="499">
        <f t="shared" si="145"/>
        <v>24883630</v>
      </c>
      <c r="AP122" s="486">
        <f t="shared" si="146"/>
        <v>17529383</v>
      </c>
      <c r="AQ122" s="486">
        <f t="shared" si="147"/>
        <v>191817</v>
      </c>
      <c r="AR122" s="486">
        <f t="shared" si="148"/>
        <v>167817</v>
      </c>
      <c r="AS122" s="486">
        <f t="shared" si="149"/>
        <v>5933043</v>
      </c>
      <c r="AT122" s="486">
        <f t="shared" si="149"/>
        <v>350587</v>
      </c>
      <c r="AU122" s="486">
        <f t="shared" si="150"/>
        <v>878800</v>
      </c>
      <c r="AV122" s="501">
        <f t="shared" si="151"/>
        <v>34.523000000000003</v>
      </c>
      <c r="AW122" s="501">
        <f t="shared" si="152"/>
        <v>26.625999999999998</v>
      </c>
      <c r="AX122" s="502">
        <f t="shared" si="152"/>
        <v>7.8970000000000002</v>
      </c>
    </row>
    <row r="123" spans="1:50" ht="14.1" customHeight="1" x14ac:dyDescent="0.2">
      <c r="A123" s="585">
        <v>31</v>
      </c>
      <c r="B123" s="586">
        <v>2474</v>
      </c>
      <c r="C123" s="587">
        <v>600080307</v>
      </c>
      <c r="D123" s="586">
        <v>65635612</v>
      </c>
      <c r="E123" s="588" t="s">
        <v>633</v>
      </c>
      <c r="F123" s="585">
        <v>3113</v>
      </c>
      <c r="G123" s="208" t="s">
        <v>318</v>
      </c>
      <c r="H123" s="589" t="s">
        <v>284</v>
      </c>
      <c r="I123" s="495">
        <v>1454711</v>
      </c>
      <c r="J123" s="496">
        <v>1067902</v>
      </c>
      <c r="K123" s="475">
        <v>0</v>
      </c>
      <c r="L123" s="475">
        <v>0</v>
      </c>
      <c r="M123" s="475">
        <v>360951</v>
      </c>
      <c r="N123" s="496">
        <v>21358</v>
      </c>
      <c r="O123" s="496">
        <v>4500</v>
      </c>
      <c r="P123" s="412">
        <v>3.16</v>
      </c>
      <c r="Q123" s="497">
        <v>3.16</v>
      </c>
      <c r="R123" s="498">
        <v>0</v>
      </c>
      <c r="S123" s="499">
        <v>0</v>
      </c>
      <c r="T123" s="486">
        <v>14150</v>
      </c>
      <c r="U123" s="486">
        <v>0</v>
      </c>
      <c r="V123" s="486">
        <f t="shared" si="139"/>
        <v>14150</v>
      </c>
      <c r="W123" s="486">
        <v>0</v>
      </c>
      <c r="X123" s="486">
        <v>0</v>
      </c>
      <c r="Y123" s="486">
        <f t="shared" si="140"/>
        <v>0</v>
      </c>
      <c r="Z123" s="486">
        <f t="shared" si="141"/>
        <v>14150</v>
      </c>
      <c r="AA123" s="178">
        <f t="shared" si="84"/>
        <v>4783</v>
      </c>
      <c r="AB123" s="745">
        <f t="shared" si="142"/>
        <v>283</v>
      </c>
      <c r="AC123" s="486">
        <v>0</v>
      </c>
      <c r="AD123" s="486">
        <v>0</v>
      </c>
      <c r="AE123" s="486">
        <f t="shared" si="85"/>
        <v>0</v>
      </c>
      <c r="AF123" s="486">
        <f t="shared" si="86"/>
        <v>19216</v>
      </c>
      <c r="AG123" s="501">
        <v>0</v>
      </c>
      <c r="AH123" s="501">
        <v>0</v>
      </c>
      <c r="AI123" s="501">
        <v>0.04</v>
      </c>
      <c r="AJ123" s="501">
        <v>0</v>
      </c>
      <c r="AK123" s="501">
        <v>0</v>
      </c>
      <c r="AL123" s="501">
        <f t="shared" si="143"/>
        <v>0.04</v>
      </c>
      <c r="AM123" s="501">
        <f t="shared" si="144"/>
        <v>0</v>
      </c>
      <c r="AN123" s="502">
        <f t="shared" si="89"/>
        <v>0.04</v>
      </c>
      <c r="AO123" s="499">
        <f t="shared" si="145"/>
        <v>1473927</v>
      </c>
      <c r="AP123" s="486">
        <f t="shared" si="146"/>
        <v>1082052</v>
      </c>
      <c r="AQ123" s="486">
        <f t="shared" si="147"/>
        <v>0</v>
      </c>
      <c r="AR123" s="486">
        <f t="shared" si="148"/>
        <v>0</v>
      </c>
      <c r="AS123" s="486">
        <f t="shared" si="149"/>
        <v>365734</v>
      </c>
      <c r="AT123" s="486">
        <f t="shared" si="149"/>
        <v>21641</v>
      </c>
      <c r="AU123" s="486">
        <f t="shared" si="150"/>
        <v>4500</v>
      </c>
      <c r="AV123" s="501">
        <f t="shared" si="151"/>
        <v>3.2</v>
      </c>
      <c r="AW123" s="501">
        <f t="shared" si="152"/>
        <v>3.2</v>
      </c>
      <c r="AX123" s="502">
        <f t="shared" si="152"/>
        <v>0</v>
      </c>
    </row>
    <row r="124" spans="1:50" ht="14.1" customHeight="1" x14ac:dyDescent="0.2">
      <c r="A124" s="585">
        <v>31</v>
      </c>
      <c r="B124" s="586">
        <v>2474</v>
      </c>
      <c r="C124" s="587">
        <v>600080307</v>
      </c>
      <c r="D124" s="586">
        <v>65635612</v>
      </c>
      <c r="E124" s="588" t="s">
        <v>633</v>
      </c>
      <c r="F124" s="585">
        <v>3141</v>
      </c>
      <c r="G124" s="588" t="s">
        <v>321</v>
      </c>
      <c r="H124" s="589" t="s">
        <v>284</v>
      </c>
      <c r="I124" s="495">
        <v>239984</v>
      </c>
      <c r="J124" s="496">
        <v>175375</v>
      </c>
      <c r="K124" s="475">
        <v>0</v>
      </c>
      <c r="L124" s="475">
        <v>0</v>
      </c>
      <c r="M124" s="475">
        <v>59277</v>
      </c>
      <c r="N124" s="496">
        <v>3508</v>
      </c>
      <c r="O124" s="496">
        <v>1824</v>
      </c>
      <c r="P124" s="412">
        <v>0.59</v>
      </c>
      <c r="Q124" s="497">
        <v>0</v>
      </c>
      <c r="R124" s="498">
        <v>0.59</v>
      </c>
      <c r="S124" s="499">
        <v>0</v>
      </c>
      <c r="T124" s="486">
        <v>0</v>
      </c>
      <c r="U124" s="486">
        <v>0</v>
      </c>
      <c r="V124" s="486">
        <f t="shared" si="139"/>
        <v>0</v>
      </c>
      <c r="W124" s="486">
        <v>0</v>
      </c>
      <c r="X124" s="486">
        <v>0</v>
      </c>
      <c r="Y124" s="486">
        <f t="shared" si="140"/>
        <v>0</v>
      </c>
      <c r="Z124" s="486">
        <f t="shared" si="141"/>
        <v>0</v>
      </c>
      <c r="AA124" s="178">
        <f t="shared" si="84"/>
        <v>0</v>
      </c>
      <c r="AB124" s="745">
        <f t="shared" si="142"/>
        <v>0</v>
      </c>
      <c r="AC124" s="486">
        <v>0</v>
      </c>
      <c r="AD124" s="486">
        <v>0</v>
      </c>
      <c r="AE124" s="486">
        <f t="shared" si="85"/>
        <v>0</v>
      </c>
      <c r="AF124" s="486">
        <f t="shared" si="86"/>
        <v>0</v>
      </c>
      <c r="AG124" s="501">
        <v>0</v>
      </c>
      <c r="AH124" s="501">
        <v>0</v>
      </c>
      <c r="AI124" s="501">
        <v>0</v>
      </c>
      <c r="AJ124" s="501">
        <v>0</v>
      </c>
      <c r="AK124" s="501">
        <v>0</v>
      </c>
      <c r="AL124" s="501">
        <f t="shared" si="143"/>
        <v>0</v>
      </c>
      <c r="AM124" s="501">
        <f t="shared" si="144"/>
        <v>0</v>
      </c>
      <c r="AN124" s="502">
        <f t="shared" si="89"/>
        <v>0</v>
      </c>
      <c r="AO124" s="499">
        <f t="shared" si="145"/>
        <v>239984</v>
      </c>
      <c r="AP124" s="486">
        <f t="shared" si="146"/>
        <v>175375</v>
      </c>
      <c r="AQ124" s="486">
        <f t="shared" si="147"/>
        <v>0</v>
      </c>
      <c r="AR124" s="486">
        <f t="shared" si="148"/>
        <v>0</v>
      </c>
      <c r="AS124" s="486">
        <f t="shared" si="149"/>
        <v>59277</v>
      </c>
      <c r="AT124" s="486">
        <f t="shared" si="149"/>
        <v>3508</v>
      </c>
      <c r="AU124" s="486">
        <f t="shared" si="150"/>
        <v>1824</v>
      </c>
      <c r="AV124" s="501">
        <f t="shared" si="151"/>
        <v>0.59</v>
      </c>
      <c r="AW124" s="501">
        <f t="shared" si="152"/>
        <v>0</v>
      </c>
      <c r="AX124" s="502">
        <f t="shared" si="152"/>
        <v>0.59</v>
      </c>
    </row>
    <row r="125" spans="1:50" ht="14.1" customHeight="1" x14ac:dyDescent="0.2">
      <c r="A125" s="585">
        <v>31</v>
      </c>
      <c r="B125" s="586">
        <v>2474</v>
      </c>
      <c r="C125" s="587">
        <v>600080307</v>
      </c>
      <c r="D125" s="586">
        <v>65635612</v>
      </c>
      <c r="E125" s="588" t="s">
        <v>633</v>
      </c>
      <c r="F125" s="585">
        <v>3143</v>
      </c>
      <c r="G125" s="208" t="s">
        <v>634</v>
      </c>
      <c r="H125" s="589" t="s">
        <v>283</v>
      </c>
      <c r="I125" s="495">
        <v>1887379</v>
      </c>
      <c r="J125" s="411">
        <v>1384896</v>
      </c>
      <c r="K125" s="520">
        <v>5000</v>
      </c>
      <c r="L125" s="520">
        <v>0</v>
      </c>
      <c r="M125" s="475">
        <v>469785</v>
      </c>
      <c r="N125" s="496">
        <v>27698</v>
      </c>
      <c r="O125" s="496">
        <v>0</v>
      </c>
      <c r="P125" s="412">
        <v>3.036</v>
      </c>
      <c r="Q125" s="415">
        <v>3.036</v>
      </c>
      <c r="R125" s="498">
        <v>0</v>
      </c>
      <c r="S125" s="499">
        <v>0</v>
      </c>
      <c r="T125" s="486">
        <v>0</v>
      </c>
      <c r="U125" s="486">
        <v>0</v>
      </c>
      <c r="V125" s="486">
        <f t="shared" si="139"/>
        <v>0</v>
      </c>
      <c r="W125" s="486">
        <v>0</v>
      </c>
      <c r="X125" s="486">
        <v>0</v>
      </c>
      <c r="Y125" s="486">
        <f t="shared" si="140"/>
        <v>0</v>
      </c>
      <c r="Z125" s="486">
        <f t="shared" si="141"/>
        <v>0</v>
      </c>
      <c r="AA125" s="178">
        <f t="shared" si="84"/>
        <v>0</v>
      </c>
      <c r="AB125" s="745">
        <f t="shared" si="142"/>
        <v>0</v>
      </c>
      <c r="AC125" s="486">
        <v>0</v>
      </c>
      <c r="AD125" s="486">
        <v>0</v>
      </c>
      <c r="AE125" s="486">
        <f t="shared" si="85"/>
        <v>0</v>
      </c>
      <c r="AF125" s="486">
        <f t="shared" si="86"/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si="143"/>
        <v>0</v>
      </c>
      <c r="AM125" s="501">
        <f t="shared" si="144"/>
        <v>0</v>
      </c>
      <c r="AN125" s="502">
        <f t="shared" si="89"/>
        <v>0</v>
      </c>
      <c r="AO125" s="499">
        <f t="shared" si="145"/>
        <v>1887379</v>
      </c>
      <c r="AP125" s="486">
        <f t="shared" si="146"/>
        <v>1384896</v>
      </c>
      <c r="AQ125" s="486">
        <f t="shared" si="147"/>
        <v>5000</v>
      </c>
      <c r="AR125" s="486">
        <f t="shared" si="148"/>
        <v>0</v>
      </c>
      <c r="AS125" s="486">
        <f t="shared" si="149"/>
        <v>469785</v>
      </c>
      <c r="AT125" s="486">
        <f t="shared" si="149"/>
        <v>27698</v>
      </c>
      <c r="AU125" s="486">
        <f t="shared" si="150"/>
        <v>0</v>
      </c>
      <c r="AV125" s="501">
        <f t="shared" si="151"/>
        <v>3.036</v>
      </c>
      <c r="AW125" s="501">
        <f t="shared" si="152"/>
        <v>3.036</v>
      </c>
      <c r="AX125" s="502">
        <f t="shared" si="152"/>
        <v>0</v>
      </c>
    </row>
    <row r="126" spans="1:50" ht="14.1" customHeight="1" x14ac:dyDescent="0.2">
      <c r="A126" s="585">
        <v>31</v>
      </c>
      <c r="B126" s="586">
        <v>2474</v>
      </c>
      <c r="C126" s="587">
        <v>600080307</v>
      </c>
      <c r="D126" s="586">
        <v>65635612</v>
      </c>
      <c r="E126" s="588" t="s">
        <v>633</v>
      </c>
      <c r="F126" s="585">
        <v>3143</v>
      </c>
      <c r="G126" s="208" t="s">
        <v>635</v>
      </c>
      <c r="H126" s="589" t="s">
        <v>284</v>
      </c>
      <c r="I126" s="495">
        <v>70221</v>
      </c>
      <c r="J126" s="496">
        <v>49500</v>
      </c>
      <c r="K126" s="475">
        <v>0</v>
      </c>
      <c r="L126" s="475">
        <v>0</v>
      </c>
      <c r="M126" s="475">
        <v>16731</v>
      </c>
      <c r="N126" s="496">
        <v>990</v>
      </c>
      <c r="O126" s="496">
        <v>3000</v>
      </c>
      <c r="P126" s="412">
        <v>0.21</v>
      </c>
      <c r="Q126" s="497">
        <v>0</v>
      </c>
      <c r="R126" s="498">
        <v>0.21</v>
      </c>
      <c r="S126" s="499">
        <v>0</v>
      </c>
      <c r="T126" s="486">
        <v>0</v>
      </c>
      <c r="U126" s="486">
        <v>0</v>
      </c>
      <c r="V126" s="486">
        <f t="shared" si="139"/>
        <v>0</v>
      </c>
      <c r="W126" s="486">
        <v>0</v>
      </c>
      <c r="X126" s="486">
        <v>0</v>
      </c>
      <c r="Y126" s="486">
        <f t="shared" si="140"/>
        <v>0</v>
      </c>
      <c r="Z126" s="486">
        <f t="shared" si="141"/>
        <v>0</v>
      </c>
      <c r="AA126" s="178">
        <f t="shared" si="84"/>
        <v>0</v>
      </c>
      <c r="AB126" s="745">
        <f t="shared" si="142"/>
        <v>0</v>
      </c>
      <c r="AC126" s="486">
        <v>0</v>
      </c>
      <c r="AD126" s="486">
        <v>0</v>
      </c>
      <c r="AE126" s="486">
        <f t="shared" si="85"/>
        <v>0</v>
      </c>
      <c r="AF126" s="486">
        <f t="shared" si="86"/>
        <v>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si="143"/>
        <v>0</v>
      </c>
      <c r="AM126" s="501">
        <f t="shared" si="144"/>
        <v>0</v>
      </c>
      <c r="AN126" s="502">
        <f t="shared" si="89"/>
        <v>0</v>
      </c>
      <c r="AO126" s="499">
        <f t="shared" si="145"/>
        <v>70221</v>
      </c>
      <c r="AP126" s="486">
        <f t="shared" si="146"/>
        <v>49500</v>
      </c>
      <c r="AQ126" s="486">
        <f t="shared" si="147"/>
        <v>0</v>
      </c>
      <c r="AR126" s="486">
        <f t="shared" si="148"/>
        <v>0</v>
      </c>
      <c r="AS126" s="486">
        <f t="shared" si="149"/>
        <v>16731</v>
      </c>
      <c r="AT126" s="486">
        <f t="shared" si="149"/>
        <v>990</v>
      </c>
      <c r="AU126" s="486">
        <f t="shared" si="150"/>
        <v>3000</v>
      </c>
      <c r="AV126" s="501">
        <f t="shared" si="151"/>
        <v>0.21</v>
      </c>
      <c r="AW126" s="501">
        <f t="shared" si="152"/>
        <v>0</v>
      </c>
      <c r="AX126" s="502">
        <f t="shared" si="152"/>
        <v>0.21</v>
      </c>
    </row>
    <row r="127" spans="1:50" ht="14.1" customHeight="1" x14ac:dyDescent="0.2">
      <c r="A127" s="181">
        <v>31</v>
      </c>
      <c r="B127" s="179">
        <v>2474</v>
      </c>
      <c r="C127" s="180">
        <v>600080307</v>
      </c>
      <c r="D127" s="179">
        <v>65635612</v>
      </c>
      <c r="E127" s="578" t="s">
        <v>636</v>
      </c>
      <c r="F127" s="181"/>
      <c r="G127" s="578"/>
      <c r="H127" s="579"/>
      <c r="I127" s="580">
        <v>31712148</v>
      </c>
      <c r="J127" s="581">
        <v>22517270</v>
      </c>
      <c r="K127" s="581">
        <v>200817</v>
      </c>
      <c r="L127" s="581">
        <v>167817</v>
      </c>
      <c r="M127" s="581">
        <v>7621991</v>
      </c>
      <c r="N127" s="581">
        <v>450346</v>
      </c>
      <c r="O127" s="581">
        <v>921724</v>
      </c>
      <c r="P127" s="582">
        <v>46.530800000000006</v>
      </c>
      <c r="Q127" s="582">
        <v>36.831999999999994</v>
      </c>
      <c r="R127" s="584">
        <v>9.6988000000000003</v>
      </c>
      <c r="S127" s="583">
        <f t="shared" ref="S127:AX127" si="153">SUM(S121:S126)</f>
        <v>0</v>
      </c>
      <c r="T127" s="581">
        <f t="shared" si="153"/>
        <v>14150</v>
      </c>
      <c r="U127" s="581">
        <f t="shared" si="153"/>
        <v>0</v>
      </c>
      <c r="V127" s="581">
        <f t="shared" si="153"/>
        <v>14150</v>
      </c>
      <c r="W127" s="581">
        <f t="shared" si="153"/>
        <v>0</v>
      </c>
      <c r="X127" s="581">
        <f t="shared" si="153"/>
        <v>0</v>
      </c>
      <c r="Y127" s="581">
        <f t="shared" si="153"/>
        <v>0</v>
      </c>
      <c r="Z127" s="581">
        <f t="shared" si="153"/>
        <v>14150</v>
      </c>
      <c r="AA127" s="581">
        <f t="shared" si="153"/>
        <v>4783</v>
      </c>
      <c r="AB127" s="583">
        <f t="shared" si="153"/>
        <v>283</v>
      </c>
      <c r="AC127" s="581">
        <f t="shared" si="153"/>
        <v>0</v>
      </c>
      <c r="AD127" s="581">
        <f t="shared" si="153"/>
        <v>0</v>
      </c>
      <c r="AE127" s="581">
        <f t="shared" si="153"/>
        <v>0</v>
      </c>
      <c r="AF127" s="581">
        <f t="shared" si="153"/>
        <v>19216</v>
      </c>
      <c r="AG127" s="582">
        <f t="shared" si="153"/>
        <v>0</v>
      </c>
      <c r="AH127" s="582">
        <f t="shared" si="153"/>
        <v>0</v>
      </c>
      <c r="AI127" s="582">
        <f t="shared" si="153"/>
        <v>0.04</v>
      </c>
      <c r="AJ127" s="582">
        <f t="shared" si="153"/>
        <v>0</v>
      </c>
      <c r="AK127" s="582">
        <f t="shared" si="153"/>
        <v>0</v>
      </c>
      <c r="AL127" s="582">
        <f t="shared" si="153"/>
        <v>0.04</v>
      </c>
      <c r="AM127" s="582">
        <f t="shared" si="153"/>
        <v>0</v>
      </c>
      <c r="AN127" s="584">
        <f t="shared" si="153"/>
        <v>0.04</v>
      </c>
      <c r="AO127" s="583">
        <f t="shared" si="153"/>
        <v>31731364</v>
      </c>
      <c r="AP127" s="581">
        <f t="shared" si="153"/>
        <v>22531420</v>
      </c>
      <c r="AQ127" s="581">
        <f t="shared" si="153"/>
        <v>200817</v>
      </c>
      <c r="AR127" s="581">
        <f t="shared" si="153"/>
        <v>167817</v>
      </c>
      <c r="AS127" s="581">
        <f t="shared" si="153"/>
        <v>7626774</v>
      </c>
      <c r="AT127" s="581">
        <f t="shared" si="153"/>
        <v>450629</v>
      </c>
      <c r="AU127" s="581">
        <f t="shared" si="153"/>
        <v>921724</v>
      </c>
      <c r="AV127" s="582">
        <f t="shared" si="153"/>
        <v>46.570800000000013</v>
      </c>
      <c r="AW127" s="582">
        <f t="shared" si="153"/>
        <v>36.872</v>
      </c>
      <c r="AX127" s="584">
        <f t="shared" si="153"/>
        <v>9.6988000000000003</v>
      </c>
    </row>
    <row r="128" spans="1:50" ht="14.1" customHeight="1" x14ac:dyDescent="0.2">
      <c r="A128" s="585">
        <v>32</v>
      </c>
      <c r="B128" s="586">
        <v>2312</v>
      </c>
      <c r="C128" s="587">
        <v>600079899</v>
      </c>
      <c r="D128" s="586">
        <v>65642350</v>
      </c>
      <c r="E128" s="588" t="s">
        <v>637</v>
      </c>
      <c r="F128" s="585">
        <v>3113</v>
      </c>
      <c r="G128" s="588" t="s">
        <v>320</v>
      </c>
      <c r="H128" s="589" t="s">
        <v>283</v>
      </c>
      <c r="I128" s="495">
        <v>31659871</v>
      </c>
      <c r="J128" s="411">
        <v>22302336</v>
      </c>
      <c r="K128" s="520">
        <v>194740</v>
      </c>
      <c r="L128" s="520">
        <v>74740</v>
      </c>
      <c r="M128" s="475">
        <v>7578749</v>
      </c>
      <c r="N128" s="496">
        <v>446046</v>
      </c>
      <c r="O128" s="411">
        <v>1138000</v>
      </c>
      <c r="P128" s="412">
        <v>41.124799999999993</v>
      </c>
      <c r="Q128" s="415">
        <v>32.202199999999998</v>
      </c>
      <c r="R128" s="685">
        <v>8.9225999999999992</v>
      </c>
      <c r="S128" s="499">
        <v>0</v>
      </c>
      <c r="T128" s="486">
        <v>0</v>
      </c>
      <c r="U128" s="486">
        <v>0</v>
      </c>
      <c r="V128" s="486">
        <f t="shared" ref="V128:V133" si="154">SUM(S128:U128)</f>
        <v>0</v>
      </c>
      <c r="W128" s="486">
        <v>0</v>
      </c>
      <c r="X128" s="486">
        <v>0</v>
      </c>
      <c r="Y128" s="486">
        <f t="shared" ref="Y128:Y133" si="155">SUM(W128:X128)</f>
        <v>0</v>
      </c>
      <c r="Z128" s="486">
        <f t="shared" ref="Z128:Z133" si="156">V128+Y128</f>
        <v>0</v>
      </c>
      <c r="AA128" s="178">
        <f t="shared" si="84"/>
        <v>0</v>
      </c>
      <c r="AB128" s="745">
        <f t="shared" ref="AB128:AB133" si="157">ROUND(V128*2%,0)</f>
        <v>0</v>
      </c>
      <c r="AC128" s="486">
        <v>0</v>
      </c>
      <c r="AD128" s="486">
        <v>0</v>
      </c>
      <c r="AE128" s="486">
        <f t="shared" si="85"/>
        <v>0</v>
      </c>
      <c r="AF128" s="486">
        <f t="shared" si="86"/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ref="AL128:AL133" si="158">AG128+AI128+AJ128</f>
        <v>0</v>
      </c>
      <c r="AM128" s="501">
        <f t="shared" ref="AM128:AM133" si="159">AH128+AK128</f>
        <v>0</v>
      </c>
      <c r="AN128" s="502">
        <f t="shared" si="89"/>
        <v>0</v>
      </c>
      <c r="AO128" s="499">
        <f t="shared" ref="AO128:AO133" si="160">I128+AF128</f>
        <v>31659871</v>
      </c>
      <c r="AP128" s="486">
        <f t="shared" ref="AP128:AP133" si="161">J128+V128</f>
        <v>22302336</v>
      </c>
      <c r="AQ128" s="486">
        <f t="shared" ref="AQ128:AQ133" si="162">K128+Y128</f>
        <v>194740</v>
      </c>
      <c r="AR128" s="486">
        <f t="shared" ref="AR128:AR133" si="163">L128</f>
        <v>74740</v>
      </c>
      <c r="AS128" s="486">
        <f t="shared" ref="AS128:AT133" si="164">M128+AA128</f>
        <v>7578749</v>
      </c>
      <c r="AT128" s="486">
        <f t="shared" si="164"/>
        <v>446046</v>
      </c>
      <c r="AU128" s="486">
        <f t="shared" ref="AU128:AU133" si="165">O128+AE128</f>
        <v>1138000</v>
      </c>
      <c r="AV128" s="501">
        <f t="shared" ref="AV128:AV133" si="166">P128+AN128</f>
        <v>41.124799999999993</v>
      </c>
      <c r="AW128" s="501">
        <f t="shared" ref="AW128:AX133" si="167">Q128+AL128</f>
        <v>32.202199999999998</v>
      </c>
      <c r="AX128" s="502">
        <f t="shared" si="167"/>
        <v>8.9225999999999992</v>
      </c>
    </row>
    <row r="129" spans="1:50" ht="14.1" customHeight="1" x14ac:dyDescent="0.2">
      <c r="A129" s="585">
        <v>32</v>
      </c>
      <c r="B129" s="586">
        <v>2312</v>
      </c>
      <c r="C129" s="587">
        <v>600079899</v>
      </c>
      <c r="D129" s="586">
        <v>65642350</v>
      </c>
      <c r="E129" s="588" t="s">
        <v>637</v>
      </c>
      <c r="F129" s="585">
        <v>3113</v>
      </c>
      <c r="G129" s="208" t="s">
        <v>318</v>
      </c>
      <c r="H129" s="589" t="s">
        <v>284</v>
      </c>
      <c r="I129" s="495">
        <v>1183979</v>
      </c>
      <c r="J129" s="496">
        <v>870015</v>
      </c>
      <c r="K129" s="475">
        <v>0</v>
      </c>
      <c r="L129" s="475">
        <v>0</v>
      </c>
      <c r="M129" s="475">
        <v>294064</v>
      </c>
      <c r="N129" s="496">
        <v>17400</v>
      </c>
      <c r="O129" s="496">
        <v>2500</v>
      </c>
      <c r="P129" s="412">
        <v>2.4599999999999995</v>
      </c>
      <c r="Q129" s="497">
        <v>2.4599999999999995</v>
      </c>
      <c r="R129" s="498">
        <v>0</v>
      </c>
      <c r="S129" s="499">
        <v>0</v>
      </c>
      <c r="T129" s="486">
        <v>0</v>
      </c>
      <c r="U129" s="486">
        <v>0</v>
      </c>
      <c r="V129" s="486">
        <f t="shared" si="154"/>
        <v>0</v>
      </c>
      <c r="W129" s="486">
        <v>0</v>
      </c>
      <c r="X129" s="486">
        <v>0</v>
      </c>
      <c r="Y129" s="486">
        <f t="shared" si="155"/>
        <v>0</v>
      </c>
      <c r="Z129" s="486">
        <f t="shared" si="156"/>
        <v>0</v>
      </c>
      <c r="AA129" s="178">
        <f t="shared" si="84"/>
        <v>0</v>
      </c>
      <c r="AB129" s="745">
        <f t="shared" si="157"/>
        <v>0</v>
      </c>
      <c r="AC129" s="486">
        <v>0</v>
      </c>
      <c r="AD129" s="486">
        <v>0</v>
      </c>
      <c r="AE129" s="486">
        <f t="shared" si="85"/>
        <v>0</v>
      </c>
      <c r="AF129" s="486">
        <f t="shared" si="86"/>
        <v>0</v>
      </c>
      <c r="AG129" s="501">
        <v>0</v>
      </c>
      <c r="AH129" s="501">
        <v>0</v>
      </c>
      <c r="AI129" s="501">
        <v>0</v>
      </c>
      <c r="AJ129" s="501">
        <v>0</v>
      </c>
      <c r="AK129" s="501">
        <v>0</v>
      </c>
      <c r="AL129" s="501">
        <f t="shared" si="158"/>
        <v>0</v>
      </c>
      <c r="AM129" s="501">
        <f t="shared" si="159"/>
        <v>0</v>
      </c>
      <c r="AN129" s="502">
        <f t="shared" si="89"/>
        <v>0</v>
      </c>
      <c r="AO129" s="499">
        <f t="shared" si="160"/>
        <v>1183979</v>
      </c>
      <c r="AP129" s="486">
        <f t="shared" si="161"/>
        <v>870015</v>
      </c>
      <c r="AQ129" s="486">
        <f t="shared" si="162"/>
        <v>0</v>
      </c>
      <c r="AR129" s="486">
        <f t="shared" si="163"/>
        <v>0</v>
      </c>
      <c r="AS129" s="486">
        <f t="shared" si="164"/>
        <v>294064</v>
      </c>
      <c r="AT129" s="486">
        <f t="shared" si="164"/>
        <v>17400</v>
      </c>
      <c r="AU129" s="486">
        <f t="shared" si="165"/>
        <v>2500</v>
      </c>
      <c r="AV129" s="501">
        <f t="shared" si="166"/>
        <v>2.4599999999999995</v>
      </c>
      <c r="AW129" s="501">
        <f t="shared" si="167"/>
        <v>2.4599999999999995</v>
      </c>
      <c r="AX129" s="502">
        <f t="shared" si="167"/>
        <v>0</v>
      </c>
    </row>
    <row r="130" spans="1:50" ht="14.1" customHeight="1" x14ac:dyDescent="0.2">
      <c r="A130" s="585">
        <v>32</v>
      </c>
      <c r="B130" s="586">
        <v>2312</v>
      </c>
      <c r="C130" s="587">
        <v>600079899</v>
      </c>
      <c r="D130" s="586">
        <v>65642350</v>
      </c>
      <c r="E130" s="588" t="s">
        <v>637</v>
      </c>
      <c r="F130" s="585">
        <v>3141</v>
      </c>
      <c r="G130" s="588" t="s">
        <v>321</v>
      </c>
      <c r="H130" s="589" t="s">
        <v>284</v>
      </c>
      <c r="I130" s="495">
        <v>2627076</v>
      </c>
      <c r="J130" s="496">
        <v>1905702</v>
      </c>
      <c r="K130" s="475">
        <v>10000</v>
      </c>
      <c r="L130" s="475">
        <v>0</v>
      </c>
      <c r="M130" s="475">
        <v>647508</v>
      </c>
      <c r="N130" s="496">
        <v>38114</v>
      </c>
      <c r="O130" s="496">
        <v>25752</v>
      </c>
      <c r="P130" s="412">
        <v>6.5000000000000009</v>
      </c>
      <c r="Q130" s="497">
        <v>0</v>
      </c>
      <c r="R130" s="498">
        <v>6.5000000000000009</v>
      </c>
      <c r="S130" s="499">
        <v>0</v>
      </c>
      <c r="T130" s="486">
        <v>0</v>
      </c>
      <c r="U130" s="486">
        <v>0</v>
      </c>
      <c r="V130" s="486">
        <f t="shared" si="154"/>
        <v>0</v>
      </c>
      <c r="W130" s="486">
        <v>0</v>
      </c>
      <c r="X130" s="486">
        <v>0</v>
      </c>
      <c r="Y130" s="486">
        <f t="shared" si="155"/>
        <v>0</v>
      </c>
      <c r="Z130" s="486">
        <f t="shared" si="156"/>
        <v>0</v>
      </c>
      <c r="AA130" s="178">
        <f t="shared" si="84"/>
        <v>0</v>
      </c>
      <c r="AB130" s="745">
        <f t="shared" si="157"/>
        <v>0</v>
      </c>
      <c r="AC130" s="486">
        <v>0</v>
      </c>
      <c r="AD130" s="486">
        <v>0</v>
      </c>
      <c r="AE130" s="486">
        <f t="shared" si="85"/>
        <v>0</v>
      </c>
      <c r="AF130" s="486">
        <f t="shared" si="86"/>
        <v>0</v>
      </c>
      <c r="AG130" s="501">
        <v>0</v>
      </c>
      <c r="AH130" s="501">
        <v>0</v>
      </c>
      <c r="AI130" s="501">
        <v>0</v>
      </c>
      <c r="AJ130" s="501">
        <v>0</v>
      </c>
      <c r="AK130" s="501">
        <v>0</v>
      </c>
      <c r="AL130" s="501">
        <f t="shared" si="158"/>
        <v>0</v>
      </c>
      <c r="AM130" s="501">
        <f t="shared" si="159"/>
        <v>0</v>
      </c>
      <c r="AN130" s="502">
        <f t="shared" si="89"/>
        <v>0</v>
      </c>
      <c r="AO130" s="499">
        <f t="shared" si="160"/>
        <v>2627076</v>
      </c>
      <c r="AP130" s="486">
        <f t="shared" si="161"/>
        <v>1905702</v>
      </c>
      <c r="AQ130" s="486">
        <f t="shared" si="162"/>
        <v>10000</v>
      </c>
      <c r="AR130" s="486">
        <f t="shared" si="163"/>
        <v>0</v>
      </c>
      <c r="AS130" s="486">
        <f t="shared" si="164"/>
        <v>647508</v>
      </c>
      <c r="AT130" s="486">
        <f t="shared" si="164"/>
        <v>38114</v>
      </c>
      <c r="AU130" s="486">
        <f t="shared" si="165"/>
        <v>25752</v>
      </c>
      <c r="AV130" s="501">
        <f t="shared" si="166"/>
        <v>6.5000000000000009</v>
      </c>
      <c r="AW130" s="501">
        <f t="shared" si="167"/>
        <v>0</v>
      </c>
      <c r="AX130" s="502">
        <f t="shared" si="167"/>
        <v>6.5000000000000009</v>
      </c>
    </row>
    <row r="131" spans="1:50" ht="14.1" customHeight="1" x14ac:dyDescent="0.2">
      <c r="A131" s="585">
        <v>32</v>
      </c>
      <c r="B131" s="586">
        <v>2312</v>
      </c>
      <c r="C131" s="587">
        <v>600079899</v>
      </c>
      <c r="D131" s="586">
        <v>65642350</v>
      </c>
      <c r="E131" s="588" t="s">
        <v>637</v>
      </c>
      <c r="F131" s="585">
        <v>3143</v>
      </c>
      <c r="G131" s="208" t="s">
        <v>634</v>
      </c>
      <c r="H131" s="589" t="s">
        <v>283</v>
      </c>
      <c r="I131" s="495">
        <v>3437027</v>
      </c>
      <c r="J131" s="411">
        <v>2530948</v>
      </c>
      <c r="K131" s="520">
        <v>0</v>
      </c>
      <c r="L131" s="520">
        <v>0</v>
      </c>
      <c r="M131" s="475">
        <v>855460</v>
      </c>
      <c r="N131" s="496">
        <v>50619</v>
      </c>
      <c r="O131" s="496">
        <v>0</v>
      </c>
      <c r="P131" s="412">
        <v>5.5</v>
      </c>
      <c r="Q131" s="415">
        <v>5.5</v>
      </c>
      <c r="R131" s="498">
        <v>0</v>
      </c>
      <c r="S131" s="499">
        <v>0</v>
      </c>
      <c r="T131" s="486">
        <v>0</v>
      </c>
      <c r="U131" s="486">
        <v>0</v>
      </c>
      <c r="V131" s="486">
        <f t="shared" si="154"/>
        <v>0</v>
      </c>
      <c r="W131" s="486">
        <v>0</v>
      </c>
      <c r="X131" s="486">
        <v>0</v>
      </c>
      <c r="Y131" s="486">
        <f t="shared" si="155"/>
        <v>0</v>
      </c>
      <c r="Z131" s="486">
        <f t="shared" si="156"/>
        <v>0</v>
      </c>
      <c r="AA131" s="178">
        <f t="shared" si="84"/>
        <v>0</v>
      </c>
      <c r="AB131" s="745">
        <f t="shared" si="157"/>
        <v>0</v>
      </c>
      <c r="AC131" s="486">
        <v>0</v>
      </c>
      <c r="AD131" s="486">
        <v>0</v>
      </c>
      <c r="AE131" s="486">
        <f t="shared" si="85"/>
        <v>0</v>
      </c>
      <c r="AF131" s="486">
        <f t="shared" si="86"/>
        <v>0</v>
      </c>
      <c r="AG131" s="501">
        <v>0</v>
      </c>
      <c r="AH131" s="501">
        <v>0</v>
      </c>
      <c r="AI131" s="501">
        <v>0</v>
      </c>
      <c r="AJ131" s="501">
        <v>0</v>
      </c>
      <c r="AK131" s="501">
        <v>0</v>
      </c>
      <c r="AL131" s="501">
        <f t="shared" si="158"/>
        <v>0</v>
      </c>
      <c r="AM131" s="501">
        <f t="shared" si="159"/>
        <v>0</v>
      </c>
      <c r="AN131" s="502">
        <f t="shared" si="89"/>
        <v>0</v>
      </c>
      <c r="AO131" s="499">
        <f t="shared" si="160"/>
        <v>3437027</v>
      </c>
      <c r="AP131" s="486">
        <f t="shared" si="161"/>
        <v>2530948</v>
      </c>
      <c r="AQ131" s="486">
        <f t="shared" si="162"/>
        <v>0</v>
      </c>
      <c r="AR131" s="486">
        <f t="shared" si="163"/>
        <v>0</v>
      </c>
      <c r="AS131" s="486">
        <f t="shared" si="164"/>
        <v>855460</v>
      </c>
      <c r="AT131" s="486">
        <f t="shared" si="164"/>
        <v>50619</v>
      </c>
      <c r="AU131" s="486">
        <f t="shared" si="165"/>
        <v>0</v>
      </c>
      <c r="AV131" s="501">
        <f t="shared" si="166"/>
        <v>5.5</v>
      </c>
      <c r="AW131" s="501">
        <f t="shared" si="167"/>
        <v>5.5</v>
      </c>
      <c r="AX131" s="502">
        <f t="shared" si="167"/>
        <v>0</v>
      </c>
    </row>
    <row r="132" spans="1:50" ht="14.1" customHeight="1" x14ac:dyDescent="0.2">
      <c r="A132" s="585">
        <v>32</v>
      </c>
      <c r="B132" s="586">
        <v>2312</v>
      </c>
      <c r="C132" s="587">
        <v>600079899</v>
      </c>
      <c r="D132" s="586">
        <v>65642350</v>
      </c>
      <c r="E132" s="588" t="s">
        <v>637</v>
      </c>
      <c r="F132" s="585">
        <v>3143</v>
      </c>
      <c r="G132" s="208" t="s">
        <v>635</v>
      </c>
      <c r="H132" s="589" t="s">
        <v>284</v>
      </c>
      <c r="I132" s="495">
        <v>115865</v>
      </c>
      <c r="J132" s="496">
        <v>81675</v>
      </c>
      <c r="K132" s="475">
        <v>0</v>
      </c>
      <c r="L132" s="475">
        <v>0</v>
      </c>
      <c r="M132" s="475">
        <v>27606</v>
      </c>
      <c r="N132" s="496">
        <v>1634</v>
      </c>
      <c r="O132" s="496">
        <v>4950</v>
      </c>
      <c r="P132" s="412">
        <v>0.34</v>
      </c>
      <c r="Q132" s="497">
        <v>0</v>
      </c>
      <c r="R132" s="498">
        <v>0.34</v>
      </c>
      <c r="S132" s="499">
        <v>0</v>
      </c>
      <c r="T132" s="486">
        <v>0</v>
      </c>
      <c r="U132" s="486">
        <v>0</v>
      </c>
      <c r="V132" s="486">
        <f t="shared" si="154"/>
        <v>0</v>
      </c>
      <c r="W132" s="486">
        <v>0</v>
      </c>
      <c r="X132" s="486">
        <v>0</v>
      </c>
      <c r="Y132" s="486">
        <f t="shared" si="155"/>
        <v>0</v>
      </c>
      <c r="Z132" s="486">
        <f t="shared" si="156"/>
        <v>0</v>
      </c>
      <c r="AA132" s="178">
        <f t="shared" si="84"/>
        <v>0</v>
      </c>
      <c r="AB132" s="745">
        <f t="shared" si="157"/>
        <v>0</v>
      </c>
      <c r="AC132" s="486">
        <v>0</v>
      </c>
      <c r="AD132" s="486">
        <v>0</v>
      </c>
      <c r="AE132" s="486">
        <f t="shared" si="85"/>
        <v>0</v>
      </c>
      <c r="AF132" s="486">
        <f t="shared" si="86"/>
        <v>0</v>
      </c>
      <c r="AG132" s="501">
        <v>0</v>
      </c>
      <c r="AH132" s="501">
        <v>0</v>
      </c>
      <c r="AI132" s="501">
        <v>0</v>
      </c>
      <c r="AJ132" s="501">
        <v>0</v>
      </c>
      <c r="AK132" s="501">
        <v>0</v>
      </c>
      <c r="AL132" s="501">
        <f t="shared" si="158"/>
        <v>0</v>
      </c>
      <c r="AM132" s="501">
        <f t="shared" si="159"/>
        <v>0</v>
      </c>
      <c r="AN132" s="502">
        <f t="shared" si="89"/>
        <v>0</v>
      </c>
      <c r="AO132" s="499">
        <f t="shared" si="160"/>
        <v>115865</v>
      </c>
      <c r="AP132" s="486">
        <f t="shared" si="161"/>
        <v>81675</v>
      </c>
      <c r="AQ132" s="486">
        <f t="shared" si="162"/>
        <v>0</v>
      </c>
      <c r="AR132" s="486">
        <f t="shared" si="163"/>
        <v>0</v>
      </c>
      <c r="AS132" s="486">
        <f t="shared" si="164"/>
        <v>27606</v>
      </c>
      <c r="AT132" s="486">
        <f t="shared" si="164"/>
        <v>1634</v>
      </c>
      <c r="AU132" s="486">
        <f t="shared" si="165"/>
        <v>4950</v>
      </c>
      <c r="AV132" s="501">
        <f t="shared" si="166"/>
        <v>0.34</v>
      </c>
      <c r="AW132" s="501">
        <f t="shared" si="167"/>
        <v>0</v>
      </c>
      <c r="AX132" s="502">
        <f t="shared" si="167"/>
        <v>0.34</v>
      </c>
    </row>
    <row r="133" spans="1:50" ht="14.1" customHeight="1" x14ac:dyDescent="0.2">
      <c r="A133" s="585">
        <v>32</v>
      </c>
      <c r="B133" s="586">
        <v>2312</v>
      </c>
      <c r="C133" s="587">
        <v>600079899</v>
      </c>
      <c r="D133" s="586">
        <v>65642350</v>
      </c>
      <c r="E133" s="588" t="s">
        <v>637</v>
      </c>
      <c r="F133" s="585">
        <v>3231</v>
      </c>
      <c r="G133" s="588" t="s">
        <v>322</v>
      </c>
      <c r="H133" s="589" t="s">
        <v>283</v>
      </c>
      <c r="I133" s="495">
        <v>15213046</v>
      </c>
      <c r="J133" s="496">
        <v>10913141</v>
      </c>
      <c r="K133" s="475">
        <v>260000</v>
      </c>
      <c r="L133" s="475">
        <v>0</v>
      </c>
      <c r="M133" s="475">
        <v>3776522</v>
      </c>
      <c r="N133" s="496">
        <v>218263</v>
      </c>
      <c r="O133" s="496">
        <v>45120</v>
      </c>
      <c r="P133" s="412">
        <v>21.384699999999999</v>
      </c>
      <c r="Q133" s="590">
        <v>19.079799999999999</v>
      </c>
      <c r="R133" s="689">
        <v>2.3048999999999999</v>
      </c>
      <c r="S133" s="499">
        <v>0</v>
      </c>
      <c r="T133" s="486">
        <v>0</v>
      </c>
      <c r="U133" s="486">
        <v>0</v>
      </c>
      <c r="V133" s="486">
        <f t="shared" si="154"/>
        <v>0</v>
      </c>
      <c r="W133" s="486">
        <v>0</v>
      </c>
      <c r="X133" s="486">
        <v>0</v>
      </c>
      <c r="Y133" s="486">
        <f t="shared" si="155"/>
        <v>0</v>
      </c>
      <c r="Z133" s="486">
        <f t="shared" si="156"/>
        <v>0</v>
      </c>
      <c r="AA133" s="178">
        <f t="shared" si="84"/>
        <v>0</v>
      </c>
      <c r="AB133" s="745">
        <f t="shared" si="157"/>
        <v>0</v>
      </c>
      <c r="AC133" s="486">
        <v>0</v>
      </c>
      <c r="AD133" s="486">
        <v>0</v>
      </c>
      <c r="AE133" s="486">
        <f t="shared" si="85"/>
        <v>0</v>
      </c>
      <c r="AF133" s="486">
        <f t="shared" si="86"/>
        <v>0</v>
      </c>
      <c r="AG133" s="501">
        <v>0</v>
      </c>
      <c r="AH133" s="501">
        <v>0</v>
      </c>
      <c r="AI133" s="501">
        <v>0</v>
      </c>
      <c r="AJ133" s="501">
        <v>0</v>
      </c>
      <c r="AK133" s="501">
        <v>0</v>
      </c>
      <c r="AL133" s="501">
        <f t="shared" si="158"/>
        <v>0</v>
      </c>
      <c r="AM133" s="501">
        <f t="shared" si="159"/>
        <v>0</v>
      </c>
      <c r="AN133" s="502">
        <f t="shared" si="89"/>
        <v>0</v>
      </c>
      <c r="AO133" s="499">
        <f t="shared" si="160"/>
        <v>15213046</v>
      </c>
      <c r="AP133" s="486">
        <f t="shared" si="161"/>
        <v>10913141</v>
      </c>
      <c r="AQ133" s="486">
        <f t="shared" si="162"/>
        <v>260000</v>
      </c>
      <c r="AR133" s="486">
        <f t="shared" si="163"/>
        <v>0</v>
      </c>
      <c r="AS133" s="486">
        <f t="shared" si="164"/>
        <v>3776522</v>
      </c>
      <c r="AT133" s="486">
        <f t="shared" si="164"/>
        <v>218263</v>
      </c>
      <c r="AU133" s="486">
        <f t="shared" si="165"/>
        <v>45120</v>
      </c>
      <c r="AV133" s="501">
        <f t="shared" si="166"/>
        <v>21.384699999999999</v>
      </c>
      <c r="AW133" s="501">
        <f t="shared" si="167"/>
        <v>19.079799999999999</v>
      </c>
      <c r="AX133" s="502">
        <f t="shared" si="167"/>
        <v>2.3048999999999999</v>
      </c>
    </row>
    <row r="134" spans="1:50" ht="14.1" customHeight="1" x14ac:dyDescent="0.2">
      <c r="A134" s="181">
        <v>32</v>
      </c>
      <c r="B134" s="179">
        <v>2312</v>
      </c>
      <c r="C134" s="180">
        <v>600079899</v>
      </c>
      <c r="D134" s="179">
        <v>65642350</v>
      </c>
      <c r="E134" s="578" t="s">
        <v>638</v>
      </c>
      <c r="F134" s="181"/>
      <c r="G134" s="578"/>
      <c r="H134" s="579"/>
      <c r="I134" s="182">
        <v>54236864</v>
      </c>
      <c r="J134" s="183">
        <v>38603817</v>
      </c>
      <c r="K134" s="183">
        <v>464740</v>
      </c>
      <c r="L134" s="183">
        <v>74740</v>
      </c>
      <c r="M134" s="183">
        <v>13179909</v>
      </c>
      <c r="N134" s="183">
        <v>772076</v>
      </c>
      <c r="O134" s="183">
        <v>1216322</v>
      </c>
      <c r="P134" s="184">
        <v>77.3095</v>
      </c>
      <c r="Q134" s="184">
        <v>59.241999999999997</v>
      </c>
      <c r="R134" s="185">
        <v>18.067499999999999</v>
      </c>
      <c r="S134" s="345">
        <f t="shared" ref="S134:AX134" si="168">SUM(S128:S133)</f>
        <v>0</v>
      </c>
      <c r="T134" s="183">
        <f t="shared" si="168"/>
        <v>0</v>
      </c>
      <c r="U134" s="183">
        <f t="shared" si="168"/>
        <v>0</v>
      </c>
      <c r="V134" s="183">
        <f t="shared" si="168"/>
        <v>0</v>
      </c>
      <c r="W134" s="183">
        <f t="shared" si="168"/>
        <v>0</v>
      </c>
      <c r="X134" s="183">
        <f t="shared" si="168"/>
        <v>0</v>
      </c>
      <c r="Y134" s="183">
        <f t="shared" si="168"/>
        <v>0</v>
      </c>
      <c r="Z134" s="183">
        <f t="shared" si="168"/>
        <v>0</v>
      </c>
      <c r="AA134" s="183">
        <f t="shared" si="168"/>
        <v>0</v>
      </c>
      <c r="AB134" s="345">
        <f t="shared" si="168"/>
        <v>0</v>
      </c>
      <c r="AC134" s="183">
        <f t="shared" si="168"/>
        <v>0</v>
      </c>
      <c r="AD134" s="183">
        <f t="shared" si="168"/>
        <v>0</v>
      </c>
      <c r="AE134" s="183">
        <f t="shared" si="168"/>
        <v>0</v>
      </c>
      <c r="AF134" s="183">
        <f t="shared" si="168"/>
        <v>0</v>
      </c>
      <c r="AG134" s="184">
        <f t="shared" si="168"/>
        <v>0</v>
      </c>
      <c r="AH134" s="184">
        <f t="shared" si="168"/>
        <v>0</v>
      </c>
      <c r="AI134" s="184">
        <f t="shared" si="168"/>
        <v>0</v>
      </c>
      <c r="AJ134" s="184">
        <f t="shared" si="168"/>
        <v>0</v>
      </c>
      <c r="AK134" s="184">
        <f t="shared" si="168"/>
        <v>0</v>
      </c>
      <c r="AL134" s="184">
        <f t="shared" si="168"/>
        <v>0</v>
      </c>
      <c r="AM134" s="184">
        <f t="shared" si="168"/>
        <v>0</v>
      </c>
      <c r="AN134" s="185">
        <f t="shared" si="168"/>
        <v>0</v>
      </c>
      <c r="AO134" s="345">
        <f t="shared" si="168"/>
        <v>54236864</v>
      </c>
      <c r="AP134" s="183">
        <f t="shared" si="168"/>
        <v>38603817</v>
      </c>
      <c r="AQ134" s="183">
        <f t="shared" si="168"/>
        <v>464740</v>
      </c>
      <c r="AR134" s="183">
        <f t="shared" si="168"/>
        <v>74740</v>
      </c>
      <c r="AS134" s="183">
        <f t="shared" si="168"/>
        <v>13179909</v>
      </c>
      <c r="AT134" s="183">
        <f t="shared" si="168"/>
        <v>772076</v>
      </c>
      <c r="AU134" s="183">
        <f t="shared" si="168"/>
        <v>1216322</v>
      </c>
      <c r="AV134" s="184">
        <f t="shared" si="168"/>
        <v>77.3095</v>
      </c>
      <c r="AW134" s="184">
        <f t="shared" si="168"/>
        <v>59.241999999999997</v>
      </c>
      <c r="AX134" s="185">
        <f t="shared" si="168"/>
        <v>18.067499999999999</v>
      </c>
    </row>
    <row r="135" spans="1:50" ht="14.1" customHeight="1" x14ac:dyDescent="0.2">
      <c r="A135" s="585">
        <v>33</v>
      </c>
      <c r="B135" s="586">
        <v>2479</v>
      </c>
      <c r="C135" s="587">
        <v>600080340</v>
      </c>
      <c r="D135" s="586">
        <v>65100280</v>
      </c>
      <c r="E135" s="588" t="s">
        <v>639</v>
      </c>
      <c r="F135" s="585">
        <v>3113</v>
      </c>
      <c r="G135" s="588" t="s">
        <v>320</v>
      </c>
      <c r="H135" s="589" t="s">
        <v>283</v>
      </c>
      <c r="I135" s="495">
        <v>33062741</v>
      </c>
      <c r="J135" s="411">
        <v>23311167</v>
      </c>
      <c r="K135" s="520">
        <v>112436</v>
      </c>
      <c r="L135" s="520">
        <v>82436</v>
      </c>
      <c r="M135" s="475">
        <v>7889314</v>
      </c>
      <c r="N135" s="496">
        <v>466224</v>
      </c>
      <c r="O135" s="411">
        <v>1283600</v>
      </c>
      <c r="P135" s="412">
        <v>44.271700000000003</v>
      </c>
      <c r="Q135" s="415">
        <v>34.606200000000001</v>
      </c>
      <c r="R135" s="685">
        <v>9.6654999999999998</v>
      </c>
      <c r="S135" s="499">
        <v>0</v>
      </c>
      <c r="T135" s="486">
        <v>0</v>
      </c>
      <c r="U135" s="486">
        <v>-55228</v>
      </c>
      <c r="V135" s="486">
        <f>SUM(S135:U135)</f>
        <v>-55228</v>
      </c>
      <c r="W135" s="486">
        <v>0</v>
      </c>
      <c r="X135" s="486">
        <v>0</v>
      </c>
      <c r="Y135" s="486">
        <f>SUM(W135:X135)</f>
        <v>0</v>
      </c>
      <c r="Z135" s="486">
        <f>V135+Y135</f>
        <v>-55228</v>
      </c>
      <c r="AA135" s="178">
        <f t="shared" si="84"/>
        <v>-18667</v>
      </c>
      <c r="AB135" s="745">
        <f>ROUND(V135*2%,0)</f>
        <v>-1105</v>
      </c>
      <c r="AC135" s="486">
        <v>0</v>
      </c>
      <c r="AD135" s="486">
        <v>75000</v>
      </c>
      <c r="AE135" s="486">
        <f t="shared" si="85"/>
        <v>75000</v>
      </c>
      <c r="AF135" s="486">
        <f t="shared" si="86"/>
        <v>0</v>
      </c>
      <c r="AG135" s="501">
        <v>0</v>
      </c>
      <c r="AH135" s="501">
        <v>0</v>
      </c>
      <c r="AI135" s="501">
        <v>0</v>
      </c>
      <c r="AJ135" s="501">
        <v>0</v>
      </c>
      <c r="AK135" s="501">
        <v>0</v>
      </c>
      <c r="AL135" s="501">
        <f t="shared" ref="AL135:AL139" si="169">AG135+AI135+AJ135</f>
        <v>0</v>
      </c>
      <c r="AM135" s="501">
        <f t="shared" ref="AM135:AM139" si="170">AH135+AK135</f>
        <v>0</v>
      </c>
      <c r="AN135" s="502">
        <f t="shared" si="89"/>
        <v>0</v>
      </c>
      <c r="AO135" s="499">
        <f>I135+AF135</f>
        <v>33062741</v>
      </c>
      <c r="AP135" s="486">
        <f>J135+V135</f>
        <v>23255939</v>
      </c>
      <c r="AQ135" s="486">
        <f>K135+Y135</f>
        <v>112436</v>
      </c>
      <c r="AR135" s="486">
        <f>L135</f>
        <v>82436</v>
      </c>
      <c r="AS135" s="486">
        <f t="shared" ref="AS135:AT139" si="171">M135+AA135</f>
        <v>7870647</v>
      </c>
      <c r="AT135" s="486">
        <f t="shared" si="171"/>
        <v>465119</v>
      </c>
      <c r="AU135" s="486">
        <f>O135+AE135</f>
        <v>1358600</v>
      </c>
      <c r="AV135" s="501">
        <f>P135+AN135</f>
        <v>44.271700000000003</v>
      </c>
      <c r="AW135" s="501">
        <f t="shared" ref="AW135:AX139" si="172">Q135+AL135</f>
        <v>34.606200000000001</v>
      </c>
      <c r="AX135" s="502">
        <f t="shared" si="172"/>
        <v>9.6654999999999998</v>
      </c>
    </row>
    <row r="136" spans="1:50" ht="14.1" customHeight="1" x14ac:dyDescent="0.2">
      <c r="A136" s="585">
        <v>33</v>
      </c>
      <c r="B136" s="586">
        <v>2479</v>
      </c>
      <c r="C136" s="587">
        <v>600080340</v>
      </c>
      <c r="D136" s="586">
        <v>65100280</v>
      </c>
      <c r="E136" s="588" t="s">
        <v>639</v>
      </c>
      <c r="F136" s="585">
        <v>3113</v>
      </c>
      <c r="G136" s="208" t="s">
        <v>318</v>
      </c>
      <c r="H136" s="589" t="s">
        <v>284</v>
      </c>
      <c r="I136" s="495">
        <v>3008812</v>
      </c>
      <c r="J136" s="496">
        <v>2190953</v>
      </c>
      <c r="K136" s="475">
        <v>0</v>
      </c>
      <c r="L136" s="475">
        <v>0</v>
      </c>
      <c r="M136" s="475">
        <v>740541</v>
      </c>
      <c r="N136" s="496">
        <v>43818</v>
      </c>
      <c r="O136" s="496">
        <v>33500</v>
      </c>
      <c r="P136" s="412">
        <v>6.32</v>
      </c>
      <c r="Q136" s="497">
        <v>6.32</v>
      </c>
      <c r="R136" s="498">
        <v>0</v>
      </c>
      <c r="S136" s="499">
        <v>0</v>
      </c>
      <c r="T136" s="486">
        <v>0</v>
      </c>
      <c r="U136" s="486">
        <v>0</v>
      </c>
      <c r="V136" s="486">
        <f>SUM(S136:U136)</f>
        <v>0</v>
      </c>
      <c r="W136" s="486">
        <v>0</v>
      </c>
      <c r="X136" s="486">
        <v>0</v>
      </c>
      <c r="Y136" s="486">
        <f>SUM(W136:X136)</f>
        <v>0</v>
      </c>
      <c r="Z136" s="486">
        <f>V136+Y136</f>
        <v>0</v>
      </c>
      <c r="AA136" s="178">
        <f t="shared" si="84"/>
        <v>0</v>
      </c>
      <c r="AB136" s="745">
        <f>ROUND(V136*2%,0)</f>
        <v>0</v>
      </c>
      <c r="AC136" s="486">
        <v>9000</v>
      </c>
      <c r="AD136" s="486">
        <v>0</v>
      </c>
      <c r="AE136" s="486">
        <f t="shared" si="85"/>
        <v>9000</v>
      </c>
      <c r="AF136" s="486">
        <f t="shared" si="86"/>
        <v>9000</v>
      </c>
      <c r="AG136" s="501">
        <v>0</v>
      </c>
      <c r="AH136" s="501">
        <v>0</v>
      </c>
      <c r="AI136" s="501">
        <v>0</v>
      </c>
      <c r="AJ136" s="501">
        <v>0</v>
      </c>
      <c r="AK136" s="501">
        <v>0</v>
      </c>
      <c r="AL136" s="501">
        <f t="shared" si="169"/>
        <v>0</v>
      </c>
      <c r="AM136" s="501">
        <f t="shared" si="170"/>
        <v>0</v>
      </c>
      <c r="AN136" s="502">
        <f t="shared" si="89"/>
        <v>0</v>
      </c>
      <c r="AO136" s="499">
        <f>I136+AF136</f>
        <v>3017812</v>
      </c>
      <c r="AP136" s="486">
        <f>J136+V136</f>
        <v>2190953</v>
      </c>
      <c r="AQ136" s="486">
        <f>K136+Y136</f>
        <v>0</v>
      </c>
      <c r="AR136" s="486">
        <f>L136</f>
        <v>0</v>
      </c>
      <c r="AS136" s="486">
        <f t="shared" si="171"/>
        <v>740541</v>
      </c>
      <c r="AT136" s="486">
        <f t="shared" si="171"/>
        <v>43818</v>
      </c>
      <c r="AU136" s="486">
        <f>O136+AE136</f>
        <v>42500</v>
      </c>
      <c r="AV136" s="501">
        <f>P136+AN136</f>
        <v>6.32</v>
      </c>
      <c r="AW136" s="501">
        <f t="shared" si="172"/>
        <v>6.32</v>
      </c>
      <c r="AX136" s="502">
        <f t="shared" si="172"/>
        <v>0</v>
      </c>
    </row>
    <row r="137" spans="1:50" ht="14.1" customHeight="1" x14ac:dyDescent="0.2">
      <c r="A137" s="585">
        <v>33</v>
      </c>
      <c r="B137" s="586">
        <v>2479</v>
      </c>
      <c r="C137" s="587">
        <v>600080340</v>
      </c>
      <c r="D137" s="586">
        <v>65100280</v>
      </c>
      <c r="E137" s="588" t="s">
        <v>639</v>
      </c>
      <c r="F137" s="585">
        <v>3141</v>
      </c>
      <c r="G137" s="588" t="s">
        <v>321</v>
      </c>
      <c r="H137" s="589" t="s">
        <v>284</v>
      </c>
      <c r="I137" s="495">
        <v>3098928</v>
      </c>
      <c r="J137" s="496">
        <v>2251395</v>
      </c>
      <c r="K137" s="475">
        <v>7200</v>
      </c>
      <c r="L137" s="475">
        <v>0</v>
      </c>
      <c r="M137" s="475">
        <v>763405</v>
      </c>
      <c r="N137" s="496">
        <v>45028</v>
      </c>
      <c r="O137" s="496">
        <v>31900</v>
      </c>
      <c r="P137" s="412">
        <v>7.69</v>
      </c>
      <c r="Q137" s="497">
        <v>0</v>
      </c>
      <c r="R137" s="498">
        <v>7.69</v>
      </c>
      <c r="S137" s="499">
        <v>0</v>
      </c>
      <c r="T137" s="486">
        <v>0</v>
      </c>
      <c r="U137" s="486">
        <v>0</v>
      </c>
      <c r="V137" s="486">
        <f>SUM(S137:U137)</f>
        <v>0</v>
      </c>
      <c r="W137" s="486">
        <v>0</v>
      </c>
      <c r="X137" s="486">
        <v>0</v>
      </c>
      <c r="Y137" s="486">
        <f>SUM(W137:X137)</f>
        <v>0</v>
      </c>
      <c r="Z137" s="486">
        <f>V137+Y137</f>
        <v>0</v>
      </c>
      <c r="AA137" s="178">
        <f t="shared" si="84"/>
        <v>0</v>
      </c>
      <c r="AB137" s="745">
        <f>ROUND(V137*2%,0)</f>
        <v>0</v>
      </c>
      <c r="AC137" s="486">
        <v>0</v>
      </c>
      <c r="AD137" s="486">
        <v>0</v>
      </c>
      <c r="AE137" s="486">
        <f t="shared" si="85"/>
        <v>0</v>
      </c>
      <c r="AF137" s="486">
        <f t="shared" si="86"/>
        <v>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si="169"/>
        <v>0</v>
      </c>
      <c r="AM137" s="501">
        <f t="shared" si="170"/>
        <v>0</v>
      </c>
      <c r="AN137" s="502">
        <f t="shared" si="89"/>
        <v>0</v>
      </c>
      <c r="AO137" s="499">
        <f>I137+AF137</f>
        <v>3098928</v>
      </c>
      <c r="AP137" s="486">
        <f>J137+V137</f>
        <v>2251395</v>
      </c>
      <c r="AQ137" s="486">
        <f>K137+Y137</f>
        <v>7200</v>
      </c>
      <c r="AR137" s="486">
        <f>L137</f>
        <v>0</v>
      </c>
      <c r="AS137" s="486">
        <f t="shared" si="171"/>
        <v>763405</v>
      </c>
      <c r="AT137" s="486">
        <f t="shared" si="171"/>
        <v>45028</v>
      </c>
      <c r="AU137" s="486">
        <f>O137+AE137</f>
        <v>31900</v>
      </c>
      <c r="AV137" s="501">
        <f>P137+AN137</f>
        <v>7.69</v>
      </c>
      <c r="AW137" s="501">
        <f t="shared" si="172"/>
        <v>0</v>
      </c>
      <c r="AX137" s="502">
        <f t="shared" si="172"/>
        <v>7.69</v>
      </c>
    </row>
    <row r="138" spans="1:50" ht="14.1" customHeight="1" x14ac:dyDescent="0.2">
      <c r="A138" s="585">
        <v>33</v>
      </c>
      <c r="B138" s="586">
        <v>2479</v>
      </c>
      <c r="C138" s="587">
        <v>600080340</v>
      </c>
      <c r="D138" s="586">
        <v>65100280</v>
      </c>
      <c r="E138" s="588" t="s">
        <v>639</v>
      </c>
      <c r="F138" s="585">
        <v>3143</v>
      </c>
      <c r="G138" s="208" t="s">
        <v>634</v>
      </c>
      <c r="H138" s="589" t="s">
        <v>283</v>
      </c>
      <c r="I138" s="495">
        <v>3944413</v>
      </c>
      <c r="J138" s="411">
        <v>2902605</v>
      </c>
      <c r="K138" s="520">
        <v>2000</v>
      </c>
      <c r="L138" s="520">
        <v>0</v>
      </c>
      <c r="M138" s="475">
        <v>981756</v>
      </c>
      <c r="N138" s="496">
        <v>58052</v>
      </c>
      <c r="O138" s="496">
        <v>0</v>
      </c>
      <c r="P138" s="412">
        <v>6.0820999999999996</v>
      </c>
      <c r="Q138" s="415">
        <v>6.0820999999999996</v>
      </c>
      <c r="R138" s="498">
        <v>0</v>
      </c>
      <c r="S138" s="499">
        <v>0</v>
      </c>
      <c r="T138" s="486">
        <v>0</v>
      </c>
      <c r="U138" s="486">
        <v>0</v>
      </c>
      <c r="V138" s="486">
        <f>SUM(S138:U138)</f>
        <v>0</v>
      </c>
      <c r="W138" s="486">
        <v>0</v>
      </c>
      <c r="X138" s="486">
        <v>0</v>
      </c>
      <c r="Y138" s="486">
        <f>SUM(W138:X138)</f>
        <v>0</v>
      </c>
      <c r="Z138" s="486">
        <f>V138+Y138</f>
        <v>0</v>
      </c>
      <c r="AA138" s="178">
        <f t="shared" si="84"/>
        <v>0</v>
      </c>
      <c r="AB138" s="745">
        <f>ROUND(V138*2%,0)</f>
        <v>0</v>
      </c>
      <c r="AC138" s="486">
        <v>0</v>
      </c>
      <c r="AD138" s="486">
        <v>0</v>
      </c>
      <c r="AE138" s="486">
        <f t="shared" si="85"/>
        <v>0</v>
      </c>
      <c r="AF138" s="486">
        <f t="shared" si="86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169"/>
        <v>0</v>
      </c>
      <c r="AM138" s="501">
        <f t="shared" si="170"/>
        <v>0</v>
      </c>
      <c r="AN138" s="502">
        <f t="shared" si="89"/>
        <v>0</v>
      </c>
      <c r="AO138" s="499">
        <f>I138+AF138</f>
        <v>3944413</v>
      </c>
      <c r="AP138" s="486">
        <f>J138+V138</f>
        <v>2902605</v>
      </c>
      <c r="AQ138" s="486">
        <f>K138+Y138</f>
        <v>2000</v>
      </c>
      <c r="AR138" s="486">
        <f>L138</f>
        <v>0</v>
      </c>
      <c r="AS138" s="486">
        <f t="shared" si="171"/>
        <v>981756</v>
      </c>
      <c r="AT138" s="486">
        <f t="shared" si="171"/>
        <v>58052</v>
      </c>
      <c r="AU138" s="486">
        <f>O138+AE138</f>
        <v>0</v>
      </c>
      <c r="AV138" s="501">
        <f>P138+AN138</f>
        <v>6.0820999999999996</v>
      </c>
      <c r="AW138" s="501">
        <f t="shared" si="172"/>
        <v>6.0820999999999996</v>
      </c>
      <c r="AX138" s="502">
        <f t="shared" si="172"/>
        <v>0</v>
      </c>
    </row>
    <row r="139" spans="1:50" ht="14.1" customHeight="1" x14ac:dyDescent="0.2">
      <c r="A139" s="585">
        <v>33</v>
      </c>
      <c r="B139" s="586">
        <v>2479</v>
      </c>
      <c r="C139" s="587">
        <v>600080340</v>
      </c>
      <c r="D139" s="586">
        <v>65100280</v>
      </c>
      <c r="E139" s="588" t="s">
        <v>639</v>
      </c>
      <c r="F139" s="585">
        <v>3143</v>
      </c>
      <c r="G139" s="208" t="s">
        <v>635</v>
      </c>
      <c r="H139" s="589" t="s">
        <v>284</v>
      </c>
      <c r="I139" s="495">
        <v>140442</v>
      </c>
      <c r="J139" s="496">
        <v>99000</v>
      </c>
      <c r="K139" s="475">
        <v>0</v>
      </c>
      <c r="L139" s="475">
        <v>0</v>
      </c>
      <c r="M139" s="475">
        <v>33462</v>
      </c>
      <c r="N139" s="496">
        <v>1980</v>
      </c>
      <c r="O139" s="496">
        <v>6000</v>
      </c>
      <c r="P139" s="412">
        <v>0.42</v>
      </c>
      <c r="Q139" s="497">
        <v>0</v>
      </c>
      <c r="R139" s="498">
        <v>0.42</v>
      </c>
      <c r="S139" s="499">
        <v>0</v>
      </c>
      <c r="T139" s="486">
        <v>0</v>
      </c>
      <c r="U139" s="486">
        <v>0</v>
      </c>
      <c r="V139" s="486">
        <f>SUM(S139:U139)</f>
        <v>0</v>
      </c>
      <c r="W139" s="486">
        <v>0</v>
      </c>
      <c r="X139" s="486">
        <v>0</v>
      </c>
      <c r="Y139" s="486">
        <f>SUM(W139:X139)</f>
        <v>0</v>
      </c>
      <c r="Z139" s="486">
        <f>V139+Y139</f>
        <v>0</v>
      </c>
      <c r="AA139" s="178">
        <f t="shared" si="84"/>
        <v>0</v>
      </c>
      <c r="AB139" s="745">
        <f>ROUND(V139*2%,0)</f>
        <v>0</v>
      </c>
      <c r="AC139" s="486">
        <v>0</v>
      </c>
      <c r="AD139" s="486">
        <v>0</v>
      </c>
      <c r="AE139" s="486">
        <f t="shared" si="85"/>
        <v>0</v>
      </c>
      <c r="AF139" s="486">
        <f t="shared" si="86"/>
        <v>0</v>
      </c>
      <c r="AG139" s="501">
        <v>0</v>
      </c>
      <c r="AH139" s="501">
        <v>0</v>
      </c>
      <c r="AI139" s="501">
        <v>0</v>
      </c>
      <c r="AJ139" s="501">
        <v>0</v>
      </c>
      <c r="AK139" s="501">
        <v>0</v>
      </c>
      <c r="AL139" s="501">
        <f t="shared" si="169"/>
        <v>0</v>
      </c>
      <c r="AM139" s="501">
        <f t="shared" si="170"/>
        <v>0</v>
      </c>
      <c r="AN139" s="502">
        <f t="shared" si="89"/>
        <v>0</v>
      </c>
      <c r="AO139" s="499">
        <f>I139+AF139</f>
        <v>140442</v>
      </c>
      <c r="AP139" s="486">
        <f>J139+V139</f>
        <v>99000</v>
      </c>
      <c r="AQ139" s="486">
        <f>K139+Y139</f>
        <v>0</v>
      </c>
      <c r="AR139" s="486">
        <f>L139</f>
        <v>0</v>
      </c>
      <c r="AS139" s="486">
        <f t="shared" si="171"/>
        <v>33462</v>
      </c>
      <c r="AT139" s="486">
        <f t="shared" si="171"/>
        <v>1980</v>
      </c>
      <c r="AU139" s="486">
        <f>O139+AE139</f>
        <v>6000</v>
      </c>
      <c r="AV139" s="501">
        <f>P139+AN139</f>
        <v>0.42</v>
      </c>
      <c r="AW139" s="501">
        <f t="shared" si="172"/>
        <v>0</v>
      </c>
      <c r="AX139" s="502">
        <f t="shared" si="172"/>
        <v>0.42</v>
      </c>
    </row>
    <row r="140" spans="1:50" ht="14.1" customHeight="1" x14ac:dyDescent="0.2">
      <c r="A140" s="181">
        <v>33</v>
      </c>
      <c r="B140" s="179">
        <v>2479</v>
      </c>
      <c r="C140" s="180">
        <v>600080340</v>
      </c>
      <c r="D140" s="179">
        <v>65100280</v>
      </c>
      <c r="E140" s="578" t="s">
        <v>640</v>
      </c>
      <c r="F140" s="181"/>
      <c r="G140" s="578"/>
      <c r="H140" s="579"/>
      <c r="I140" s="580">
        <v>43255336</v>
      </c>
      <c r="J140" s="581">
        <v>30755120</v>
      </c>
      <c r="K140" s="581">
        <v>121636</v>
      </c>
      <c r="L140" s="581">
        <v>82436</v>
      </c>
      <c r="M140" s="581">
        <v>10408478</v>
      </c>
      <c r="N140" s="581">
        <v>615102</v>
      </c>
      <c r="O140" s="581">
        <v>1355000</v>
      </c>
      <c r="P140" s="582">
        <v>64.783799999999999</v>
      </c>
      <c r="Q140" s="582">
        <v>47.008299999999998</v>
      </c>
      <c r="R140" s="584">
        <v>17.775500000000001</v>
      </c>
      <c r="S140" s="583">
        <f t="shared" ref="S140:AX140" si="173">SUM(S135:S139)</f>
        <v>0</v>
      </c>
      <c r="T140" s="581">
        <f t="shared" si="173"/>
        <v>0</v>
      </c>
      <c r="U140" s="581">
        <f t="shared" si="173"/>
        <v>-55228</v>
      </c>
      <c r="V140" s="581">
        <f t="shared" si="173"/>
        <v>-55228</v>
      </c>
      <c r="W140" s="581">
        <f t="shared" si="173"/>
        <v>0</v>
      </c>
      <c r="X140" s="581">
        <f t="shared" si="173"/>
        <v>0</v>
      </c>
      <c r="Y140" s="581">
        <f t="shared" si="173"/>
        <v>0</v>
      </c>
      <c r="Z140" s="581">
        <f t="shared" si="173"/>
        <v>-55228</v>
      </c>
      <c r="AA140" s="581">
        <f t="shared" si="173"/>
        <v>-18667</v>
      </c>
      <c r="AB140" s="583">
        <f t="shared" si="173"/>
        <v>-1105</v>
      </c>
      <c r="AC140" s="581">
        <f t="shared" si="173"/>
        <v>9000</v>
      </c>
      <c r="AD140" s="581">
        <f t="shared" si="173"/>
        <v>75000</v>
      </c>
      <c r="AE140" s="581">
        <f t="shared" si="173"/>
        <v>84000</v>
      </c>
      <c r="AF140" s="581">
        <f t="shared" si="173"/>
        <v>9000</v>
      </c>
      <c r="AG140" s="582">
        <f t="shared" si="173"/>
        <v>0</v>
      </c>
      <c r="AH140" s="582">
        <f t="shared" si="173"/>
        <v>0</v>
      </c>
      <c r="AI140" s="582">
        <f t="shared" si="173"/>
        <v>0</v>
      </c>
      <c r="AJ140" s="582">
        <f t="shared" si="173"/>
        <v>0</v>
      </c>
      <c r="AK140" s="582">
        <f t="shared" si="173"/>
        <v>0</v>
      </c>
      <c r="AL140" s="582">
        <f t="shared" si="173"/>
        <v>0</v>
      </c>
      <c r="AM140" s="582">
        <f t="shared" si="173"/>
        <v>0</v>
      </c>
      <c r="AN140" s="584">
        <f t="shared" si="173"/>
        <v>0</v>
      </c>
      <c r="AO140" s="583">
        <f t="shared" si="173"/>
        <v>43264336</v>
      </c>
      <c r="AP140" s="581">
        <f t="shared" si="173"/>
        <v>30699892</v>
      </c>
      <c r="AQ140" s="581">
        <f t="shared" si="173"/>
        <v>121636</v>
      </c>
      <c r="AR140" s="581">
        <f t="shared" si="173"/>
        <v>82436</v>
      </c>
      <c r="AS140" s="581">
        <f t="shared" si="173"/>
        <v>10389811</v>
      </c>
      <c r="AT140" s="581">
        <f t="shared" si="173"/>
        <v>613997</v>
      </c>
      <c r="AU140" s="581">
        <f t="shared" si="173"/>
        <v>1439000</v>
      </c>
      <c r="AV140" s="582">
        <f t="shared" si="173"/>
        <v>64.783799999999999</v>
      </c>
      <c r="AW140" s="582">
        <f t="shared" si="173"/>
        <v>47.008299999999998</v>
      </c>
      <c r="AX140" s="584">
        <f t="shared" si="173"/>
        <v>17.775500000000001</v>
      </c>
    </row>
    <row r="141" spans="1:50" ht="14.1" customHeight="1" x14ac:dyDescent="0.2">
      <c r="A141" s="585">
        <v>34</v>
      </c>
      <c r="B141" s="586">
        <v>2475</v>
      </c>
      <c r="C141" s="587">
        <v>600080331</v>
      </c>
      <c r="D141" s="586">
        <v>65642368</v>
      </c>
      <c r="E141" s="588" t="s">
        <v>641</v>
      </c>
      <c r="F141" s="585">
        <v>3113</v>
      </c>
      <c r="G141" s="588" t="s">
        <v>320</v>
      </c>
      <c r="H141" s="589" t="s">
        <v>283</v>
      </c>
      <c r="I141" s="495">
        <v>34492334</v>
      </c>
      <c r="J141" s="411">
        <v>24112109</v>
      </c>
      <c r="K141" s="520">
        <v>401210</v>
      </c>
      <c r="L141" s="520">
        <v>241210</v>
      </c>
      <c r="M141" s="475">
        <v>8203973</v>
      </c>
      <c r="N141" s="496">
        <v>482242</v>
      </c>
      <c r="O141" s="411">
        <v>1292800</v>
      </c>
      <c r="P141" s="412">
        <v>46.500400000000006</v>
      </c>
      <c r="Q141" s="415">
        <v>35.914600000000007</v>
      </c>
      <c r="R141" s="685">
        <v>10.585800000000003</v>
      </c>
      <c r="S141" s="499">
        <v>0</v>
      </c>
      <c r="T141" s="486">
        <v>0</v>
      </c>
      <c r="U141" s="486">
        <v>0</v>
      </c>
      <c r="V141" s="486">
        <f>SUM(S141:U141)</f>
        <v>0</v>
      </c>
      <c r="W141" s="486">
        <v>0</v>
      </c>
      <c r="X141" s="486">
        <v>0</v>
      </c>
      <c r="Y141" s="486">
        <f>SUM(W141:X141)</f>
        <v>0</v>
      </c>
      <c r="Z141" s="486">
        <f>V141+Y141</f>
        <v>0</v>
      </c>
      <c r="AA141" s="178">
        <f t="shared" si="84"/>
        <v>0</v>
      </c>
      <c r="AB141" s="745">
        <f>ROUND(V141*2%,0)</f>
        <v>0</v>
      </c>
      <c r="AC141" s="486">
        <v>0</v>
      </c>
      <c r="AD141" s="486">
        <v>0</v>
      </c>
      <c r="AE141" s="486">
        <f t="shared" si="85"/>
        <v>0</v>
      </c>
      <c r="AF141" s="486">
        <f t="shared" si="86"/>
        <v>0</v>
      </c>
      <c r="AG141" s="501">
        <v>0</v>
      </c>
      <c r="AH141" s="501">
        <v>0</v>
      </c>
      <c r="AI141" s="501">
        <v>0</v>
      </c>
      <c r="AJ141" s="501">
        <v>0</v>
      </c>
      <c r="AK141" s="501">
        <v>0</v>
      </c>
      <c r="AL141" s="501">
        <f t="shared" ref="AL141:AL145" si="174">AG141+AI141+AJ141</f>
        <v>0</v>
      </c>
      <c r="AM141" s="501">
        <f t="shared" ref="AM141:AM145" si="175">AH141+AK141</f>
        <v>0</v>
      </c>
      <c r="AN141" s="502">
        <f t="shared" si="89"/>
        <v>0</v>
      </c>
      <c r="AO141" s="499">
        <f>I141+AF141</f>
        <v>34492334</v>
      </c>
      <c r="AP141" s="486">
        <f>J141+V141</f>
        <v>24112109</v>
      </c>
      <c r="AQ141" s="486">
        <f>K141+Y141</f>
        <v>401210</v>
      </c>
      <c r="AR141" s="486">
        <f>L141</f>
        <v>241210</v>
      </c>
      <c r="AS141" s="486">
        <f t="shared" ref="AS141:AT145" si="176">M141+AA141</f>
        <v>8203973</v>
      </c>
      <c r="AT141" s="486">
        <f t="shared" si="176"/>
        <v>482242</v>
      </c>
      <c r="AU141" s="486">
        <f>O141+AE141</f>
        <v>1292800</v>
      </c>
      <c r="AV141" s="501">
        <f>P141+AN141</f>
        <v>46.500400000000006</v>
      </c>
      <c r="AW141" s="501">
        <f t="shared" ref="AW141:AX145" si="177">Q141+AL141</f>
        <v>35.914600000000007</v>
      </c>
      <c r="AX141" s="502">
        <f t="shared" si="177"/>
        <v>10.585800000000003</v>
      </c>
    </row>
    <row r="142" spans="1:50" ht="14.1" customHeight="1" x14ac:dyDescent="0.2">
      <c r="A142" s="585">
        <v>34</v>
      </c>
      <c r="B142" s="586">
        <v>2475</v>
      </c>
      <c r="C142" s="587">
        <v>600080331</v>
      </c>
      <c r="D142" s="586">
        <v>65642368</v>
      </c>
      <c r="E142" s="588" t="s">
        <v>641</v>
      </c>
      <c r="F142" s="585">
        <v>3113</v>
      </c>
      <c r="G142" s="208" t="s">
        <v>318</v>
      </c>
      <c r="H142" s="589" t="s">
        <v>284</v>
      </c>
      <c r="I142" s="495">
        <v>2232478</v>
      </c>
      <c r="J142" s="496">
        <v>1640632</v>
      </c>
      <c r="K142" s="475">
        <v>0</v>
      </c>
      <c r="L142" s="475">
        <v>0</v>
      </c>
      <c r="M142" s="475">
        <v>554534</v>
      </c>
      <c r="N142" s="496">
        <v>32812</v>
      </c>
      <c r="O142" s="496">
        <v>4500</v>
      </c>
      <c r="P142" s="412">
        <v>4.589999999999999</v>
      </c>
      <c r="Q142" s="497">
        <v>4.589999999999999</v>
      </c>
      <c r="R142" s="498">
        <v>0</v>
      </c>
      <c r="S142" s="499">
        <v>0</v>
      </c>
      <c r="T142" s="486">
        <v>0</v>
      </c>
      <c r="U142" s="486">
        <v>0</v>
      </c>
      <c r="V142" s="486">
        <f>SUM(S142:U142)</f>
        <v>0</v>
      </c>
      <c r="W142" s="486">
        <v>0</v>
      </c>
      <c r="X142" s="486">
        <v>0</v>
      </c>
      <c r="Y142" s="486">
        <f>SUM(W142:X142)</f>
        <v>0</v>
      </c>
      <c r="Z142" s="486">
        <f>V142+Y142</f>
        <v>0</v>
      </c>
      <c r="AA142" s="178">
        <f t="shared" ref="AA142:AA205" si="178">ROUND((V142+W142)*33.8%,0)</f>
        <v>0</v>
      </c>
      <c r="AB142" s="745">
        <f>ROUND(V142*2%,0)</f>
        <v>0</v>
      </c>
      <c r="AC142" s="486">
        <v>2750</v>
      </c>
      <c r="AD142" s="486">
        <v>0</v>
      </c>
      <c r="AE142" s="486">
        <f t="shared" si="85"/>
        <v>2750</v>
      </c>
      <c r="AF142" s="486">
        <f t="shared" si="86"/>
        <v>2750</v>
      </c>
      <c r="AG142" s="501">
        <v>0</v>
      </c>
      <c r="AH142" s="501">
        <v>0</v>
      </c>
      <c r="AI142" s="501">
        <v>0</v>
      </c>
      <c r="AJ142" s="501">
        <v>0</v>
      </c>
      <c r="AK142" s="501">
        <v>0</v>
      </c>
      <c r="AL142" s="501">
        <f t="shared" si="174"/>
        <v>0</v>
      </c>
      <c r="AM142" s="501">
        <f t="shared" si="175"/>
        <v>0</v>
      </c>
      <c r="AN142" s="502">
        <f t="shared" si="89"/>
        <v>0</v>
      </c>
      <c r="AO142" s="499">
        <f>I142+AF142</f>
        <v>2235228</v>
      </c>
      <c r="AP142" s="486">
        <f>J142+V142</f>
        <v>1640632</v>
      </c>
      <c r="AQ142" s="486">
        <f>K142+Y142</f>
        <v>0</v>
      </c>
      <c r="AR142" s="486">
        <f>L142</f>
        <v>0</v>
      </c>
      <c r="AS142" s="486">
        <f t="shared" si="176"/>
        <v>554534</v>
      </c>
      <c r="AT142" s="486">
        <f t="shared" si="176"/>
        <v>32812</v>
      </c>
      <c r="AU142" s="486">
        <f>O142+AE142</f>
        <v>7250</v>
      </c>
      <c r="AV142" s="501">
        <f>P142+AN142</f>
        <v>4.589999999999999</v>
      </c>
      <c r="AW142" s="501">
        <f t="shared" si="177"/>
        <v>4.589999999999999</v>
      </c>
      <c r="AX142" s="502">
        <f t="shared" si="177"/>
        <v>0</v>
      </c>
    </row>
    <row r="143" spans="1:50" ht="14.1" customHeight="1" x14ac:dyDescent="0.2">
      <c r="A143" s="585">
        <v>34</v>
      </c>
      <c r="B143" s="586">
        <v>2475</v>
      </c>
      <c r="C143" s="587">
        <v>600080331</v>
      </c>
      <c r="D143" s="586">
        <v>65642368</v>
      </c>
      <c r="E143" s="588" t="s">
        <v>642</v>
      </c>
      <c r="F143" s="585">
        <v>3141</v>
      </c>
      <c r="G143" s="588" t="s">
        <v>321</v>
      </c>
      <c r="H143" s="589" t="s">
        <v>284</v>
      </c>
      <c r="I143" s="495">
        <v>1330755</v>
      </c>
      <c r="J143" s="496">
        <v>944002</v>
      </c>
      <c r="K143" s="475">
        <v>20000</v>
      </c>
      <c r="L143" s="475">
        <v>0</v>
      </c>
      <c r="M143" s="475">
        <v>325833</v>
      </c>
      <c r="N143" s="496">
        <v>18880</v>
      </c>
      <c r="O143" s="496">
        <v>22040</v>
      </c>
      <c r="P143" s="412">
        <v>3.2699999999999996</v>
      </c>
      <c r="Q143" s="497">
        <v>0</v>
      </c>
      <c r="R143" s="498">
        <v>3.2699999999999996</v>
      </c>
      <c r="S143" s="499">
        <v>0</v>
      </c>
      <c r="T143" s="486">
        <v>0</v>
      </c>
      <c r="U143" s="486">
        <v>0</v>
      </c>
      <c r="V143" s="486">
        <f>SUM(S143:U143)</f>
        <v>0</v>
      </c>
      <c r="W143" s="486">
        <v>0</v>
      </c>
      <c r="X143" s="486">
        <v>0</v>
      </c>
      <c r="Y143" s="486">
        <f>SUM(W143:X143)</f>
        <v>0</v>
      </c>
      <c r="Z143" s="486">
        <f>V143+Y143</f>
        <v>0</v>
      </c>
      <c r="AA143" s="178">
        <f t="shared" si="178"/>
        <v>0</v>
      </c>
      <c r="AB143" s="745">
        <f>ROUND(V143*2%,0)</f>
        <v>0</v>
      </c>
      <c r="AC143" s="486">
        <v>0</v>
      </c>
      <c r="AD143" s="486">
        <v>0</v>
      </c>
      <c r="AE143" s="486">
        <f t="shared" ref="AE143:AE207" si="179">SUM(AC143:AD143)</f>
        <v>0</v>
      </c>
      <c r="AF143" s="486">
        <f t="shared" ref="AF143:AF207" si="180">Z143+AA143+AB143+AE143</f>
        <v>0</v>
      </c>
      <c r="AG143" s="501">
        <v>0</v>
      </c>
      <c r="AH143" s="501">
        <v>0</v>
      </c>
      <c r="AI143" s="501">
        <v>0</v>
      </c>
      <c r="AJ143" s="501">
        <v>0</v>
      </c>
      <c r="AK143" s="501">
        <v>0</v>
      </c>
      <c r="AL143" s="501">
        <f t="shared" si="174"/>
        <v>0</v>
      </c>
      <c r="AM143" s="501">
        <f t="shared" si="175"/>
        <v>0</v>
      </c>
      <c r="AN143" s="502">
        <f t="shared" ref="AN143:AN207" si="181">SUM(AL143:AM143)</f>
        <v>0</v>
      </c>
      <c r="AO143" s="499">
        <f>I143+AF143</f>
        <v>1330755</v>
      </c>
      <c r="AP143" s="486">
        <f>J143+V143</f>
        <v>944002</v>
      </c>
      <c r="AQ143" s="486">
        <f>K143+Y143</f>
        <v>20000</v>
      </c>
      <c r="AR143" s="486">
        <f>L143</f>
        <v>0</v>
      </c>
      <c r="AS143" s="486">
        <f t="shared" si="176"/>
        <v>325833</v>
      </c>
      <c r="AT143" s="486">
        <f t="shared" si="176"/>
        <v>18880</v>
      </c>
      <c r="AU143" s="486">
        <f>O143+AE143</f>
        <v>22040</v>
      </c>
      <c r="AV143" s="501">
        <f>P143+AN143</f>
        <v>3.2699999999999996</v>
      </c>
      <c r="AW143" s="501">
        <f t="shared" si="177"/>
        <v>0</v>
      </c>
      <c r="AX143" s="502">
        <f t="shared" si="177"/>
        <v>3.2699999999999996</v>
      </c>
    </row>
    <row r="144" spans="1:50" ht="14.1" customHeight="1" x14ac:dyDescent="0.2">
      <c r="A144" s="585">
        <v>34</v>
      </c>
      <c r="B144" s="586">
        <v>2475</v>
      </c>
      <c r="C144" s="587">
        <v>600080331</v>
      </c>
      <c r="D144" s="586">
        <v>65642368</v>
      </c>
      <c r="E144" s="588" t="s">
        <v>641</v>
      </c>
      <c r="F144" s="585">
        <v>3143</v>
      </c>
      <c r="G144" s="208" t="s">
        <v>634</v>
      </c>
      <c r="H144" s="589" t="s">
        <v>283</v>
      </c>
      <c r="I144" s="495">
        <v>3864087</v>
      </c>
      <c r="J144" s="411">
        <v>2806014</v>
      </c>
      <c r="K144" s="520">
        <v>40000</v>
      </c>
      <c r="L144" s="520">
        <v>0</v>
      </c>
      <c r="M144" s="475">
        <v>961953</v>
      </c>
      <c r="N144" s="496">
        <v>56120</v>
      </c>
      <c r="O144" s="496">
        <v>0</v>
      </c>
      <c r="P144" s="412">
        <v>6.1360000000000001</v>
      </c>
      <c r="Q144" s="415">
        <v>6.1360000000000001</v>
      </c>
      <c r="R144" s="498">
        <v>0</v>
      </c>
      <c r="S144" s="499">
        <v>0</v>
      </c>
      <c r="T144" s="486">
        <v>0</v>
      </c>
      <c r="U144" s="486">
        <v>0</v>
      </c>
      <c r="V144" s="486">
        <f>SUM(S144:U144)</f>
        <v>0</v>
      </c>
      <c r="W144" s="486">
        <v>0</v>
      </c>
      <c r="X144" s="486">
        <v>0</v>
      </c>
      <c r="Y144" s="486">
        <f>SUM(W144:X144)</f>
        <v>0</v>
      </c>
      <c r="Z144" s="486">
        <f>V144+Y144</f>
        <v>0</v>
      </c>
      <c r="AA144" s="178">
        <f t="shared" si="178"/>
        <v>0</v>
      </c>
      <c r="AB144" s="745">
        <f>ROUND(V144*2%,0)</f>
        <v>0</v>
      </c>
      <c r="AC144" s="486">
        <v>0</v>
      </c>
      <c r="AD144" s="486">
        <v>0</v>
      </c>
      <c r="AE144" s="486">
        <f t="shared" si="179"/>
        <v>0</v>
      </c>
      <c r="AF144" s="486">
        <f t="shared" si="180"/>
        <v>0</v>
      </c>
      <c r="AG144" s="501">
        <v>0</v>
      </c>
      <c r="AH144" s="501">
        <v>0</v>
      </c>
      <c r="AI144" s="501">
        <v>0</v>
      </c>
      <c r="AJ144" s="501">
        <v>0</v>
      </c>
      <c r="AK144" s="501">
        <v>0</v>
      </c>
      <c r="AL144" s="501">
        <f t="shared" si="174"/>
        <v>0</v>
      </c>
      <c r="AM144" s="501">
        <f t="shared" si="175"/>
        <v>0</v>
      </c>
      <c r="AN144" s="502">
        <f t="shared" si="181"/>
        <v>0</v>
      </c>
      <c r="AO144" s="499">
        <f>I144+AF144</f>
        <v>3864087</v>
      </c>
      <c r="AP144" s="486">
        <f>J144+V144</f>
        <v>2806014</v>
      </c>
      <c r="AQ144" s="486">
        <f>K144+Y144</f>
        <v>40000</v>
      </c>
      <c r="AR144" s="486">
        <f>L144</f>
        <v>0</v>
      </c>
      <c r="AS144" s="486">
        <f t="shared" si="176"/>
        <v>961953</v>
      </c>
      <c r="AT144" s="486">
        <f t="shared" si="176"/>
        <v>56120</v>
      </c>
      <c r="AU144" s="486">
        <f>O144+AE144</f>
        <v>0</v>
      </c>
      <c r="AV144" s="501">
        <f>P144+AN144</f>
        <v>6.1360000000000001</v>
      </c>
      <c r="AW144" s="501">
        <f t="shared" si="177"/>
        <v>6.1360000000000001</v>
      </c>
      <c r="AX144" s="502">
        <f t="shared" si="177"/>
        <v>0</v>
      </c>
    </row>
    <row r="145" spans="1:50" ht="14.1" customHeight="1" x14ac:dyDescent="0.2">
      <c r="A145" s="585">
        <v>34</v>
      </c>
      <c r="B145" s="586">
        <v>2475</v>
      </c>
      <c r="C145" s="587">
        <v>600080331</v>
      </c>
      <c r="D145" s="586">
        <v>65642368</v>
      </c>
      <c r="E145" s="588" t="s">
        <v>641</v>
      </c>
      <c r="F145" s="585">
        <v>3143</v>
      </c>
      <c r="G145" s="208" t="s">
        <v>635</v>
      </c>
      <c r="H145" s="589" t="s">
        <v>284</v>
      </c>
      <c r="I145" s="495">
        <v>124291</v>
      </c>
      <c r="J145" s="496">
        <v>87615</v>
      </c>
      <c r="K145" s="475">
        <v>0</v>
      </c>
      <c r="L145" s="475">
        <v>0</v>
      </c>
      <c r="M145" s="475">
        <v>29614</v>
      </c>
      <c r="N145" s="496">
        <v>1752</v>
      </c>
      <c r="O145" s="496">
        <v>5310</v>
      </c>
      <c r="P145" s="412">
        <v>0.37</v>
      </c>
      <c r="Q145" s="497">
        <v>0</v>
      </c>
      <c r="R145" s="498">
        <v>0.37</v>
      </c>
      <c r="S145" s="499">
        <v>0</v>
      </c>
      <c r="T145" s="486">
        <v>0</v>
      </c>
      <c r="U145" s="486">
        <v>0</v>
      </c>
      <c r="V145" s="486">
        <f>SUM(S145:U145)</f>
        <v>0</v>
      </c>
      <c r="W145" s="486">
        <v>0</v>
      </c>
      <c r="X145" s="486">
        <v>0</v>
      </c>
      <c r="Y145" s="486">
        <f>SUM(W145:X145)</f>
        <v>0</v>
      </c>
      <c r="Z145" s="486">
        <f>V145+Y145</f>
        <v>0</v>
      </c>
      <c r="AA145" s="178">
        <f t="shared" si="178"/>
        <v>0</v>
      </c>
      <c r="AB145" s="745">
        <f>ROUND(V145*2%,0)</f>
        <v>0</v>
      </c>
      <c r="AC145" s="486">
        <v>0</v>
      </c>
      <c r="AD145" s="486">
        <v>0</v>
      </c>
      <c r="AE145" s="486">
        <f t="shared" si="179"/>
        <v>0</v>
      </c>
      <c r="AF145" s="486">
        <f t="shared" si="180"/>
        <v>0</v>
      </c>
      <c r="AG145" s="501">
        <v>0</v>
      </c>
      <c r="AH145" s="501">
        <v>0</v>
      </c>
      <c r="AI145" s="501">
        <v>0</v>
      </c>
      <c r="AJ145" s="501">
        <v>0</v>
      </c>
      <c r="AK145" s="501">
        <v>0</v>
      </c>
      <c r="AL145" s="501">
        <f t="shared" si="174"/>
        <v>0</v>
      </c>
      <c r="AM145" s="501">
        <f t="shared" si="175"/>
        <v>0</v>
      </c>
      <c r="AN145" s="502">
        <f t="shared" si="181"/>
        <v>0</v>
      </c>
      <c r="AO145" s="499">
        <f>I145+AF145</f>
        <v>124291</v>
      </c>
      <c r="AP145" s="486">
        <f>J145+V145</f>
        <v>87615</v>
      </c>
      <c r="AQ145" s="486">
        <f>K145+Y145</f>
        <v>0</v>
      </c>
      <c r="AR145" s="486">
        <f>L145</f>
        <v>0</v>
      </c>
      <c r="AS145" s="486">
        <f t="shared" si="176"/>
        <v>29614</v>
      </c>
      <c r="AT145" s="486">
        <f t="shared" si="176"/>
        <v>1752</v>
      </c>
      <c r="AU145" s="486">
        <f>O145+AE145</f>
        <v>5310</v>
      </c>
      <c r="AV145" s="501">
        <f>P145+AN145</f>
        <v>0.37</v>
      </c>
      <c r="AW145" s="501">
        <f t="shared" si="177"/>
        <v>0</v>
      </c>
      <c r="AX145" s="502">
        <f t="shared" si="177"/>
        <v>0.37</v>
      </c>
    </row>
    <row r="146" spans="1:50" ht="14.1" customHeight="1" x14ac:dyDescent="0.2">
      <c r="A146" s="181">
        <v>34</v>
      </c>
      <c r="B146" s="179">
        <v>2475</v>
      </c>
      <c r="C146" s="180">
        <v>600080331</v>
      </c>
      <c r="D146" s="179">
        <v>65642368</v>
      </c>
      <c r="E146" s="578" t="s">
        <v>643</v>
      </c>
      <c r="F146" s="181"/>
      <c r="G146" s="578"/>
      <c r="H146" s="579"/>
      <c r="I146" s="580">
        <v>42043945</v>
      </c>
      <c r="J146" s="581">
        <v>29590372</v>
      </c>
      <c r="K146" s="581">
        <v>461210</v>
      </c>
      <c r="L146" s="581">
        <v>241210</v>
      </c>
      <c r="M146" s="581">
        <v>10075907</v>
      </c>
      <c r="N146" s="581">
        <v>591806</v>
      </c>
      <c r="O146" s="581">
        <v>1324650</v>
      </c>
      <c r="P146" s="582">
        <v>60.866399999999999</v>
      </c>
      <c r="Q146" s="582">
        <v>46.640600000000006</v>
      </c>
      <c r="R146" s="584">
        <v>14.225800000000001</v>
      </c>
      <c r="S146" s="583">
        <f t="shared" ref="S146:AX146" si="182">SUM(S141:S145)</f>
        <v>0</v>
      </c>
      <c r="T146" s="581">
        <f t="shared" si="182"/>
        <v>0</v>
      </c>
      <c r="U146" s="581">
        <f t="shared" si="182"/>
        <v>0</v>
      </c>
      <c r="V146" s="581">
        <f t="shared" si="182"/>
        <v>0</v>
      </c>
      <c r="W146" s="581">
        <f t="shared" si="182"/>
        <v>0</v>
      </c>
      <c r="X146" s="581">
        <f t="shared" si="182"/>
        <v>0</v>
      </c>
      <c r="Y146" s="581">
        <f t="shared" si="182"/>
        <v>0</v>
      </c>
      <c r="Z146" s="581">
        <f t="shared" si="182"/>
        <v>0</v>
      </c>
      <c r="AA146" s="581">
        <f t="shared" si="182"/>
        <v>0</v>
      </c>
      <c r="AB146" s="583">
        <f t="shared" si="182"/>
        <v>0</v>
      </c>
      <c r="AC146" s="581">
        <f t="shared" si="182"/>
        <v>2750</v>
      </c>
      <c r="AD146" s="581">
        <f t="shared" si="182"/>
        <v>0</v>
      </c>
      <c r="AE146" s="581">
        <f t="shared" si="182"/>
        <v>2750</v>
      </c>
      <c r="AF146" s="581">
        <f t="shared" si="182"/>
        <v>2750</v>
      </c>
      <c r="AG146" s="582">
        <f t="shared" si="182"/>
        <v>0</v>
      </c>
      <c r="AH146" s="582">
        <f t="shared" si="182"/>
        <v>0</v>
      </c>
      <c r="AI146" s="582">
        <f t="shared" si="182"/>
        <v>0</v>
      </c>
      <c r="AJ146" s="582">
        <f t="shared" si="182"/>
        <v>0</v>
      </c>
      <c r="AK146" s="582">
        <f t="shared" si="182"/>
        <v>0</v>
      </c>
      <c r="AL146" s="582">
        <f t="shared" si="182"/>
        <v>0</v>
      </c>
      <c r="AM146" s="582">
        <f t="shared" si="182"/>
        <v>0</v>
      </c>
      <c r="AN146" s="584">
        <f t="shared" si="182"/>
        <v>0</v>
      </c>
      <c r="AO146" s="583">
        <f t="shared" si="182"/>
        <v>42046695</v>
      </c>
      <c r="AP146" s="581">
        <f t="shared" si="182"/>
        <v>29590372</v>
      </c>
      <c r="AQ146" s="581">
        <f t="shared" si="182"/>
        <v>461210</v>
      </c>
      <c r="AR146" s="581">
        <f t="shared" si="182"/>
        <v>241210</v>
      </c>
      <c r="AS146" s="581">
        <f t="shared" si="182"/>
        <v>10075907</v>
      </c>
      <c r="AT146" s="581">
        <f t="shared" si="182"/>
        <v>591806</v>
      </c>
      <c r="AU146" s="581">
        <f t="shared" si="182"/>
        <v>1327400</v>
      </c>
      <c r="AV146" s="582">
        <f t="shared" si="182"/>
        <v>60.866399999999999</v>
      </c>
      <c r="AW146" s="582">
        <f t="shared" si="182"/>
        <v>46.640600000000006</v>
      </c>
      <c r="AX146" s="584">
        <f t="shared" si="182"/>
        <v>14.225800000000001</v>
      </c>
    </row>
    <row r="147" spans="1:50" ht="14.1" customHeight="1" x14ac:dyDescent="0.2">
      <c r="A147" s="585">
        <v>35</v>
      </c>
      <c r="B147" s="586">
        <v>2476</v>
      </c>
      <c r="C147" s="587">
        <v>600080170</v>
      </c>
      <c r="D147" s="586">
        <v>64040364</v>
      </c>
      <c r="E147" s="588" t="s">
        <v>644</v>
      </c>
      <c r="F147" s="585">
        <v>3113</v>
      </c>
      <c r="G147" s="588" t="s">
        <v>320</v>
      </c>
      <c r="H147" s="589" t="s">
        <v>283</v>
      </c>
      <c r="I147" s="495">
        <v>33947738</v>
      </c>
      <c r="J147" s="411">
        <v>23697646</v>
      </c>
      <c r="K147" s="520">
        <v>340095</v>
      </c>
      <c r="L147" s="520">
        <v>260095</v>
      </c>
      <c r="M147" s="475">
        <v>8036844</v>
      </c>
      <c r="N147" s="496">
        <v>473953</v>
      </c>
      <c r="O147" s="411">
        <v>1399200</v>
      </c>
      <c r="P147" s="412">
        <v>46.415500000000002</v>
      </c>
      <c r="Q147" s="415">
        <v>35.5</v>
      </c>
      <c r="R147" s="685">
        <v>10.9155</v>
      </c>
      <c r="S147" s="499">
        <v>0</v>
      </c>
      <c r="T147" s="486">
        <v>0</v>
      </c>
      <c r="U147" s="486">
        <v>0</v>
      </c>
      <c r="V147" s="486">
        <f>SUM(S147:U147)</f>
        <v>0</v>
      </c>
      <c r="W147" s="486">
        <v>0</v>
      </c>
      <c r="X147" s="486">
        <v>0</v>
      </c>
      <c r="Y147" s="486">
        <f>SUM(W147:X147)</f>
        <v>0</v>
      </c>
      <c r="Z147" s="486">
        <f>V147+Y147</f>
        <v>0</v>
      </c>
      <c r="AA147" s="178">
        <f t="shared" si="178"/>
        <v>0</v>
      </c>
      <c r="AB147" s="745">
        <f>ROUND(V147*2%,0)</f>
        <v>0</v>
      </c>
      <c r="AC147" s="486">
        <v>0</v>
      </c>
      <c r="AD147" s="486">
        <v>0</v>
      </c>
      <c r="AE147" s="486">
        <f t="shared" si="179"/>
        <v>0</v>
      </c>
      <c r="AF147" s="486">
        <f t="shared" si="180"/>
        <v>0</v>
      </c>
      <c r="AG147" s="501">
        <v>0</v>
      </c>
      <c r="AH147" s="501">
        <v>0</v>
      </c>
      <c r="AI147" s="501">
        <v>0</v>
      </c>
      <c r="AJ147" s="501">
        <v>0</v>
      </c>
      <c r="AK147" s="501">
        <v>0</v>
      </c>
      <c r="AL147" s="501">
        <f t="shared" ref="AL147:AL151" si="183">AG147+AI147+AJ147</f>
        <v>0</v>
      </c>
      <c r="AM147" s="501">
        <f t="shared" ref="AM147:AM151" si="184">AH147+AK147</f>
        <v>0</v>
      </c>
      <c r="AN147" s="502">
        <f t="shared" si="181"/>
        <v>0</v>
      </c>
      <c r="AO147" s="499">
        <f>I147+AF147</f>
        <v>33947738</v>
      </c>
      <c r="AP147" s="486">
        <f>J147+V147</f>
        <v>23697646</v>
      </c>
      <c r="AQ147" s="486">
        <f>K147+Y147</f>
        <v>340095</v>
      </c>
      <c r="AR147" s="486">
        <f>L147</f>
        <v>260095</v>
      </c>
      <c r="AS147" s="486">
        <f t="shared" ref="AS147:AT151" si="185">M147+AA147</f>
        <v>8036844</v>
      </c>
      <c r="AT147" s="486">
        <f t="shared" si="185"/>
        <v>473953</v>
      </c>
      <c r="AU147" s="486">
        <f>O147+AE147</f>
        <v>1399200</v>
      </c>
      <c r="AV147" s="501">
        <f>P147+AN147</f>
        <v>46.415500000000002</v>
      </c>
      <c r="AW147" s="501">
        <f t="shared" ref="AW147:AX151" si="186">Q147+AL147</f>
        <v>35.5</v>
      </c>
      <c r="AX147" s="502">
        <f t="shared" si="186"/>
        <v>10.9155</v>
      </c>
    </row>
    <row r="148" spans="1:50" ht="14.1" customHeight="1" x14ac:dyDescent="0.2">
      <c r="A148" s="585">
        <v>35</v>
      </c>
      <c r="B148" s="586">
        <v>2476</v>
      </c>
      <c r="C148" s="587">
        <v>600080170</v>
      </c>
      <c r="D148" s="586">
        <v>64040364</v>
      </c>
      <c r="E148" s="588" t="s">
        <v>644</v>
      </c>
      <c r="F148" s="585">
        <v>3113</v>
      </c>
      <c r="G148" s="208" t="s">
        <v>318</v>
      </c>
      <c r="H148" s="589" t="s">
        <v>284</v>
      </c>
      <c r="I148" s="495">
        <v>5325941</v>
      </c>
      <c r="J148" s="496">
        <v>3911591</v>
      </c>
      <c r="K148" s="475">
        <v>0</v>
      </c>
      <c r="L148" s="475">
        <v>0</v>
      </c>
      <c r="M148" s="475">
        <v>1322118</v>
      </c>
      <c r="N148" s="496">
        <v>78232</v>
      </c>
      <c r="O148" s="496">
        <v>14000</v>
      </c>
      <c r="P148" s="412">
        <v>11.679999999999998</v>
      </c>
      <c r="Q148" s="497">
        <v>11.679999999999998</v>
      </c>
      <c r="R148" s="498">
        <v>0</v>
      </c>
      <c r="S148" s="499">
        <v>0</v>
      </c>
      <c r="T148" s="486">
        <v>0</v>
      </c>
      <c r="U148" s="486">
        <v>0</v>
      </c>
      <c r="V148" s="486">
        <f>SUM(S148:U148)</f>
        <v>0</v>
      </c>
      <c r="W148" s="486">
        <v>0</v>
      </c>
      <c r="X148" s="486">
        <v>0</v>
      </c>
      <c r="Y148" s="486">
        <f>SUM(W148:X148)</f>
        <v>0</v>
      </c>
      <c r="Z148" s="486">
        <f>V148+Y148</f>
        <v>0</v>
      </c>
      <c r="AA148" s="178">
        <f t="shared" si="178"/>
        <v>0</v>
      </c>
      <c r="AB148" s="745">
        <f>ROUND(V148*2%,0)</f>
        <v>0</v>
      </c>
      <c r="AC148" s="486">
        <v>0</v>
      </c>
      <c r="AD148" s="486">
        <v>0</v>
      </c>
      <c r="AE148" s="486">
        <f t="shared" si="179"/>
        <v>0</v>
      </c>
      <c r="AF148" s="486">
        <f t="shared" si="180"/>
        <v>0</v>
      </c>
      <c r="AG148" s="501">
        <v>0</v>
      </c>
      <c r="AH148" s="501">
        <v>0</v>
      </c>
      <c r="AI148" s="501">
        <v>0</v>
      </c>
      <c r="AJ148" s="501">
        <v>0</v>
      </c>
      <c r="AK148" s="501">
        <v>0</v>
      </c>
      <c r="AL148" s="501">
        <f t="shared" si="183"/>
        <v>0</v>
      </c>
      <c r="AM148" s="501">
        <f t="shared" si="184"/>
        <v>0</v>
      </c>
      <c r="AN148" s="502">
        <f t="shared" si="181"/>
        <v>0</v>
      </c>
      <c r="AO148" s="499">
        <f>I148+AF148</f>
        <v>5325941</v>
      </c>
      <c r="AP148" s="486">
        <f>J148+V148</f>
        <v>3911591</v>
      </c>
      <c r="AQ148" s="486">
        <f>K148+Y148</f>
        <v>0</v>
      </c>
      <c r="AR148" s="486">
        <f>L148</f>
        <v>0</v>
      </c>
      <c r="AS148" s="486">
        <f t="shared" si="185"/>
        <v>1322118</v>
      </c>
      <c r="AT148" s="486">
        <f t="shared" si="185"/>
        <v>78232</v>
      </c>
      <c r="AU148" s="486">
        <f>O148+AE148</f>
        <v>14000</v>
      </c>
      <c r="AV148" s="501">
        <f>P148+AN148</f>
        <v>11.679999999999998</v>
      </c>
      <c r="AW148" s="501">
        <f t="shared" si="186"/>
        <v>11.679999999999998</v>
      </c>
      <c r="AX148" s="502">
        <f t="shared" si="186"/>
        <v>0</v>
      </c>
    </row>
    <row r="149" spans="1:50" ht="14.1" customHeight="1" x14ac:dyDescent="0.2">
      <c r="A149" s="585">
        <v>35</v>
      </c>
      <c r="B149" s="586">
        <v>2476</v>
      </c>
      <c r="C149" s="587">
        <v>600080170</v>
      </c>
      <c r="D149" s="586">
        <v>64040364</v>
      </c>
      <c r="E149" s="588" t="s">
        <v>644</v>
      </c>
      <c r="F149" s="585">
        <v>3141</v>
      </c>
      <c r="G149" s="588" t="s">
        <v>321</v>
      </c>
      <c r="H149" s="589" t="s">
        <v>284</v>
      </c>
      <c r="I149" s="495">
        <v>3213808</v>
      </c>
      <c r="J149" s="496">
        <v>2343553</v>
      </c>
      <c r="K149" s="475">
        <v>0</v>
      </c>
      <c r="L149" s="475">
        <v>0</v>
      </c>
      <c r="M149" s="475">
        <v>792121</v>
      </c>
      <c r="N149" s="496">
        <v>46872</v>
      </c>
      <c r="O149" s="496">
        <v>31262</v>
      </c>
      <c r="P149" s="412">
        <v>7.98</v>
      </c>
      <c r="Q149" s="497">
        <v>0</v>
      </c>
      <c r="R149" s="498">
        <v>7.98</v>
      </c>
      <c r="S149" s="499">
        <v>0</v>
      </c>
      <c r="T149" s="486">
        <v>0</v>
      </c>
      <c r="U149" s="486">
        <v>0</v>
      </c>
      <c r="V149" s="486">
        <f>SUM(S149:U149)</f>
        <v>0</v>
      </c>
      <c r="W149" s="486">
        <v>0</v>
      </c>
      <c r="X149" s="486">
        <v>0</v>
      </c>
      <c r="Y149" s="486">
        <f>SUM(W149:X149)</f>
        <v>0</v>
      </c>
      <c r="Z149" s="486">
        <f>V149+Y149</f>
        <v>0</v>
      </c>
      <c r="AA149" s="178">
        <f t="shared" si="178"/>
        <v>0</v>
      </c>
      <c r="AB149" s="745">
        <f>ROUND(V149*2%,0)</f>
        <v>0</v>
      </c>
      <c r="AC149" s="486">
        <v>0</v>
      </c>
      <c r="AD149" s="486">
        <v>0</v>
      </c>
      <c r="AE149" s="486">
        <f t="shared" si="179"/>
        <v>0</v>
      </c>
      <c r="AF149" s="486">
        <f t="shared" si="180"/>
        <v>0</v>
      </c>
      <c r="AG149" s="501">
        <v>0</v>
      </c>
      <c r="AH149" s="501">
        <v>0</v>
      </c>
      <c r="AI149" s="501">
        <v>0</v>
      </c>
      <c r="AJ149" s="501">
        <v>0</v>
      </c>
      <c r="AK149" s="501">
        <v>0</v>
      </c>
      <c r="AL149" s="501">
        <f t="shared" si="183"/>
        <v>0</v>
      </c>
      <c r="AM149" s="501">
        <f t="shared" si="184"/>
        <v>0</v>
      </c>
      <c r="AN149" s="502">
        <f t="shared" si="181"/>
        <v>0</v>
      </c>
      <c r="AO149" s="499">
        <f>I149+AF149</f>
        <v>3213808</v>
      </c>
      <c r="AP149" s="486">
        <f>J149+V149</f>
        <v>2343553</v>
      </c>
      <c r="AQ149" s="486">
        <f>K149+Y149</f>
        <v>0</v>
      </c>
      <c r="AR149" s="486">
        <f>L149</f>
        <v>0</v>
      </c>
      <c r="AS149" s="486">
        <f t="shared" si="185"/>
        <v>792121</v>
      </c>
      <c r="AT149" s="486">
        <f t="shared" si="185"/>
        <v>46872</v>
      </c>
      <c r="AU149" s="486">
        <f>O149+AE149</f>
        <v>31262</v>
      </c>
      <c r="AV149" s="501">
        <f>P149+AN149</f>
        <v>7.98</v>
      </c>
      <c r="AW149" s="501">
        <f t="shared" si="186"/>
        <v>0</v>
      </c>
      <c r="AX149" s="502">
        <f t="shared" si="186"/>
        <v>7.98</v>
      </c>
    </row>
    <row r="150" spans="1:50" ht="14.1" customHeight="1" x14ac:dyDescent="0.2">
      <c r="A150" s="585">
        <v>35</v>
      </c>
      <c r="B150" s="586">
        <v>2476</v>
      </c>
      <c r="C150" s="587">
        <v>600080170</v>
      </c>
      <c r="D150" s="586">
        <v>64040364</v>
      </c>
      <c r="E150" s="588" t="s">
        <v>644</v>
      </c>
      <c r="F150" s="585">
        <v>3143</v>
      </c>
      <c r="G150" s="208" t="s">
        <v>634</v>
      </c>
      <c r="H150" s="589" t="s">
        <v>283</v>
      </c>
      <c r="I150" s="495">
        <v>3967098</v>
      </c>
      <c r="J150" s="411">
        <v>2881869</v>
      </c>
      <c r="K150" s="520">
        <v>40000</v>
      </c>
      <c r="L150" s="520">
        <v>0</v>
      </c>
      <c r="M150" s="475">
        <v>987592</v>
      </c>
      <c r="N150" s="496">
        <v>57637</v>
      </c>
      <c r="O150" s="496">
        <v>0</v>
      </c>
      <c r="P150" s="412">
        <v>6.0369999999999999</v>
      </c>
      <c r="Q150" s="415">
        <v>6.0369999999999999</v>
      </c>
      <c r="R150" s="498">
        <v>0</v>
      </c>
      <c r="S150" s="499">
        <v>0</v>
      </c>
      <c r="T150" s="486">
        <v>0</v>
      </c>
      <c r="U150" s="486">
        <v>0</v>
      </c>
      <c r="V150" s="486">
        <f>SUM(S150:U150)</f>
        <v>0</v>
      </c>
      <c r="W150" s="486">
        <v>0</v>
      </c>
      <c r="X150" s="486">
        <v>0</v>
      </c>
      <c r="Y150" s="486">
        <f>SUM(W150:X150)</f>
        <v>0</v>
      </c>
      <c r="Z150" s="486">
        <f>V150+Y150</f>
        <v>0</v>
      </c>
      <c r="AA150" s="178">
        <f t="shared" si="178"/>
        <v>0</v>
      </c>
      <c r="AB150" s="745">
        <f>ROUND(V150*2%,0)</f>
        <v>0</v>
      </c>
      <c r="AC150" s="486">
        <v>0</v>
      </c>
      <c r="AD150" s="486">
        <v>0</v>
      </c>
      <c r="AE150" s="486">
        <f t="shared" si="179"/>
        <v>0</v>
      </c>
      <c r="AF150" s="486">
        <f t="shared" si="180"/>
        <v>0</v>
      </c>
      <c r="AG150" s="501">
        <v>0</v>
      </c>
      <c r="AH150" s="501">
        <v>0</v>
      </c>
      <c r="AI150" s="501">
        <v>0</v>
      </c>
      <c r="AJ150" s="501">
        <v>0</v>
      </c>
      <c r="AK150" s="501">
        <v>0</v>
      </c>
      <c r="AL150" s="501">
        <f t="shared" si="183"/>
        <v>0</v>
      </c>
      <c r="AM150" s="501">
        <f t="shared" si="184"/>
        <v>0</v>
      </c>
      <c r="AN150" s="502">
        <f t="shared" si="181"/>
        <v>0</v>
      </c>
      <c r="AO150" s="499">
        <f>I150+AF150</f>
        <v>3967098</v>
      </c>
      <c r="AP150" s="486">
        <f>J150+V150</f>
        <v>2881869</v>
      </c>
      <c r="AQ150" s="486">
        <f>K150+Y150</f>
        <v>40000</v>
      </c>
      <c r="AR150" s="486">
        <f>L150</f>
        <v>0</v>
      </c>
      <c r="AS150" s="486">
        <f t="shared" si="185"/>
        <v>987592</v>
      </c>
      <c r="AT150" s="486">
        <f t="shared" si="185"/>
        <v>57637</v>
      </c>
      <c r="AU150" s="486">
        <f>O150+AE150</f>
        <v>0</v>
      </c>
      <c r="AV150" s="501">
        <f>P150+AN150</f>
        <v>6.0369999999999999</v>
      </c>
      <c r="AW150" s="501">
        <f t="shared" si="186"/>
        <v>6.0369999999999999</v>
      </c>
      <c r="AX150" s="502">
        <f t="shared" si="186"/>
        <v>0</v>
      </c>
    </row>
    <row r="151" spans="1:50" ht="14.1" customHeight="1" x14ac:dyDescent="0.2">
      <c r="A151" s="585">
        <v>35</v>
      </c>
      <c r="B151" s="586">
        <v>2476</v>
      </c>
      <c r="C151" s="587">
        <v>600080170</v>
      </c>
      <c r="D151" s="586">
        <v>64040364</v>
      </c>
      <c r="E151" s="588" t="s">
        <v>644</v>
      </c>
      <c r="F151" s="585">
        <v>3143</v>
      </c>
      <c r="G151" s="208" t="s">
        <v>635</v>
      </c>
      <c r="H151" s="589" t="s">
        <v>284</v>
      </c>
      <c r="I151" s="495">
        <v>147464</v>
      </c>
      <c r="J151" s="496">
        <v>103950</v>
      </c>
      <c r="K151" s="475">
        <v>0</v>
      </c>
      <c r="L151" s="475">
        <v>0</v>
      </c>
      <c r="M151" s="475">
        <v>35135</v>
      </c>
      <c r="N151" s="496">
        <v>2079</v>
      </c>
      <c r="O151" s="496">
        <v>6300</v>
      </c>
      <c r="P151" s="412">
        <v>0.44</v>
      </c>
      <c r="Q151" s="497">
        <v>0</v>
      </c>
      <c r="R151" s="498">
        <v>0.44</v>
      </c>
      <c r="S151" s="499">
        <v>0</v>
      </c>
      <c r="T151" s="486">
        <v>0</v>
      </c>
      <c r="U151" s="486">
        <v>0</v>
      </c>
      <c r="V151" s="486">
        <f>SUM(S151:U151)</f>
        <v>0</v>
      </c>
      <c r="W151" s="486">
        <v>0</v>
      </c>
      <c r="X151" s="486">
        <v>0</v>
      </c>
      <c r="Y151" s="486">
        <f>SUM(W151:X151)</f>
        <v>0</v>
      </c>
      <c r="Z151" s="486">
        <f>V151+Y151</f>
        <v>0</v>
      </c>
      <c r="AA151" s="178">
        <f t="shared" si="178"/>
        <v>0</v>
      </c>
      <c r="AB151" s="745">
        <f>ROUND(V151*2%,0)</f>
        <v>0</v>
      </c>
      <c r="AC151" s="486">
        <v>0</v>
      </c>
      <c r="AD151" s="486">
        <v>0</v>
      </c>
      <c r="AE151" s="486">
        <f t="shared" si="179"/>
        <v>0</v>
      </c>
      <c r="AF151" s="486">
        <f t="shared" si="180"/>
        <v>0</v>
      </c>
      <c r="AG151" s="501">
        <v>0</v>
      </c>
      <c r="AH151" s="501">
        <v>0</v>
      </c>
      <c r="AI151" s="501">
        <v>0</v>
      </c>
      <c r="AJ151" s="501">
        <v>0</v>
      </c>
      <c r="AK151" s="501">
        <v>0</v>
      </c>
      <c r="AL151" s="501">
        <f t="shared" si="183"/>
        <v>0</v>
      </c>
      <c r="AM151" s="501">
        <f t="shared" si="184"/>
        <v>0</v>
      </c>
      <c r="AN151" s="502">
        <f t="shared" si="181"/>
        <v>0</v>
      </c>
      <c r="AO151" s="499">
        <f>I151+AF151</f>
        <v>147464</v>
      </c>
      <c r="AP151" s="486">
        <f>J151+V151</f>
        <v>103950</v>
      </c>
      <c r="AQ151" s="486">
        <f>K151+Y151</f>
        <v>0</v>
      </c>
      <c r="AR151" s="486">
        <f>L151</f>
        <v>0</v>
      </c>
      <c r="AS151" s="486">
        <f t="shared" si="185"/>
        <v>35135</v>
      </c>
      <c r="AT151" s="486">
        <f t="shared" si="185"/>
        <v>2079</v>
      </c>
      <c r="AU151" s="486">
        <f>O151+AE151</f>
        <v>6300</v>
      </c>
      <c r="AV151" s="501">
        <f>P151+AN151</f>
        <v>0.44</v>
      </c>
      <c r="AW151" s="501">
        <f t="shared" si="186"/>
        <v>0</v>
      </c>
      <c r="AX151" s="502">
        <f t="shared" si="186"/>
        <v>0.44</v>
      </c>
    </row>
    <row r="152" spans="1:50" ht="14.1" customHeight="1" x14ac:dyDescent="0.2">
      <c r="A152" s="181">
        <v>35</v>
      </c>
      <c r="B152" s="179">
        <v>2476</v>
      </c>
      <c r="C152" s="180">
        <v>600080170</v>
      </c>
      <c r="D152" s="179">
        <v>64040364</v>
      </c>
      <c r="E152" s="578" t="s">
        <v>645</v>
      </c>
      <c r="F152" s="181"/>
      <c r="G152" s="578"/>
      <c r="H152" s="579"/>
      <c r="I152" s="580">
        <v>46602049</v>
      </c>
      <c r="J152" s="581">
        <v>32938609</v>
      </c>
      <c r="K152" s="581">
        <v>380095</v>
      </c>
      <c r="L152" s="581">
        <v>260095</v>
      </c>
      <c r="M152" s="581">
        <v>11173810</v>
      </c>
      <c r="N152" s="581">
        <v>658773</v>
      </c>
      <c r="O152" s="581">
        <v>1450762</v>
      </c>
      <c r="P152" s="582">
        <v>72.552500000000009</v>
      </c>
      <c r="Q152" s="582">
        <v>53.216999999999999</v>
      </c>
      <c r="R152" s="584">
        <v>19.3355</v>
      </c>
      <c r="S152" s="583">
        <f t="shared" ref="S152:AX152" si="187">SUM(S147:S151)</f>
        <v>0</v>
      </c>
      <c r="T152" s="581">
        <f t="shared" si="187"/>
        <v>0</v>
      </c>
      <c r="U152" s="581">
        <f t="shared" si="187"/>
        <v>0</v>
      </c>
      <c r="V152" s="581">
        <f t="shared" si="187"/>
        <v>0</v>
      </c>
      <c r="W152" s="581">
        <f t="shared" si="187"/>
        <v>0</v>
      </c>
      <c r="X152" s="581">
        <f t="shared" si="187"/>
        <v>0</v>
      </c>
      <c r="Y152" s="581">
        <f t="shared" si="187"/>
        <v>0</v>
      </c>
      <c r="Z152" s="581">
        <f t="shared" si="187"/>
        <v>0</v>
      </c>
      <c r="AA152" s="581">
        <f t="shared" si="187"/>
        <v>0</v>
      </c>
      <c r="AB152" s="583">
        <f t="shared" si="187"/>
        <v>0</v>
      </c>
      <c r="AC152" s="581">
        <f t="shared" si="187"/>
        <v>0</v>
      </c>
      <c r="AD152" s="581">
        <f t="shared" si="187"/>
        <v>0</v>
      </c>
      <c r="AE152" s="581">
        <f t="shared" si="187"/>
        <v>0</v>
      </c>
      <c r="AF152" s="581">
        <f t="shared" si="187"/>
        <v>0</v>
      </c>
      <c r="AG152" s="582">
        <f t="shared" si="187"/>
        <v>0</v>
      </c>
      <c r="AH152" s="582">
        <f t="shared" si="187"/>
        <v>0</v>
      </c>
      <c r="AI152" s="582">
        <f t="shared" si="187"/>
        <v>0</v>
      </c>
      <c r="AJ152" s="582">
        <f t="shared" si="187"/>
        <v>0</v>
      </c>
      <c r="AK152" s="582">
        <f t="shared" si="187"/>
        <v>0</v>
      </c>
      <c r="AL152" s="582">
        <f t="shared" si="187"/>
        <v>0</v>
      </c>
      <c r="AM152" s="582">
        <f t="shared" si="187"/>
        <v>0</v>
      </c>
      <c r="AN152" s="584">
        <f t="shared" si="187"/>
        <v>0</v>
      </c>
      <c r="AO152" s="583">
        <f t="shared" si="187"/>
        <v>46602049</v>
      </c>
      <c r="AP152" s="581">
        <f t="shared" si="187"/>
        <v>32938609</v>
      </c>
      <c r="AQ152" s="581">
        <f t="shared" si="187"/>
        <v>380095</v>
      </c>
      <c r="AR152" s="581">
        <f t="shared" si="187"/>
        <v>260095</v>
      </c>
      <c r="AS152" s="581">
        <f t="shared" si="187"/>
        <v>11173810</v>
      </c>
      <c r="AT152" s="581">
        <f t="shared" si="187"/>
        <v>658773</v>
      </c>
      <c r="AU152" s="581">
        <f t="shared" si="187"/>
        <v>1450762</v>
      </c>
      <c r="AV152" s="582">
        <f t="shared" si="187"/>
        <v>72.552500000000009</v>
      </c>
      <c r="AW152" s="582">
        <f t="shared" si="187"/>
        <v>53.216999999999999</v>
      </c>
      <c r="AX152" s="584">
        <f t="shared" si="187"/>
        <v>19.3355</v>
      </c>
    </row>
    <row r="153" spans="1:50" ht="14.1" customHeight="1" x14ac:dyDescent="0.2">
      <c r="A153" s="585">
        <v>36</v>
      </c>
      <c r="B153" s="586">
        <v>2477</v>
      </c>
      <c r="C153" s="587">
        <v>600079872</v>
      </c>
      <c r="D153" s="586">
        <v>68975147</v>
      </c>
      <c r="E153" s="588" t="s">
        <v>646</v>
      </c>
      <c r="F153" s="585">
        <v>3113</v>
      </c>
      <c r="G153" s="588" t="s">
        <v>320</v>
      </c>
      <c r="H153" s="589" t="s">
        <v>283</v>
      </c>
      <c r="I153" s="495">
        <v>42172149</v>
      </c>
      <c r="J153" s="411">
        <v>29665492</v>
      </c>
      <c r="K153" s="520">
        <v>329719</v>
      </c>
      <c r="L153" s="520">
        <v>295719</v>
      </c>
      <c r="M153" s="475">
        <v>10038428</v>
      </c>
      <c r="N153" s="496">
        <v>593310</v>
      </c>
      <c r="O153" s="411">
        <v>1545200</v>
      </c>
      <c r="P153" s="412">
        <v>55.735299999999995</v>
      </c>
      <c r="Q153" s="415">
        <v>44.649699999999996</v>
      </c>
      <c r="R153" s="685">
        <v>11.085599999999999</v>
      </c>
      <c r="S153" s="499">
        <v>0</v>
      </c>
      <c r="T153" s="486">
        <v>0</v>
      </c>
      <c r="U153" s="486">
        <v>0</v>
      </c>
      <c r="V153" s="486">
        <f>SUM(S153:U153)</f>
        <v>0</v>
      </c>
      <c r="W153" s="486">
        <v>0</v>
      </c>
      <c r="X153" s="486">
        <v>0</v>
      </c>
      <c r="Y153" s="486">
        <f>SUM(W153:X153)</f>
        <v>0</v>
      </c>
      <c r="Z153" s="486">
        <f>V153+Y153</f>
        <v>0</v>
      </c>
      <c r="AA153" s="178">
        <f t="shared" si="178"/>
        <v>0</v>
      </c>
      <c r="AB153" s="745">
        <f>ROUND(V153*2%,0)</f>
        <v>0</v>
      </c>
      <c r="AC153" s="486">
        <v>0</v>
      </c>
      <c r="AD153" s="486">
        <v>0</v>
      </c>
      <c r="AE153" s="486">
        <f t="shared" si="179"/>
        <v>0</v>
      </c>
      <c r="AF153" s="486">
        <f t="shared" si="180"/>
        <v>0</v>
      </c>
      <c r="AG153" s="501">
        <v>0</v>
      </c>
      <c r="AH153" s="501">
        <v>0</v>
      </c>
      <c r="AI153" s="501">
        <v>0</v>
      </c>
      <c r="AJ153" s="501">
        <v>0</v>
      </c>
      <c r="AK153" s="501">
        <v>0</v>
      </c>
      <c r="AL153" s="501">
        <f t="shared" ref="AL153:AL156" si="188">AG153+AI153+AJ153</f>
        <v>0</v>
      </c>
      <c r="AM153" s="501">
        <f t="shared" ref="AM153:AM156" si="189">AH153+AK153</f>
        <v>0</v>
      </c>
      <c r="AN153" s="502">
        <f t="shared" si="181"/>
        <v>0</v>
      </c>
      <c r="AO153" s="499">
        <f>I153+AF153</f>
        <v>42172149</v>
      </c>
      <c r="AP153" s="486">
        <f>J153+V153</f>
        <v>29665492</v>
      </c>
      <c r="AQ153" s="486">
        <f>K153+Y153</f>
        <v>329719</v>
      </c>
      <c r="AR153" s="486">
        <f>L153</f>
        <v>295719</v>
      </c>
      <c r="AS153" s="486">
        <f t="shared" ref="AS153:AT156" si="190">M153+AA153</f>
        <v>10038428</v>
      </c>
      <c r="AT153" s="486">
        <f t="shared" si="190"/>
        <v>593310</v>
      </c>
      <c r="AU153" s="486">
        <f>O153+AE153</f>
        <v>1545200</v>
      </c>
      <c r="AV153" s="501">
        <f>P153+AN153</f>
        <v>55.735299999999995</v>
      </c>
      <c r="AW153" s="501">
        <f t="shared" ref="AW153:AX156" si="191">Q153+AL153</f>
        <v>44.649699999999996</v>
      </c>
      <c r="AX153" s="502">
        <f t="shared" si="191"/>
        <v>11.085599999999999</v>
      </c>
    </row>
    <row r="154" spans="1:50" ht="14.1" customHeight="1" x14ac:dyDescent="0.2">
      <c r="A154" s="585">
        <v>36</v>
      </c>
      <c r="B154" s="586">
        <v>2477</v>
      </c>
      <c r="C154" s="587">
        <v>600079872</v>
      </c>
      <c r="D154" s="586">
        <v>68975147</v>
      </c>
      <c r="E154" s="588" t="s">
        <v>646</v>
      </c>
      <c r="F154" s="585">
        <v>3113</v>
      </c>
      <c r="G154" s="208" t="s">
        <v>318</v>
      </c>
      <c r="H154" s="589" t="s">
        <v>284</v>
      </c>
      <c r="I154" s="495">
        <v>1973648</v>
      </c>
      <c r="J154" s="496">
        <v>1451139</v>
      </c>
      <c r="K154" s="475">
        <v>0</v>
      </c>
      <c r="L154" s="475">
        <v>0</v>
      </c>
      <c r="M154" s="475">
        <v>490486</v>
      </c>
      <c r="N154" s="496">
        <v>29023</v>
      </c>
      <c r="O154" s="496">
        <v>3000</v>
      </c>
      <c r="P154" s="412">
        <v>4.1700000000000008</v>
      </c>
      <c r="Q154" s="497">
        <v>4.1700000000000008</v>
      </c>
      <c r="R154" s="498">
        <v>0</v>
      </c>
      <c r="S154" s="499">
        <v>0</v>
      </c>
      <c r="T154" s="486">
        <v>0</v>
      </c>
      <c r="U154" s="486">
        <v>0</v>
      </c>
      <c r="V154" s="486">
        <f>SUM(S154:U154)</f>
        <v>0</v>
      </c>
      <c r="W154" s="486">
        <v>0</v>
      </c>
      <c r="X154" s="486">
        <v>0</v>
      </c>
      <c r="Y154" s="486">
        <f>SUM(W154:X154)</f>
        <v>0</v>
      </c>
      <c r="Z154" s="486">
        <f>V154+Y154</f>
        <v>0</v>
      </c>
      <c r="AA154" s="178">
        <f t="shared" si="178"/>
        <v>0</v>
      </c>
      <c r="AB154" s="745">
        <f>ROUND(V154*2%,0)</f>
        <v>0</v>
      </c>
      <c r="AC154" s="486">
        <v>3750</v>
      </c>
      <c r="AD154" s="486">
        <v>0</v>
      </c>
      <c r="AE154" s="486">
        <f t="shared" si="179"/>
        <v>3750</v>
      </c>
      <c r="AF154" s="486">
        <f t="shared" si="180"/>
        <v>3750</v>
      </c>
      <c r="AG154" s="501">
        <v>0</v>
      </c>
      <c r="AH154" s="501">
        <v>0</v>
      </c>
      <c r="AI154" s="501">
        <v>0</v>
      </c>
      <c r="AJ154" s="501">
        <v>0</v>
      </c>
      <c r="AK154" s="501">
        <v>0</v>
      </c>
      <c r="AL154" s="501">
        <f t="shared" si="188"/>
        <v>0</v>
      </c>
      <c r="AM154" s="501">
        <f t="shared" si="189"/>
        <v>0</v>
      </c>
      <c r="AN154" s="502">
        <f t="shared" si="181"/>
        <v>0</v>
      </c>
      <c r="AO154" s="499">
        <f>I154+AF154</f>
        <v>1977398</v>
      </c>
      <c r="AP154" s="486">
        <f>J154+V154</f>
        <v>1451139</v>
      </c>
      <c r="AQ154" s="486">
        <f>K154+Y154</f>
        <v>0</v>
      </c>
      <c r="AR154" s="486">
        <f>L154</f>
        <v>0</v>
      </c>
      <c r="AS154" s="486">
        <f t="shared" si="190"/>
        <v>490486</v>
      </c>
      <c r="AT154" s="486">
        <f t="shared" si="190"/>
        <v>29023</v>
      </c>
      <c r="AU154" s="486">
        <f>O154+AE154</f>
        <v>6750</v>
      </c>
      <c r="AV154" s="501">
        <f>P154+AN154</f>
        <v>4.1700000000000008</v>
      </c>
      <c r="AW154" s="501">
        <f t="shared" si="191"/>
        <v>4.1700000000000008</v>
      </c>
      <c r="AX154" s="502">
        <f t="shared" si="191"/>
        <v>0</v>
      </c>
    </row>
    <row r="155" spans="1:50" ht="14.1" customHeight="1" x14ac:dyDescent="0.2">
      <c r="A155" s="585">
        <v>36</v>
      </c>
      <c r="B155" s="586">
        <v>2477</v>
      </c>
      <c r="C155" s="587">
        <v>600079872</v>
      </c>
      <c r="D155" s="586">
        <v>68975147</v>
      </c>
      <c r="E155" s="588" t="s">
        <v>646</v>
      </c>
      <c r="F155" s="585">
        <v>3143</v>
      </c>
      <c r="G155" s="208" t="s">
        <v>634</v>
      </c>
      <c r="H155" s="589" t="s">
        <v>283</v>
      </c>
      <c r="I155" s="495">
        <v>3971835</v>
      </c>
      <c r="J155" s="411">
        <v>2924768</v>
      </c>
      <c r="K155" s="520">
        <v>0</v>
      </c>
      <c r="L155" s="520">
        <v>0</v>
      </c>
      <c r="M155" s="475">
        <v>988572</v>
      </c>
      <c r="N155" s="496">
        <v>58495</v>
      </c>
      <c r="O155" s="496">
        <v>0</v>
      </c>
      <c r="P155" s="412">
        <v>6.1429</v>
      </c>
      <c r="Q155" s="415">
        <v>6.1429</v>
      </c>
      <c r="R155" s="498">
        <v>0</v>
      </c>
      <c r="S155" s="499">
        <v>0</v>
      </c>
      <c r="T155" s="486">
        <v>0</v>
      </c>
      <c r="U155" s="486">
        <v>0</v>
      </c>
      <c r="V155" s="486">
        <f>SUM(S155:U155)</f>
        <v>0</v>
      </c>
      <c r="W155" s="486">
        <v>0</v>
      </c>
      <c r="X155" s="486">
        <v>0</v>
      </c>
      <c r="Y155" s="486">
        <f>SUM(W155:X155)</f>
        <v>0</v>
      </c>
      <c r="Z155" s="486">
        <f>V155+Y155</f>
        <v>0</v>
      </c>
      <c r="AA155" s="178">
        <f t="shared" si="178"/>
        <v>0</v>
      </c>
      <c r="AB155" s="745">
        <f>ROUND(V155*2%,0)</f>
        <v>0</v>
      </c>
      <c r="AC155" s="486">
        <v>0</v>
      </c>
      <c r="AD155" s="486">
        <v>0</v>
      </c>
      <c r="AE155" s="486">
        <f t="shared" si="179"/>
        <v>0</v>
      </c>
      <c r="AF155" s="486">
        <f t="shared" si="180"/>
        <v>0</v>
      </c>
      <c r="AG155" s="501">
        <v>0</v>
      </c>
      <c r="AH155" s="501">
        <v>0</v>
      </c>
      <c r="AI155" s="501">
        <v>0</v>
      </c>
      <c r="AJ155" s="501">
        <v>0</v>
      </c>
      <c r="AK155" s="501">
        <v>0</v>
      </c>
      <c r="AL155" s="501">
        <f t="shared" si="188"/>
        <v>0</v>
      </c>
      <c r="AM155" s="501">
        <f t="shared" si="189"/>
        <v>0</v>
      </c>
      <c r="AN155" s="502">
        <f t="shared" si="181"/>
        <v>0</v>
      </c>
      <c r="AO155" s="499">
        <f>I155+AF155</f>
        <v>3971835</v>
      </c>
      <c r="AP155" s="486">
        <f>J155+V155</f>
        <v>2924768</v>
      </c>
      <c r="AQ155" s="486">
        <f>K155+Y155</f>
        <v>0</v>
      </c>
      <c r="AR155" s="486">
        <f>L155</f>
        <v>0</v>
      </c>
      <c r="AS155" s="486">
        <f t="shared" si="190"/>
        <v>988572</v>
      </c>
      <c r="AT155" s="486">
        <f t="shared" si="190"/>
        <v>58495</v>
      </c>
      <c r="AU155" s="486">
        <f>O155+AE155</f>
        <v>0</v>
      </c>
      <c r="AV155" s="501">
        <f>P155+AN155</f>
        <v>6.1429</v>
      </c>
      <c r="AW155" s="501">
        <f t="shared" si="191"/>
        <v>6.1429</v>
      </c>
      <c r="AX155" s="502">
        <f t="shared" si="191"/>
        <v>0</v>
      </c>
    </row>
    <row r="156" spans="1:50" ht="14.1" customHeight="1" x14ac:dyDescent="0.2">
      <c r="A156" s="585">
        <v>36</v>
      </c>
      <c r="B156" s="586">
        <v>2477</v>
      </c>
      <c r="C156" s="587">
        <v>600079872</v>
      </c>
      <c r="D156" s="586">
        <v>68975147</v>
      </c>
      <c r="E156" s="588" t="s">
        <v>646</v>
      </c>
      <c r="F156" s="585">
        <v>3143</v>
      </c>
      <c r="G156" s="208" t="s">
        <v>635</v>
      </c>
      <c r="H156" s="589" t="s">
        <v>284</v>
      </c>
      <c r="I156" s="495">
        <v>125695</v>
      </c>
      <c r="J156" s="496">
        <v>88605</v>
      </c>
      <c r="K156" s="475">
        <v>0</v>
      </c>
      <c r="L156" s="475">
        <v>0</v>
      </c>
      <c r="M156" s="475">
        <v>29948</v>
      </c>
      <c r="N156" s="496">
        <v>1772</v>
      </c>
      <c r="O156" s="496">
        <v>5370</v>
      </c>
      <c r="P156" s="412">
        <v>0.37</v>
      </c>
      <c r="Q156" s="497">
        <v>0</v>
      </c>
      <c r="R156" s="498">
        <v>0.37</v>
      </c>
      <c r="S156" s="499">
        <v>0</v>
      </c>
      <c r="T156" s="486">
        <v>0</v>
      </c>
      <c r="U156" s="486">
        <v>0</v>
      </c>
      <c r="V156" s="486">
        <f>SUM(S156:U156)</f>
        <v>0</v>
      </c>
      <c r="W156" s="486">
        <v>0</v>
      </c>
      <c r="X156" s="486">
        <v>0</v>
      </c>
      <c r="Y156" s="486">
        <f>SUM(W156:X156)</f>
        <v>0</v>
      </c>
      <c r="Z156" s="486">
        <f>V156+Y156</f>
        <v>0</v>
      </c>
      <c r="AA156" s="178">
        <f t="shared" si="178"/>
        <v>0</v>
      </c>
      <c r="AB156" s="745">
        <f>ROUND(V156*2%,0)</f>
        <v>0</v>
      </c>
      <c r="AC156" s="486">
        <v>0</v>
      </c>
      <c r="AD156" s="486">
        <v>0</v>
      </c>
      <c r="AE156" s="486">
        <f t="shared" si="179"/>
        <v>0</v>
      </c>
      <c r="AF156" s="486">
        <f t="shared" si="180"/>
        <v>0</v>
      </c>
      <c r="AG156" s="501">
        <v>0</v>
      </c>
      <c r="AH156" s="501">
        <v>0</v>
      </c>
      <c r="AI156" s="501">
        <v>0</v>
      </c>
      <c r="AJ156" s="501">
        <v>0</v>
      </c>
      <c r="AK156" s="501">
        <v>0</v>
      </c>
      <c r="AL156" s="501">
        <f t="shared" si="188"/>
        <v>0</v>
      </c>
      <c r="AM156" s="501">
        <f t="shared" si="189"/>
        <v>0</v>
      </c>
      <c r="AN156" s="502">
        <f t="shared" si="181"/>
        <v>0</v>
      </c>
      <c r="AO156" s="499">
        <f>I156+AF156</f>
        <v>125695</v>
      </c>
      <c r="AP156" s="486">
        <f>J156+V156</f>
        <v>88605</v>
      </c>
      <c r="AQ156" s="486">
        <f>K156+Y156</f>
        <v>0</v>
      </c>
      <c r="AR156" s="486">
        <f>L156</f>
        <v>0</v>
      </c>
      <c r="AS156" s="486">
        <f t="shared" si="190"/>
        <v>29948</v>
      </c>
      <c r="AT156" s="486">
        <f t="shared" si="190"/>
        <v>1772</v>
      </c>
      <c r="AU156" s="486">
        <f>O156+AE156</f>
        <v>5370</v>
      </c>
      <c r="AV156" s="501">
        <f>P156+AN156</f>
        <v>0.37</v>
      </c>
      <c r="AW156" s="501">
        <f t="shared" si="191"/>
        <v>0</v>
      </c>
      <c r="AX156" s="502">
        <f t="shared" si="191"/>
        <v>0.37</v>
      </c>
    </row>
    <row r="157" spans="1:50" ht="14.1" customHeight="1" x14ac:dyDescent="0.2">
      <c r="A157" s="181">
        <v>36</v>
      </c>
      <c r="B157" s="179">
        <v>2477</v>
      </c>
      <c r="C157" s="180">
        <v>600079872</v>
      </c>
      <c r="D157" s="179">
        <v>68975147</v>
      </c>
      <c r="E157" s="578" t="s">
        <v>647</v>
      </c>
      <c r="F157" s="181"/>
      <c r="G157" s="578"/>
      <c r="H157" s="579"/>
      <c r="I157" s="580">
        <v>48243327</v>
      </c>
      <c r="J157" s="581">
        <v>34130004</v>
      </c>
      <c r="K157" s="581">
        <v>329719</v>
      </c>
      <c r="L157" s="581">
        <v>295719</v>
      </c>
      <c r="M157" s="581">
        <v>11547434</v>
      </c>
      <c r="N157" s="581">
        <v>682600</v>
      </c>
      <c r="O157" s="581">
        <v>1553570</v>
      </c>
      <c r="P157" s="582">
        <v>66.418199999999999</v>
      </c>
      <c r="Q157" s="582">
        <v>54.962599999999995</v>
      </c>
      <c r="R157" s="584">
        <v>11.455599999999999</v>
      </c>
      <c r="S157" s="583">
        <f t="shared" ref="S157:AX157" si="192">SUM(S153:S156)</f>
        <v>0</v>
      </c>
      <c r="T157" s="581">
        <f t="shared" si="192"/>
        <v>0</v>
      </c>
      <c r="U157" s="581">
        <f t="shared" si="192"/>
        <v>0</v>
      </c>
      <c r="V157" s="581">
        <f t="shared" si="192"/>
        <v>0</v>
      </c>
      <c r="W157" s="581">
        <f t="shared" si="192"/>
        <v>0</v>
      </c>
      <c r="X157" s="581">
        <f t="shared" si="192"/>
        <v>0</v>
      </c>
      <c r="Y157" s="581">
        <f t="shared" si="192"/>
        <v>0</v>
      </c>
      <c r="Z157" s="581">
        <f t="shared" si="192"/>
        <v>0</v>
      </c>
      <c r="AA157" s="581">
        <f t="shared" si="192"/>
        <v>0</v>
      </c>
      <c r="AB157" s="583">
        <f t="shared" si="192"/>
        <v>0</v>
      </c>
      <c r="AC157" s="581">
        <f t="shared" si="192"/>
        <v>3750</v>
      </c>
      <c r="AD157" s="581">
        <f t="shared" si="192"/>
        <v>0</v>
      </c>
      <c r="AE157" s="581">
        <f t="shared" si="192"/>
        <v>3750</v>
      </c>
      <c r="AF157" s="581">
        <f t="shared" si="192"/>
        <v>3750</v>
      </c>
      <c r="AG157" s="582">
        <f t="shared" si="192"/>
        <v>0</v>
      </c>
      <c r="AH157" s="582">
        <f t="shared" si="192"/>
        <v>0</v>
      </c>
      <c r="AI157" s="582">
        <f t="shared" si="192"/>
        <v>0</v>
      </c>
      <c r="AJ157" s="582">
        <f t="shared" si="192"/>
        <v>0</v>
      </c>
      <c r="AK157" s="582">
        <f t="shared" si="192"/>
        <v>0</v>
      </c>
      <c r="AL157" s="582">
        <f t="shared" si="192"/>
        <v>0</v>
      </c>
      <c r="AM157" s="582">
        <f t="shared" si="192"/>
        <v>0</v>
      </c>
      <c r="AN157" s="584">
        <f t="shared" si="192"/>
        <v>0</v>
      </c>
      <c r="AO157" s="583">
        <f t="shared" si="192"/>
        <v>48247077</v>
      </c>
      <c r="AP157" s="581">
        <f t="shared" si="192"/>
        <v>34130004</v>
      </c>
      <c r="AQ157" s="581">
        <f t="shared" si="192"/>
        <v>329719</v>
      </c>
      <c r="AR157" s="581">
        <f t="shared" si="192"/>
        <v>295719</v>
      </c>
      <c r="AS157" s="581">
        <f t="shared" si="192"/>
        <v>11547434</v>
      </c>
      <c r="AT157" s="581">
        <f t="shared" si="192"/>
        <v>682600</v>
      </c>
      <c r="AU157" s="581">
        <f t="shared" si="192"/>
        <v>1557320</v>
      </c>
      <c r="AV157" s="582">
        <f t="shared" si="192"/>
        <v>66.418199999999999</v>
      </c>
      <c r="AW157" s="582">
        <f t="shared" si="192"/>
        <v>54.962599999999995</v>
      </c>
      <c r="AX157" s="584">
        <f t="shared" si="192"/>
        <v>11.455599999999999</v>
      </c>
    </row>
    <row r="158" spans="1:50" ht="14.1" customHeight="1" x14ac:dyDescent="0.2">
      <c r="A158" s="585">
        <v>37</v>
      </c>
      <c r="B158" s="586">
        <v>2470</v>
      </c>
      <c r="C158" s="587">
        <v>600080013</v>
      </c>
      <c r="D158" s="586">
        <v>72741554</v>
      </c>
      <c r="E158" s="588" t="s">
        <v>648</v>
      </c>
      <c r="F158" s="585">
        <v>3113</v>
      </c>
      <c r="G158" s="588" t="s">
        <v>320</v>
      </c>
      <c r="H158" s="589" t="s">
        <v>283</v>
      </c>
      <c r="I158" s="495">
        <v>35235973</v>
      </c>
      <c r="J158" s="411">
        <v>24922178</v>
      </c>
      <c r="K158" s="520">
        <v>147996</v>
      </c>
      <c r="L158" s="520">
        <v>77996</v>
      </c>
      <c r="M158" s="475">
        <v>8447355</v>
      </c>
      <c r="N158" s="496">
        <v>498444</v>
      </c>
      <c r="O158" s="411">
        <v>1220000</v>
      </c>
      <c r="P158" s="412">
        <v>44.587400000000002</v>
      </c>
      <c r="Q158" s="415">
        <v>35.898000000000003</v>
      </c>
      <c r="R158" s="685">
        <v>8.6893999999999991</v>
      </c>
      <c r="S158" s="499">
        <v>0</v>
      </c>
      <c r="T158" s="486">
        <v>0</v>
      </c>
      <c r="U158" s="486">
        <v>0</v>
      </c>
      <c r="V158" s="486">
        <f>SUM(S158:U158)</f>
        <v>0</v>
      </c>
      <c r="W158" s="486">
        <v>0</v>
      </c>
      <c r="X158" s="486">
        <v>0</v>
      </c>
      <c r="Y158" s="486">
        <f>SUM(W158:X158)</f>
        <v>0</v>
      </c>
      <c r="Z158" s="486">
        <f>V158+Y158</f>
        <v>0</v>
      </c>
      <c r="AA158" s="178">
        <f t="shared" si="178"/>
        <v>0</v>
      </c>
      <c r="AB158" s="745">
        <f>ROUND(V158*2%,0)</f>
        <v>0</v>
      </c>
      <c r="AC158" s="486">
        <v>0</v>
      </c>
      <c r="AD158" s="486">
        <v>0</v>
      </c>
      <c r="AE158" s="486">
        <f t="shared" si="179"/>
        <v>0</v>
      </c>
      <c r="AF158" s="486">
        <f t="shared" si="180"/>
        <v>0</v>
      </c>
      <c r="AG158" s="501">
        <v>0</v>
      </c>
      <c r="AH158" s="501">
        <v>0</v>
      </c>
      <c r="AI158" s="501">
        <v>0</v>
      </c>
      <c r="AJ158" s="501">
        <v>0</v>
      </c>
      <c r="AK158" s="501">
        <v>0</v>
      </c>
      <c r="AL158" s="501">
        <f t="shared" ref="AL158:AL162" si="193">AG158+AI158+AJ158</f>
        <v>0</v>
      </c>
      <c r="AM158" s="501">
        <f t="shared" ref="AM158:AM162" si="194">AH158+AK158</f>
        <v>0</v>
      </c>
      <c r="AN158" s="502">
        <f t="shared" si="181"/>
        <v>0</v>
      </c>
      <c r="AO158" s="499">
        <f>I158+AF158</f>
        <v>35235973</v>
      </c>
      <c r="AP158" s="486">
        <f>J158+V158</f>
        <v>24922178</v>
      </c>
      <c r="AQ158" s="486">
        <f>K158+Y158</f>
        <v>147996</v>
      </c>
      <c r="AR158" s="486">
        <f>L158</f>
        <v>77996</v>
      </c>
      <c r="AS158" s="486">
        <f t="shared" ref="AS158:AT162" si="195">M158+AA158</f>
        <v>8447355</v>
      </c>
      <c r="AT158" s="486">
        <f t="shared" si="195"/>
        <v>498444</v>
      </c>
      <c r="AU158" s="486">
        <f>O158+AE158</f>
        <v>1220000</v>
      </c>
      <c r="AV158" s="501">
        <f>P158+AN158</f>
        <v>44.587400000000002</v>
      </c>
      <c r="AW158" s="501">
        <f t="shared" ref="AW158:AX162" si="196">Q158+AL158</f>
        <v>35.898000000000003</v>
      </c>
      <c r="AX158" s="502">
        <f t="shared" si="196"/>
        <v>8.6893999999999991</v>
      </c>
    </row>
    <row r="159" spans="1:50" ht="14.1" customHeight="1" x14ac:dyDescent="0.2">
      <c r="A159" s="585">
        <v>37</v>
      </c>
      <c r="B159" s="586">
        <v>2470</v>
      </c>
      <c r="C159" s="587">
        <v>600080013</v>
      </c>
      <c r="D159" s="586">
        <v>72741554</v>
      </c>
      <c r="E159" s="588" t="s">
        <v>648</v>
      </c>
      <c r="F159" s="585">
        <v>3113</v>
      </c>
      <c r="G159" s="208" t="s">
        <v>318</v>
      </c>
      <c r="H159" s="589" t="s">
        <v>284</v>
      </c>
      <c r="I159" s="495">
        <v>435581</v>
      </c>
      <c r="J159" s="496">
        <v>320752</v>
      </c>
      <c r="K159" s="475">
        <v>0</v>
      </c>
      <c r="L159" s="475">
        <v>0</v>
      </c>
      <c r="M159" s="475">
        <v>108414</v>
      </c>
      <c r="N159" s="496">
        <v>6415</v>
      </c>
      <c r="O159" s="496">
        <v>0</v>
      </c>
      <c r="P159" s="412">
        <v>0.94000000000000006</v>
      </c>
      <c r="Q159" s="497">
        <v>0.94000000000000006</v>
      </c>
      <c r="R159" s="498">
        <v>0</v>
      </c>
      <c r="S159" s="499">
        <v>0</v>
      </c>
      <c r="T159" s="486">
        <v>0</v>
      </c>
      <c r="U159" s="486">
        <v>0</v>
      </c>
      <c r="V159" s="486">
        <f>SUM(S159:U159)</f>
        <v>0</v>
      </c>
      <c r="W159" s="486">
        <v>0</v>
      </c>
      <c r="X159" s="486">
        <v>0</v>
      </c>
      <c r="Y159" s="486">
        <f>SUM(W159:X159)</f>
        <v>0</v>
      </c>
      <c r="Z159" s="486">
        <f>V159+Y159</f>
        <v>0</v>
      </c>
      <c r="AA159" s="178">
        <f t="shared" si="178"/>
        <v>0</v>
      </c>
      <c r="AB159" s="745">
        <f>ROUND(V159*2%,0)</f>
        <v>0</v>
      </c>
      <c r="AC159" s="486">
        <v>0</v>
      </c>
      <c r="AD159" s="486">
        <v>0</v>
      </c>
      <c r="AE159" s="486">
        <f t="shared" si="179"/>
        <v>0</v>
      </c>
      <c r="AF159" s="486">
        <f t="shared" si="180"/>
        <v>0</v>
      </c>
      <c r="AG159" s="501">
        <v>0</v>
      </c>
      <c r="AH159" s="501">
        <v>0</v>
      </c>
      <c r="AI159" s="501">
        <v>0</v>
      </c>
      <c r="AJ159" s="501">
        <v>0</v>
      </c>
      <c r="AK159" s="501">
        <v>0</v>
      </c>
      <c r="AL159" s="501">
        <f t="shared" si="193"/>
        <v>0</v>
      </c>
      <c r="AM159" s="501">
        <f t="shared" si="194"/>
        <v>0</v>
      </c>
      <c r="AN159" s="502">
        <f t="shared" si="181"/>
        <v>0</v>
      </c>
      <c r="AO159" s="499">
        <f>I159+AF159</f>
        <v>435581</v>
      </c>
      <c r="AP159" s="486">
        <f>J159+V159</f>
        <v>320752</v>
      </c>
      <c r="AQ159" s="486">
        <f>K159+Y159</f>
        <v>0</v>
      </c>
      <c r="AR159" s="486">
        <f>L159</f>
        <v>0</v>
      </c>
      <c r="AS159" s="486">
        <f t="shared" si="195"/>
        <v>108414</v>
      </c>
      <c r="AT159" s="486">
        <f t="shared" si="195"/>
        <v>6415</v>
      </c>
      <c r="AU159" s="486">
        <f>O159+AE159</f>
        <v>0</v>
      </c>
      <c r="AV159" s="501">
        <f>P159+AN159</f>
        <v>0.94000000000000006</v>
      </c>
      <c r="AW159" s="501">
        <f t="shared" si="196"/>
        <v>0.94000000000000006</v>
      </c>
      <c r="AX159" s="502">
        <f t="shared" si="196"/>
        <v>0</v>
      </c>
    </row>
    <row r="160" spans="1:50" ht="14.1" customHeight="1" x14ac:dyDescent="0.2">
      <c r="A160" s="585">
        <v>37</v>
      </c>
      <c r="B160" s="586">
        <v>2470</v>
      </c>
      <c r="C160" s="587">
        <v>600080013</v>
      </c>
      <c r="D160" s="586">
        <v>72741554</v>
      </c>
      <c r="E160" s="588" t="s">
        <v>823</v>
      </c>
      <c r="F160" s="585">
        <v>3141</v>
      </c>
      <c r="G160" s="208" t="s">
        <v>321</v>
      </c>
      <c r="H160" s="589" t="s">
        <v>284</v>
      </c>
      <c r="I160" s="495">
        <v>2460021</v>
      </c>
      <c r="J160" s="496">
        <v>1488395</v>
      </c>
      <c r="K160" s="475">
        <v>310000</v>
      </c>
      <c r="L160" s="475">
        <v>0</v>
      </c>
      <c r="M160" s="475">
        <v>607858</v>
      </c>
      <c r="N160" s="496">
        <v>29768</v>
      </c>
      <c r="O160" s="496">
        <v>24000</v>
      </c>
      <c r="P160" s="412">
        <v>4.9000000000000004</v>
      </c>
      <c r="Q160" s="497">
        <v>0</v>
      </c>
      <c r="R160" s="498">
        <v>4.9000000000000004</v>
      </c>
      <c r="S160" s="499">
        <v>0</v>
      </c>
      <c r="T160" s="486">
        <v>0</v>
      </c>
      <c r="U160" s="486">
        <v>0</v>
      </c>
      <c r="V160" s="486">
        <f>SUM(S160:U160)</f>
        <v>0</v>
      </c>
      <c r="W160" s="486">
        <v>0</v>
      </c>
      <c r="X160" s="486">
        <v>0</v>
      </c>
      <c r="Y160" s="486">
        <f>SUM(W160:X160)</f>
        <v>0</v>
      </c>
      <c r="Z160" s="486">
        <f>V160+Y160</f>
        <v>0</v>
      </c>
      <c r="AA160" s="178">
        <f t="shared" si="178"/>
        <v>0</v>
      </c>
      <c r="AB160" s="745">
        <f>ROUND(V160*2%,0)</f>
        <v>0</v>
      </c>
      <c r="AC160" s="486">
        <v>0</v>
      </c>
      <c r="AD160" s="486">
        <v>0</v>
      </c>
      <c r="AE160" s="486">
        <f t="shared" si="179"/>
        <v>0</v>
      </c>
      <c r="AF160" s="486">
        <f t="shared" si="180"/>
        <v>0</v>
      </c>
      <c r="AG160" s="501">
        <v>0</v>
      </c>
      <c r="AH160" s="501">
        <v>0</v>
      </c>
      <c r="AI160" s="501">
        <v>0</v>
      </c>
      <c r="AJ160" s="501">
        <v>0</v>
      </c>
      <c r="AK160" s="501">
        <v>0</v>
      </c>
      <c r="AL160" s="501">
        <f t="shared" si="193"/>
        <v>0</v>
      </c>
      <c r="AM160" s="501">
        <f t="shared" si="194"/>
        <v>0</v>
      </c>
      <c r="AN160" s="502">
        <f t="shared" si="181"/>
        <v>0</v>
      </c>
      <c r="AO160" s="499">
        <f>I160+AF160</f>
        <v>2460021</v>
      </c>
      <c r="AP160" s="486">
        <f>J160+V160</f>
        <v>1488395</v>
      </c>
      <c r="AQ160" s="486">
        <f>K160+Y160</f>
        <v>310000</v>
      </c>
      <c r="AR160" s="486">
        <f>L160</f>
        <v>0</v>
      </c>
      <c r="AS160" s="486">
        <f t="shared" si="195"/>
        <v>607858</v>
      </c>
      <c r="AT160" s="486">
        <f t="shared" si="195"/>
        <v>29768</v>
      </c>
      <c r="AU160" s="486">
        <f>O160+AE160</f>
        <v>24000</v>
      </c>
      <c r="AV160" s="501">
        <f>P160+AN160</f>
        <v>4.9000000000000004</v>
      </c>
      <c r="AW160" s="501">
        <f t="shared" si="196"/>
        <v>0</v>
      </c>
      <c r="AX160" s="502">
        <f t="shared" si="196"/>
        <v>4.9000000000000004</v>
      </c>
    </row>
    <row r="161" spans="1:50" ht="14.1" customHeight="1" x14ac:dyDescent="0.2">
      <c r="A161" s="585">
        <v>37</v>
      </c>
      <c r="B161" s="586">
        <v>2470</v>
      </c>
      <c r="C161" s="587">
        <v>600080013</v>
      </c>
      <c r="D161" s="586">
        <v>72741554</v>
      </c>
      <c r="E161" s="588" t="s">
        <v>648</v>
      </c>
      <c r="F161" s="585">
        <v>3143</v>
      </c>
      <c r="G161" s="208" t="s">
        <v>634</v>
      </c>
      <c r="H161" s="589" t="s">
        <v>283</v>
      </c>
      <c r="I161" s="495">
        <v>3265271</v>
      </c>
      <c r="J161" s="411">
        <v>2394617</v>
      </c>
      <c r="K161" s="520">
        <v>10000</v>
      </c>
      <c r="L161" s="520">
        <v>0</v>
      </c>
      <c r="M161" s="475">
        <v>812761</v>
      </c>
      <c r="N161" s="496">
        <v>47893</v>
      </c>
      <c r="O161" s="496">
        <v>0</v>
      </c>
      <c r="P161" s="412">
        <v>5.4700000000000006</v>
      </c>
      <c r="Q161" s="415">
        <v>5.4700000000000006</v>
      </c>
      <c r="R161" s="498">
        <v>0</v>
      </c>
      <c r="S161" s="499">
        <v>0</v>
      </c>
      <c r="T161" s="486">
        <v>0</v>
      </c>
      <c r="U161" s="486">
        <v>0</v>
      </c>
      <c r="V161" s="486">
        <f>SUM(S161:U161)</f>
        <v>0</v>
      </c>
      <c r="W161" s="486">
        <v>0</v>
      </c>
      <c r="X161" s="486">
        <v>0</v>
      </c>
      <c r="Y161" s="486">
        <f>SUM(W161:X161)</f>
        <v>0</v>
      </c>
      <c r="Z161" s="486">
        <f>V161+Y161</f>
        <v>0</v>
      </c>
      <c r="AA161" s="178">
        <f t="shared" si="178"/>
        <v>0</v>
      </c>
      <c r="AB161" s="745">
        <f>ROUND(V161*2%,0)</f>
        <v>0</v>
      </c>
      <c r="AC161" s="486">
        <v>0</v>
      </c>
      <c r="AD161" s="486">
        <v>0</v>
      </c>
      <c r="AE161" s="486">
        <f t="shared" si="179"/>
        <v>0</v>
      </c>
      <c r="AF161" s="486">
        <f t="shared" si="180"/>
        <v>0</v>
      </c>
      <c r="AG161" s="501">
        <v>0</v>
      </c>
      <c r="AH161" s="501">
        <v>0</v>
      </c>
      <c r="AI161" s="501">
        <v>0</v>
      </c>
      <c r="AJ161" s="501">
        <v>0</v>
      </c>
      <c r="AK161" s="501">
        <v>0</v>
      </c>
      <c r="AL161" s="501">
        <f t="shared" si="193"/>
        <v>0</v>
      </c>
      <c r="AM161" s="501">
        <f t="shared" si="194"/>
        <v>0</v>
      </c>
      <c r="AN161" s="502">
        <f t="shared" si="181"/>
        <v>0</v>
      </c>
      <c r="AO161" s="499">
        <f>I161+AF161</f>
        <v>3265271</v>
      </c>
      <c r="AP161" s="486">
        <f>J161+V161</f>
        <v>2394617</v>
      </c>
      <c r="AQ161" s="486">
        <f>K161+Y161</f>
        <v>10000</v>
      </c>
      <c r="AR161" s="486">
        <f>L161</f>
        <v>0</v>
      </c>
      <c r="AS161" s="486">
        <f t="shared" si="195"/>
        <v>812761</v>
      </c>
      <c r="AT161" s="486">
        <f t="shared" si="195"/>
        <v>47893</v>
      </c>
      <c r="AU161" s="486">
        <f>O161+AE161</f>
        <v>0</v>
      </c>
      <c r="AV161" s="501">
        <f>P161+AN161</f>
        <v>5.4700000000000006</v>
      </c>
      <c r="AW161" s="501">
        <f t="shared" si="196"/>
        <v>5.4700000000000006</v>
      </c>
      <c r="AX161" s="502">
        <f t="shared" si="196"/>
        <v>0</v>
      </c>
    </row>
    <row r="162" spans="1:50" ht="14.1" customHeight="1" x14ac:dyDescent="0.2">
      <c r="A162" s="585">
        <v>37</v>
      </c>
      <c r="B162" s="586">
        <v>2470</v>
      </c>
      <c r="C162" s="587">
        <v>600080013</v>
      </c>
      <c r="D162" s="586">
        <v>72741554</v>
      </c>
      <c r="E162" s="588" t="s">
        <v>648</v>
      </c>
      <c r="F162" s="585">
        <v>3143</v>
      </c>
      <c r="G162" s="208" t="s">
        <v>635</v>
      </c>
      <c r="H162" s="589" t="s">
        <v>284</v>
      </c>
      <c r="I162" s="495">
        <v>98309</v>
      </c>
      <c r="J162" s="496">
        <v>69300</v>
      </c>
      <c r="K162" s="475">
        <v>0</v>
      </c>
      <c r="L162" s="475">
        <v>0</v>
      </c>
      <c r="M162" s="475">
        <v>23423</v>
      </c>
      <c r="N162" s="496">
        <v>1386</v>
      </c>
      <c r="O162" s="496">
        <v>4200</v>
      </c>
      <c r="P162" s="412">
        <v>0.29000000000000004</v>
      </c>
      <c r="Q162" s="497">
        <v>0</v>
      </c>
      <c r="R162" s="498">
        <v>0.29000000000000004</v>
      </c>
      <c r="S162" s="499">
        <v>0</v>
      </c>
      <c r="T162" s="486">
        <v>0</v>
      </c>
      <c r="U162" s="486">
        <v>0</v>
      </c>
      <c r="V162" s="486">
        <f>SUM(S162:U162)</f>
        <v>0</v>
      </c>
      <c r="W162" s="486">
        <v>0</v>
      </c>
      <c r="X162" s="486">
        <v>0</v>
      </c>
      <c r="Y162" s="486">
        <f>SUM(W162:X162)</f>
        <v>0</v>
      </c>
      <c r="Z162" s="486">
        <f>V162+Y162</f>
        <v>0</v>
      </c>
      <c r="AA162" s="178">
        <f t="shared" si="178"/>
        <v>0</v>
      </c>
      <c r="AB162" s="745">
        <f>ROUND(V162*2%,0)</f>
        <v>0</v>
      </c>
      <c r="AC162" s="486">
        <v>0</v>
      </c>
      <c r="AD162" s="486">
        <v>0</v>
      </c>
      <c r="AE162" s="486">
        <f t="shared" si="179"/>
        <v>0</v>
      </c>
      <c r="AF162" s="486">
        <f t="shared" si="180"/>
        <v>0</v>
      </c>
      <c r="AG162" s="501">
        <v>0</v>
      </c>
      <c r="AH162" s="501">
        <v>0</v>
      </c>
      <c r="AI162" s="501">
        <v>0</v>
      </c>
      <c r="AJ162" s="501">
        <v>0</v>
      </c>
      <c r="AK162" s="501">
        <v>0</v>
      </c>
      <c r="AL162" s="501">
        <f t="shared" si="193"/>
        <v>0</v>
      </c>
      <c r="AM162" s="501">
        <f t="shared" si="194"/>
        <v>0</v>
      </c>
      <c r="AN162" s="502">
        <f t="shared" si="181"/>
        <v>0</v>
      </c>
      <c r="AO162" s="499">
        <f>I162+AF162</f>
        <v>98309</v>
      </c>
      <c r="AP162" s="486">
        <f>J162+V162</f>
        <v>69300</v>
      </c>
      <c r="AQ162" s="486">
        <f>K162+Y162</f>
        <v>0</v>
      </c>
      <c r="AR162" s="486">
        <f>L162</f>
        <v>0</v>
      </c>
      <c r="AS162" s="486">
        <f t="shared" si="195"/>
        <v>23423</v>
      </c>
      <c r="AT162" s="486">
        <f t="shared" si="195"/>
        <v>1386</v>
      </c>
      <c r="AU162" s="486">
        <f>O162+AE162</f>
        <v>4200</v>
      </c>
      <c r="AV162" s="501">
        <f>P162+AN162</f>
        <v>0.29000000000000004</v>
      </c>
      <c r="AW162" s="501">
        <f t="shared" si="196"/>
        <v>0</v>
      </c>
      <c r="AX162" s="502">
        <f t="shared" si="196"/>
        <v>0.29000000000000004</v>
      </c>
    </row>
    <row r="163" spans="1:50" ht="14.1" customHeight="1" x14ac:dyDescent="0.2">
      <c r="A163" s="181">
        <v>37</v>
      </c>
      <c r="B163" s="179">
        <v>2470</v>
      </c>
      <c r="C163" s="180">
        <v>600080013</v>
      </c>
      <c r="D163" s="179">
        <v>72741554</v>
      </c>
      <c r="E163" s="578" t="s">
        <v>649</v>
      </c>
      <c r="F163" s="181"/>
      <c r="G163" s="578"/>
      <c r="H163" s="579"/>
      <c r="I163" s="580">
        <v>41495155</v>
      </c>
      <c r="J163" s="581">
        <v>29195242</v>
      </c>
      <c r="K163" s="581">
        <v>467996</v>
      </c>
      <c r="L163" s="581">
        <v>77996</v>
      </c>
      <c r="M163" s="581">
        <v>9999811</v>
      </c>
      <c r="N163" s="581">
        <v>583906</v>
      </c>
      <c r="O163" s="581">
        <v>1248200</v>
      </c>
      <c r="P163" s="582">
        <v>56.187399999999997</v>
      </c>
      <c r="Q163" s="582">
        <v>42.308</v>
      </c>
      <c r="R163" s="584">
        <v>13.8794</v>
      </c>
      <c r="S163" s="583">
        <f t="shared" ref="S163:AX163" si="197">SUM(S158:S162)</f>
        <v>0</v>
      </c>
      <c r="T163" s="581">
        <f t="shared" si="197"/>
        <v>0</v>
      </c>
      <c r="U163" s="581">
        <f t="shared" si="197"/>
        <v>0</v>
      </c>
      <c r="V163" s="581">
        <f t="shared" si="197"/>
        <v>0</v>
      </c>
      <c r="W163" s="581">
        <f t="shared" si="197"/>
        <v>0</v>
      </c>
      <c r="X163" s="581">
        <f t="shared" si="197"/>
        <v>0</v>
      </c>
      <c r="Y163" s="581">
        <f t="shared" si="197"/>
        <v>0</v>
      </c>
      <c r="Z163" s="581">
        <f t="shared" si="197"/>
        <v>0</v>
      </c>
      <c r="AA163" s="581">
        <f t="shared" si="197"/>
        <v>0</v>
      </c>
      <c r="AB163" s="583">
        <f t="shared" si="197"/>
        <v>0</v>
      </c>
      <c r="AC163" s="581">
        <f t="shared" si="197"/>
        <v>0</v>
      </c>
      <c r="AD163" s="581">
        <f t="shared" si="197"/>
        <v>0</v>
      </c>
      <c r="AE163" s="581">
        <f t="shared" si="197"/>
        <v>0</v>
      </c>
      <c r="AF163" s="581">
        <f t="shared" si="197"/>
        <v>0</v>
      </c>
      <c r="AG163" s="582">
        <f t="shared" si="197"/>
        <v>0</v>
      </c>
      <c r="AH163" s="582">
        <f t="shared" si="197"/>
        <v>0</v>
      </c>
      <c r="AI163" s="582">
        <f t="shared" si="197"/>
        <v>0</v>
      </c>
      <c r="AJ163" s="582">
        <f t="shared" si="197"/>
        <v>0</v>
      </c>
      <c r="AK163" s="582">
        <f t="shared" si="197"/>
        <v>0</v>
      </c>
      <c r="AL163" s="582">
        <f t="shared" si="197"/>
        <v>0</v>
      </c>
      <c r="AM163" s="582">
        <f t="shared" si="197"/>
        <v>0</v>
      </c>
      <c r="AN163" s="584">
        <f t="shared" si="197"/>
        <v>0</v>
      </c>
      <c r="AO163" s="583">
        <f t="shared" si="197"/>
        <v>41495155</v>
      </c>
      <c r="AP163" s="581">
        <f t="shared" si="197"/>
        <v>29195242</v>
      </c>
      <c r="AQ163" s="581">
        <f t="shared" si="197"/>
        <v>467996</v>
      </c>
      <c r="AR163" s="581">
        <f t="shared" si="197"/>
        <v>77996</v>
      </c>
      <c r="AS163" s="581">
        <f t="shared" si="197"/>
        <v>9999811</v>
      </c>
      <c r="AT163" s="581">
        <f t="shared" si="197"/>
        <v>583906</v>
      </c>
      <c r="AU163" s="581">
        <f t="shared" si="197"/>
        <v>1248200</v>
      </c>
      <c r="AV163" s="582">
        <f t="shared" si="197"/>
        <v>56.187399999999997</v>
      </c>
      <c r="AW163" s="582">
        <f t="shared" si="197"/>
        <v>42.308</v>
      </c>
      <c r="AX163" s="584">
        <f t="shared" si="197"/>
        <v>13.8794</v>
      </c>
    </row>
    <row r="164" spans="1:50" ht="14.1" customHeight="1" x14ac:dyDescent="0.2">
      <c r="A164" s="585">
        <v>38</v>
      </c>
      <c r="B164" s="586">
        <v>2307</v>
      </c>
      <c r="C164" s="587">
        <v>600079911</v>
      </c>
      <c r="D164" s="586">
        <v>72743212</v>
      </c>
      <c r="E164" s="588" t="s">
        <v>650</v>
      </c>
      <c r="F164" s="585">
        <v>3113</v>
      </c>
      <c r="G164" s="588" t="s">
        <v>320</v>
      </c>
      <c r="H164" s="589" t="s">
        <v>283</v>
      </c>
      <c r="I164" s="495">
        <v>38917924</v>
      </c>
      <c r="J164" s="411">
        <v>27314175</v>
      </c>
      <c r="K164" s="520">
        <v>253020</v>
      </c>
      <c r="L164" s="520">
        <v>98420</v>
      </c>
      <c r="M164" s="475">
        <v>9284446</v>
      </c>
      <c r="N164" s="496">
        <v>546283</v>
      </c>
      <c r="O164" s="411">
        <v>1520000</v>
      </c>
      <c r="P164" s="412">
        <v>50.996000000000002</v>
      </c>
      <c r="Q164" s="415">
        <v>39.657200000000003</v>
      </c>
      <c r="R164" s="685">
        <v>11.338799999999999</v>
      </c>
      <c r="S164" s="499">
        <v>0</v>
      </c>
      <c r="T164" s="486">
        <v>0</v>
      </c>
      <c r="U164" s="486">
        <v>0</v>
      </c>
      <c r="V164" s="486">
        <f>SUM(S164:U164)</f>
        <v>0</v>
      </c>
      <c r="W164" s="486">
        <v>0</v>
      </c>
      <c r="X164" s="486">
        <v>0</v>
      </c>
      <c r="Y164" s="486">
        <f>SUM(W164:X164)</f>
        <v>0</v>
      </c>
      <c r="Z164" s="486">
        <f>V164+Y164</f>
        <v>0</v>
      </c>
      <c r="AA164" s="178">
        <f t="shared" si="178"/>
        <v>0</v>
      </c>
      <c r="AB164" s="745">
        <f>ROUND(V164*2%,0)</f>
        <v>0</v>
      </c>
      <c r="AC164" s="486">
        <v>0</v>
      </c>
      <c r="AD164" s="486">
        <v>0</v>
      </c>
      <c r="AE164" s="486">
        <f t="shared" si="179"/>
        <v>0</v>
      </c>
      <c r="AF164" s="486">
        <f t="shared" si="180"/>
        <v>0</v>
      </c>
      <c r="AG164" s="501">
        <v>0</v>
      </c>
      <c r="AH164" s="501">
        <v>0</v>
      </c>
      <c r="AI164" s="501">
        <v>0</v>
      </c>
      <c r="AJ164" s="501">
        <v>0</v>
      </c>
      <c r="AK164" s="501">
        <v>0</v>
      </c>
      <c r="AL164" s="501">
        <f t="shared" ref="AL164:AL168" si="198">AG164+AI164+AJ164</f>
        <v>0</v>
      </c>
      <c r="AM164" s="501">
        <f t="shared" ref="AM164:AM168" si="199">AH164+AK164</f>
        <v>0</v>
      </c>
      <c r="AN164" s="502">
        <f t="shared" si="181"/>
        <v>0</v>
      </c>
      <c r="AO164" s="499">
        <f>I164+AF164</f>
        <v>38917924</v>
      </c>
      <c r="AP164" s="486">
        <f>J164+V164</f>
        <v>27314175</v>
      </c>
      <c r="AQ164" s="486">
        <f>K164+Y164</f>
        <v>253020</v>
      </c>
      <c r="AR164" s="486">
        <f>L164</f>
        <v>98420</v>
      </c>
      <c r="AS164" s="486">
        <f t="shared" ref="AS164:AT168" si="200">M164+AA164</f>
        <v>9284446</v>
      </c>
      <c r="AT164" s="486">
        <f t="shared" si="200"/>
        <v>546283</v>
      </c>
      <c r="AU164" s="486">
        <f>O164+AE164</f>
        <v>1520000</v>
      </c>
      <c r="AV164" s="501">
        <f>P164+AN164</f>
        <v>50.996000000000002</v>
      </c>
      <c r="AW164" s="501">
        <f t="shared" ref="AW164:AX168" si="201">Q164+AL164</f>
        <v>39.657200000000003</v>
      </c>
      <c r="AX164" s="502">
        <f t="shared" si="201"/>
        <v>11.338799999999999</v>
      </c>
    </row>
    <row r="165" spans="1:50" ht="14.1" customHeight="1" x14ac:dyDescent="0.2">
      <c r="A165" s="585">
        <v>38</v>
      </c>
      <c r="B165" s="586">
        <v>2307</v>
      </c>
      <c r="C165" s="587">
        <v>600079911</v>
      </c>
      <c r="D165" s="586">
        <v>72743212</v>
      </c>
      <c r="E165" s="588" t="s">
        <v>650</v>
      </c>
      <c r="F165" s="585">
        <v>3113</v>
      </c>
      <c r="G165" s="208" t="s">
        <v>318</v>
      </c>
      <c r="H165" s="589" t="s">
        <v>284</v>
      </c>
      <c r="I165" s="495">
        <v>1988093</v>
      </c>
      <c r="J165" s="496">
        <v>1450584</v>
      </c>
      <c r="K165" s="475">
        <v>0</v>
      </c>
      <c r="L165" s="475">
        <v>0</v>
      </c>
      <c r="M165" s="475">
        <v>490298</v>
      </c>
      <c r="N165" s="496">
        <v>29011</v>
      </c>
      <c r="O165" s="496">
        <v>18200</v>
      </c>
      <c r="P165" s="412">
        <v>4.1899999999999995</v>
      </c>
      <c r="Q165" s="497">
        <v>4.1899999999999995</v>
      </c>
      <c r="R165" s="498">
        <v>0</v>
      </c>
      <c r="S165" s="499">
        <v>0</v>
      </c>
      <c r="T165" s="486">
        <v>21225</v>
      </c>
      <c r="U165" s="486">
        <v>0</v>
      </c>
      <c r="V165" s="486">
        <f>SUM(S165:U165)</f>
        <v>21225</v>
      </c>
      <c r="W165" s="486">
        <v>0</v>
      </c>
      <c r="X165" s="486">
        <v>0</v>
      </c>
      <c r="Y165" s="486">
        <f>SUM(W165:X165)</f>
        <v>0</v>
      </c>
      <c r="Z165" s="486">
        <f>V165+Y165</f>
        <v>21225</v>
      </c>
      <c r="AA165" s="178">
        <f t="shared" si="178"/>
        <v>7174</v>
      </c>
      <c r="AB165" s="745">
        <f>ROUND(V165*2%,0)</f>
        <v>425</v>
      </c>
      <c r="AC165" s="486">
        <v>0</v>
      </c>
      <c r="AD165" s="486">
        <v>0</v>
      </c>
      <c r="AE165" s="486">
        <f t="shared" si="179"/>
        <v>0</v>
      </c>
      <c r="AF165" s="486">
        <f t="shared" si="180"/>
        <v>28824</v>
      </c>
      <c r="AG165" s="501">
        <v>0</v>
      </c>
      <c r="AH165" s="501">
        <v>0</v>
      </c>
      <c r="AI165" s="501">
        <v>0.06</v>
      </c>
      <c r="AJ165" s="501">
        <v>0</v>
      </c>
      <c r="AK165" s="501">
        <v>0</v>
      </c>
      <c r="AL165" s="501">
        <f t="shared" si="198"/>
        <v>0.06</v>
      </c>
      <c r="AM165" s="501">
        <f t="shared" si="199"/>
        <v>0</v>
      </c>
      <c r="AN165" s="502">
        <f t="shared" si="181"/>
        <v>0.06</v>
      </c>
      <c r="AO165" s="499">
        <f>I165+AF165</f>
        <v>2016917</v>
      </c>
      <c r="AP165" s="486">
        <f>J165+V165</f>
        <v>1471809</v>
      </c>
      <c r="AQ165" s="486">
        <f>K165+Y165</f>
        <v>0</v>
      </c>
      <c r="AR165" s="486">
        <f>L165</f>
        <v>0</v>
      </c>
      <c r="AS165" s="486">
        <f t="shared" si="200"/>
        <v>497472</v>
      </c>
      <c r="AT165" s="486">
        <f t="shared" si="200"/>
        <v>29436</v>
      </c>
      <c r="AU165" s="486">
        <f>O165+AE165</f>
        <v>18200</v>
      </c>
      <c r="AV165" s="501">
        <f>P165+AN165</f>
        <v>4.2499999999999991</v>
      </c>
      <c r="AW165" s="501">
        <f t="shared" si="201"/>
        <v>4.2499999999999991</v>
      </c>
      <c r="AX165" s="502">
        <f t="shared" si="201"/>
        <v>0</v>
      </c>
    </row>
    <row r="166" spans="1:50" ht="14.1" customHeight="1" x14ac:dyDescent="0.2">
      <c r="A166" s="585">
        <v>38</v>
      </c>
      <c r="B166" s="586">
        <v>2307</v>
      </c>
      <c r="C166" s="587">
        <v>600079911</v>
      </c>
      <c r="D166" s="586">
        <v>72743212</v>
      </c>
      <c r="E166" s="588" t="s">
        <v>650</v>
      </c>
      <c r="F166" s="585">
        <v>3143</v>
      </c>
      <c r="G166" s="208" t="s">
        <v>634</v>
      </c>
      <c r="H166" s="589" t="s">
        <v>283</v>
      </c>
      <c r="I166" s="495">
        <v>3511213</v>
      </c>
      <c r="J166" s="411">
        <v>2585576</v>
      </c>
      <c r="K166" s="520">
        <v>0</v>
      </c>
      <c r="L166" s="520">
        <v>0</v>
      </c>
      <c r="M166" s="475">
        <v>873925</v>
      </c>
      <c r="N166" s="496">
        <v>51712</v>
      </c>
      <c r="O166" s="496">
        <v>0</v>
      </c>
      <c r="P166" s="412">
        <v>5.4107000000000003</v>
      </c>
      <c r="Q166" s="415">
        <v>5.4107000000000003</v>
      </c>
      <c r="R166" s="498">
        <v>0</v>
      </c>
      <c r="S166" s="499">
        <v>0</v>
      </c>
      <c r="T166" s="486">
        <v>0</v>
      </c>
      <c r="U166" s="486">
        <v>0</v>
      </c>
      <c r="V166" s="486">
        <f>SUM(S166:U166)</f>
        <v>0</v>
      </c>
      <c r="W166" s="486">
        <v>0</v>
      </c>
      <c r="X166" s="486">
        <v>0</v>
      </c>
      <c r="Y166" s="486">
        <f>SUM(W166:X166)</f>
        <v>0</v>
      </c>
      <c r="Z166" s="486">
        <f>V166+Y166</f>
        <v>0</v>
      </c>
      <c r="AA166" s="178">
        <f t="shared" si="178"/>
        <v>0</v>
      </c>
      <c r="AB166" s="745">
        <f>ROUND(V166*2%,0)</f>
        <v>0</v>
      </c>
      <c r="AC166" s="486">
        <v>0</v>
      </c>
      <c r="AD166" s="486">
        <v>0</v>
      </c>
      <c r="AE166" s="486">
        <f t="shared" si="179"/>
        <v>0</v>
      </c>
      <c r="AF166" s="486">
        <f t="shared" si="180"/>
        <v>0</v>
      </c>
      <c r="AG166" s="501">
        <v>0</v>
      </c>
      <c r="AH166" s="501">
        <v>0</v>
      </c>
      <c r="AI166" s="501">
        <v>0</v>
      </c>
      <c r="AJ166" s="501">
        <v>0</v>
      </c>
      <c r="AK166" s="501">
        <v>0</v>
      </c>
      <c r="AL166" s="501">
        <f t="shared" si="198"/>
        <v>0</v>
      </c>
      <c r="AM166" s="501">
        <f t="shared" si="199"/>
        <v>0</v>
      </c>
      <c r="AN166" s="502">
        <f t="shared" si="181"/>
        <v>0</v>
      </c>
      <c r="AO166" s="499">
        <f>I166+AF166</f>
        <v>3511213</v>
      </c>
      <c r="AP166" s="486">
        <f>J166+V166</f>
        <v>2585576</v>
      </c>
      <c r="AQ166" s="486">
        <f>K166+Y166</f>
        <v>0</v>
      </c>
      <c r="AR166" s="486">
        <f>L166</f>
        <v>0</v>
      </c>
      <c r="AS166" s="486">
        <f t="shared" si="200"/>
        <v>873925</v>
      </c>
      <c r="AT166" s="486">
        <f t="shared" si="200"/>
        <v>51712</v>
      </c>
      <c r="AU166" s="486">
        <f>O166+AE166</f>
        <v>0</v>
      </c>
      <c r="AV166" s="501">
        <f>P166+AN166</f>
        <v>5.4107000000000003</v>
      </c>
      <c r="AW166" s="501">
        <f t="shared" si="201"/>
        <v>5.4107000000000003</v>
      </c>
      <c r="AX166" s="502">
        <f t="shared" si="201"/>
        <v>0</v>
      </c>
    </row>
    <row r="167" spans="1:50" ht="14.1" customHeight="1" x14ac:dyDescent="0.2">
      <c r="A167" s="585">
        <v>38</v>
      </c>
      <c r="B167" s="586">
        <v>2307</v>
      </c>
      <c r="C167" s="587">
        <v>600079911</v>
      </c>
      <c r="D167" s="586">
        <v>72743212</v>
      </c>
      <c r="E167" s="588" t="s">
        <v>650</v>
      </c>
      <c r="F167" s="585">
        <v>3143</v>
      </c>
      <c r="G167" s="208" t="s">
        <v>635</v>
      </c>
      <c r="H167" s="589" t="s">
        <v>284</v>
      </c>
      <c r="I167" s="495">
        <v>125695</v>
      </c>
      <c r="J167" s="496">
        <v>88605</v>
      </c>
      <c r="K167" s="475">
        <v>0</v>
      </c>
      <c r="L167" s="475">
        <v>0</v>
      </c>
      <c r="M167" s="475">
        <v>29948</v>
      </c>
      <c r="N167" s="496">
        <v>1772</v>
      </c>
      <c r="O167" s="496">
        <v>5370</v>
      </c>
      <c r="P167" s="412">
        <v>0.37</v>
      </c>
      <c r="Q167" s="497">
        <v>0</v>
      </c>
      <c r="R167" s="498">
        <v>0.37</v>
      </c>
      <c r="S167" s="499">
        <v>0</v>
      </c>
      <c r="T167" s="486">
        <v>0</v>
      </c>
      <c r="U167" s="486">
        <v>0</v>
      </c>
      <c r="V167" s="486">
        <f>SUM(S167:U167)</f>
        <v>0</v>
      </c>
      <c r="W167" s="486">
        <v>0</v>
      </c>
      <c r="X167" s="486">
        <v>0</v>
      </c>
      <c r="Y167" s="486">
        <f>SUM(W167:X167)</f>
        <v>0</v>
      </c>
      <c r="Z167" s="486">
        <f>V167+Y167</f>
        <v>0</v>
      </c>
      <c r="AA167" s="178">
        <f t="shared" si="178"/>
        <v>0</v>
      </c>
      <c r="AB167" s="745">
        <f>ROUND(V167*2%,0)</f>
        <v>0</v>
      </c>
      <c r="AC167" s="486">
        <v>0</v>
      </c>
      <c r="AD167" s="486">
        <v>0</v>
      </c>
      <c r="AE167" s="486">
        <f t="shared" si="179"/>
        <v>0</v>
      </c>
      <c r="AF167" s="486">
        <f t="shared" si="180"/>
        <v>0</v>
      </c>
      <c r="AG167" s="501">
        <v>0</v>
      </c>
      <c r="AH167" s="501">
        <v>0</v>
      </c>
      <c r="AI167" s="501">
        <v>0</v>
      </c>
      <c r="AJ167" s="501">
        <v>0</v>
      </c>
      <c r="AK167" s="501">
        <v>0</v>
      </c>
      <c r="AL167" s="501">
        <f t="shared" si="198"/>
        <v>0</v>
      </c>
      <c r="AM167" s="501">
        <f t="shared" si="199"/>
        <v>0</v>
      </c>
      <c r="AN167" s="502">
        <f t="shared" si="181"/>
        <v>0</v>
      </c>
      <c r="AO167" s="499">
        <f>I167+AF167</f>
        <v>125695</v>
      </c>
      <c r="AP167" s="486">
        <f>J167+V167</f>
        <v>88605</v>
      </c>
      <c r="AQ167" s="486">
        <f>K167+Y167</f>
        <v>0</v>
      </c>
      <c r="AR167" s="486">
        <f>L167</f>
        <v>0</v>
      </c>
      <c r="AS167" s="486">
        <f t="shared" si="200"/>
        <v>29948</v>
      </c>
      <c r="AT167" s="486">
        <f t="shared" si="200"/>
        <v>1772</v>
      </c>
      <c r="AU167" s="486">
        <f>O167+AE167</f>
        <v>5370</v>
      </c>
      <c r="AV167" s="501">
        <f>P167+AN167</f>
        <v>0.37</v>
      </c>
      <c r="AW167" s="501">
        <f t="shared" si="201"/>
        <v>0</v>
      </c>
      <c r="AX167" s="502">
        <f t="shared" si="201"/>
        <v>0.37</v>
      </c>
    </row>
    <row r="168" spans="1:50" ht="14.1" customHeight="1" x14ac:dyDescent="0.2">
      <c r="A168" s="585">
        <v>38</v>
      </c>
      <c r="B168" s="586">
        <v>2307</v>
      </c>
      <c r="C168" s="587">
        <v>600079911</v>
      </c>
      <c r="D168" s="586">
        <v>72743212</v>
      </c>
      <c r="E168" s="588" t="s">
        <v>650</v>
      </c>
      <c r="F168" s="585">
        <v>3143</v>
      </c>
      <c r="G168" s="208" t="s">
        <v>323</v>
      </c>
      <c r="H168" s="589" t="s">
        <v>284</v>
      </c>
      <c r="I168" s="495">
        <v>336984</v>
      </c>
      <c r="J168" s="496">
        <v>247440</v>
      </c>
      <c r="K168" s="475">
        <v>0</v>
      </c>
      <c r="L168" s="475">
        <v>0</v>
      </c>
      <c r="M168" s="475">
        <v>83635</v>
      </c>
      <c r="N168" s="496">
        <v>4949</v>
      </c>
      <c r="O168" s="496">
        <v>960</v>
      </c>
      <c r="P168" s="412">
        <v>0.57000000000000006</v>
      </c>
      <c r="Q168" s="497">
        <v>0.5</v>
      </c>
      <c r="R168" s="498">
        <v>7.0000000000000007E-2</v>
      </c>
      <c r="S168" s="499">
        <v>0</v>
      </c>
      <c r="T168" s="486">
        <v>0</v>
      </c>
      <c r="U168" s="486">
        <v>0</v>
      </c>
      <c r="V168" s="486">
        <f>SUM(S168:U168)</f>
        <v>0</v>
      </c>
      <c r="W168" s="486">
        <v>0</v>
      </c>
      <c r="X168" s="486">
        <v>0</v>
      </c>
      <c r="Y168" s="486">
        <f>SUM(W168:X168)</f>
        <v>0</v>
      </c>
      <c r="Z168" s="486">
        <f>V168+Y168</f>
        <v>0</v>
      </c>
      <c r="AA168" s="178">
        <f t="shared" si="178"/>
        <v>0</v>
      </c>
      <c r="AB168" s="745">
        <f>ROUND(V168*2%,0)</f>
        <v>0</v>
      </c>
      <c r="AC168" s="486">
        <v>0</v>
      </c>
      <c r="AD168" s="486">
        <v>0</v>
      </c>
      <c r="AE168" s="486">
        <f t="shared" si="179"/>
        <v>0</v>
      </c>
      <c r="AF168" s="486">
        <f t="shared" si="180"/>
        <v>0</v>
      </c>
      <c r="AG168" s="501">
        <v>0</v>
      </c>
      <c r="AH168" s="501">
        <v>0</v>
      </c>
      <c r="AI168" s="501">
        <v>0</v>
      </c>
      <c r="AJ168" s="501">
        <v>0</v>
      </c>
      <c r="AK168" s="501">
        <v>0</v>
      </c>
      <c r="AL168" s="501">
        <f t="shared" si="198"/>
        <v>0</v>
      </c>
      <c r="AM168" s="501">
        <f t="shared" si="199"/>
        <v>0</v>
      </c>
      <c r="AN168" s="502">
        <f t="shared" si="181"/>
        <v>0</v>
      </c>
      <c r="AO168" s="499">
        <f>I168+AF168</f>
        <v>336984</v>
      </c>
      <c r="AP168" s="486">
        <f>J168+V168</f>
        <v>247440</v>
      </c>
      <c r="AQ168" s="486">
        <f>K168+Y168</f>
        <v>0</v>
      </c>
      <c r="AR168" s="486">
        <f>L168</f>
        <v>0</v>
      </c>
      <c r="AS168" s="486">
        <f t="shared" si="200"/>
        <v>83635</v>
      </c>
      <c r="AT168" s="486">
        <f t="shared" si="200"/>
        <v>4949</v>
      </c>
      <c r="AU168" s="486">
        <f>O168+AE168</f>
        <v>960</v>
      </c>
      <c r="AV168" s="501">
        <f>P168+AN168</f>
        <v>0.57000000000000006</v>
      </c>
      <c r="AW168" s="501">
        <f t="shared" si="201"/>
        <v>0.5</v>
      </c>
      <c r="AX168" s="502">
        <f t="shared" si="201"/>
        <v>7.0000000000000007E-2</v>
      </c>
    </row>
    <row r="169" spans="1:50" ht="14.1" customHeight="1" x14ac:dyDescent="0.2">
      <c r="A169" s="181">
        <v>38</v>
      </c>
      <c r="B169" s="179">
        <v>2307</v>
      </c>
      <c r="C169" s="180">
        <v>600079911</v>
      </c>
      <c r="D169" s="179">
        <v>72743212</v>
      </c>
      <c r="E169" s="578" t="s">
        <v>651</v>
      </c>
      <c r="F169" s="181"/>
      <c r="G169" s="578"/>
      <c r="H169" s="579"/>
      <c r="I169" s="580">
        <v>44879909</v>
      </c>
      <c r="J169" s="581">
        <v>31686380</v>
      </c>
      <c r="K169" s="581">
        <v>253020</v>
      </c>
      <c r="L169" s="581">
        <v>98420</v>
      </c>
      <c r="M169" s="581">
        <v>10762252</v>
      </c>
      <c r="N169" s="581">
        <v>633727</v>
      </c>
      <c r="O169" s="581">
        <v>1544530</v>
      </c>
      <c r="P169" s="582">
        <v>61.536699999999996</v>
      </c>
      <c r="Q169" s="582">
        <v>49.757899999999999</v>
      </c>
      <c r="R169" s="584">
        <v>11.778799999999999</v>
      </c>
      <c r="S169" s="583">
        <f t="shared" ref="S169:AX169" si="202">SUM(S164:S168)</f>
        <v>0</v>
      </c>
      <c r="T169" s="581">
        <f t="shared" si="202"/>
        <v>21225</v>
      </c>
      <c r="U169" s="581">
        <f t="shared" si="202"/>
        <v>0</v>
      </c>
      <c r="V169" s="581">
        <f t="shared" si="202"/>
        <v>21225</v>
      </c>
      <c r="W169" s="581">
        <f t="shared" si="202"/>
        <v>0</v>
      </c>
      <c r="X169" s="581">
        <f t="shared" si="202"/>
        <v>0</v>
      </c>
      <c r="Y169" s="581">
        <f t="shared" si="202"/>
        <v>0</v>
      </c>
      <c r="Z169" s="581">
        <f t="shared" si="202"/>
        <v>21225</v>
      </c>
      <c r="AA169" s="581">
        <f t="shared" si="202"/>
        <v>7174</v>
      </c>
      <c r="AB169" s="583">
        <f t="shared" si="202"/>
        <v>425</v>
      </c>
      <c r="AC169" s="581">
        <f t="shared" si="202"/>
        <v>0</v>
      </c>
      <c r="AD169" s="581">
        <f t="shared" si="202"/>
        <v>0</v>
      </c>
      <c r="AE169" s="581">
        <f t="shared" si="202"/>
        <v>0</v>
      </c>
      <c r="AF169" s="581">
        <f t="shared" si="202"/>
        <v>28824</v>
      </c>
      <c r="AG169" s="582">
        <f t="shared" si="202"/>
        <v>0</v>
      </c>
      <c r="AH169" s="582">
        <f t="shared" si="202"/>
        <v>0</v>
      </c>
      <c r="AI169" s="582">
        <f t="shared" si="202"/>
        <v>0.06</v>
      </c>
      <c r="AJ169" s="582">
        <f t="shared" si="202"/>
        <v>0</v>
      </c>
      <c r="AK169" s="582">
        <f t="shared" si="202"/>
        <v>0</v>
      </c>
      <c r="AL169" s="582">
        <f t="shared" si="202"/>
        <v>0.06</v>
      </c>
      <c r="AM169" s="582">
        <f t="shared" si="202"/>
        <v>0</v>
      </c>
      <c r="AN169" s="584">
        <f t="shared" si="202"/>
        <v>0.06</v>
      </c>
      <c r="AO169" s="583">
        <f t="shared" si="202"/>
        <v>44908733</v>
      </c>
      <c r="AP169" s="581">
        <f t="shared" si="202"/>
        <v>31707605</v>
      </c>
      <c r="AQ169" s="581">
        <f t="shared" si="202"/>
        <v>253020</v>
      </c>
      <c r="AR169" s="581">
        <f t="shared" si="202"/>
        <v>98420</v>
      </c>
      <c r="AS169" s="581">
        <f t="shared" si="202"/>
        <v>10769426</v>
      </c>
      <c r="AT169" s="581">
        <f t="shared" si="202"/>
        <v>634152</v>
      </c>
      <c r="AU169" s="581">
        <f t="shared" si="202"/>
        <v>1544530</v>
      </c>
      <c r="AV169" s="582">
        <f t="shared" si="202"/>
        <v>61.596699999999998</v>
      </c>
      <c r="AW169" s="582">
        <f t="shared" si="202"/>
        <v>49.817900000000002</v>
      </c>
      <c r="AX169" s="584">
        <f t="shared" si="202"/>
        <v>11.778799999999999</v>
      </c>
    </row>
    <row r="170" spans="1:50" ht="14.1" customHeight="1" x14ac:dyDescent="0.2">
      <c r="A170" s="585">
        <v>39</v>
      </c>
      <c r="B170" s="586">
        <v>2478</v>
      </c>
      <c r="C170" s="587">
        <v>600079929</v>
      </c>
      <c r="D170" s="586">
        <v>72743379</v>
      </c>
      <c r="E170" s="588" t="s">
        <v>652</v>
      </c>
      <c r="F170" s="585">
        <v>3113</v>
      </c>
      <c r="G170" s="588" t="s">
        <v>320</v>
      </c>
      <c r="H170" s="589" t="s">
        <v>283</v>
      </c>
      <c r="I170" s="495">
        <v>28714566</v>
      </c>
      <c r="J170" s="411">
        <v>20228047</v>
      </c>
      <c r="K170" s="520">
        <v>269538</v>
      </c>
      <c r="L170" s="520">
        <v>239538</v>
      </c>
      <c r="M170" s="475">
        <v>6847220</v>
      </c>
      <c r="N170" s="496">
        <v>404561</v>
      </c>
      <c r="O170" s="411">
        <v>965200</v>
      </c>
      <c r="P170" s="412">
        <v>39.257800000000003</v>
      </c>
      <c r="Q170" s="415">
        <v>30.6952</v>
      </c>
      <c r="R170" s="685">
        <v>8.5625999999999998</v>
      </c>
      <c r="S170" s="499">
        <v>0</v>
      </c>
      <c r="T170" s="486">
        <v>0</v>
      </c>
      <c r="U170" s="486">
        <v>0</v>
      </c>
      <c r="V170" s="486">
        <f>SUM(S170:U170)</f>
        <v>0</v>
      </c>
      <c r="W170" s="486">
        <v>0</v>
      </c>
      <c r="X170" s="486">
        <v>0</v>
      </c>
      <c r="Y170" s="486">
        <f>SUM(W170:X170)</f>
        <v>0</v>
      </c>
      <c r="Z170" s="486">
        <f>V170+Y170</f>
        <v>0</v>
      </c>
      <c r="AA170" s="178">
        <f t="shared" si="178"/>
        <v>0</v>
      </c>
      <c r="AB170" s="745">
        <f>ROUND(V170*2%,0)</f>
        <v>0</v>
      </c>
      <c r="AC170" s="486">
        <v>0</v>
      </c>
      <c r="AD170" s="486">
        <v>0</v>
      </c>
      <c r="AE170" s="486">
        <f t="shared" si="179"/>
        <v>0</v>
      </c>
      <c r="AF170" s="486">
        <f t="shared" si="180"/>
        <v>0</v>
      </c>
      <c r="AG170" s="501">
        <v>0</v>
      </c>
      <c r="AH170" s="501">
        <v>0</v>
      </c>
      <c r="AI170" s="501">
        <v>0</v>
      </c>
      <c r="AJ170" s="501">
        <v>0</v>
      </c>
      <c r="AK170" s="501">
        <v>0</v>
      </c>
      <c r="AL170" s="501">
        <f t="shared" ref="AL170:AL174" si="203">AG170+AI170+AJ170</f>
        <v>0</v>
      </c>
      <c r="AM170" s="501">
        <f t="shared" ref="AM170:AM174" si="204">AH170+AK170</f>
        <v>0</v>
      </c>
      <c r="AN170" s="502">
        <f t="shared" si="181"/>
        <v>0</v>
      </c>
      <c r="AO170" s="499">
        <f>I170+AF170</f>
        <v>28714566</v>
      </c>
      <c r="AP170" s="486">
        <f>J170+V170</f>
        <v>20228047</v>
      </c>
      <c r="AQ170" s="486">
        <f>K170+Y170</f>
        <v>269538</v>
      </c>
      <c r="AR170" s="486">
        <f>L170</f>
        <v>239538</v>
      </c>
      <c r="AS170" s="486">
        <f t="shared" ref="AS170:AT174" si="205">M170+AA170</f>
        <v>6847220</v>
      </c>
      <c r="AT170" s="486">
        <f t="shared" si="205"/>
        <v>404561</v>
      </c>
      <c r="AU170" s="486">
        <f>O170+AE170</f>
        <v>965200</v>
      </c>
      <c r="AV170" s="501">
        <f>P170+AN170</f>
        <v>39.257800000000003</v>
      </c>
      <c r="AW170" s="501">
        <f t="shared" ref="AW170:AX174" si="206">Q170+AL170</f>
        <v>30.6952</v>
      </c>
      <c r="AX170" s="502">
        <f t="shared" si="206"/>
        <v>8.5625999999999998</v>
      </c>
    </row>
    <row r="171" spans="1:50" ht="14.1" customHeight="1" x14ac:dyDescent="0.2">
      <c r="A171" s="585">
        <v>39</v>
      </c>
      <c r="B171" s="586">
        <v>2478</v>
      </c>
      <c r="C171" s="587">
        <v>600079929</v>
      </c>
      <c r="D171" s="586">
        <v>72743379</v>
      </c>
      <c r="E171" s="588" t="s">
        <v>652</v>
      </c>
      <c r="F171" s="585">
        <v>3113</v>
      </c>
      <c r="G171" s="208" t="s">
        <v>318</v>
      </c>
      <c r="H171" s="589" t="s">
        <v>284</v>
      </c>
      <c r="I171" s="495">
        <v>4989192</v>
      </c>
      <c r="J171" s="496">
        <v>3656106</v>
      </c>
      <c r="K171" s="475">
        <v>0</v>
      </c>
      <c r="L171" s="475">
        <v>0</v>
      </c>
      <c r="M171" s="475">
        <v>1235764</v>
      </c>
      <c r="N171" s="496">
        <v>73122</v>
      </c>
      <c r="O171" s="496">
        <v>24200</v>
      </c>
      <c r="P171" s="412">
        <v>10.67</v>
      </c>
      <c r="Q171" s="497">
        <v>10.67</v>
      </c>
      <c r="R171" s="498">
        <v>0</v>
      </c>
      <c r="S171" s="499">
        <v>0</v>
      </c>
      <c r="T171" s="486">
        <v>14150</v>
      </c>
      <c r="U171" s="486">
        <v>0</v>
      </c>
      <c r="V171" s="486">
        <f>SUM(S171:U171)</f>
        <v>14150</v>
      </c>
      <c r="W171" s="486">
        <v>0</v>
      </c>
      <c r="X171" s="486">
        <v>0</v>
      </c>
      <c r="Y171" s="486">
        <f>SUM(W171:X171)</f>
        <v>0</v>
      </c>
      <c r="Z171" s="486">
        <f>V171+Y171</f>
        <v>14150</v>
      </c>
      <c r="AA171" s="178">
        <f t="shared" si="178"/>
        <v>4783</v>
      </c>
      <c r="AB171" s="745">
        <f>ROUND(V171*2%,0)</f>
        <v>283</v>
      </c>
      <c r="AC171" s="486">
        <v>0</v>
      </c>
      <c r="AD171" s="486">
        <v>0</v>
      </c>
      <c r="AE171" s="486">
        <f t="shared" si="179"/>
        <v>0</v>
      </c>
      <c r="AF171" s="486">
        <f t="shared" si="180"/>
        <v>19216</v>
      </c>
      <c r="AG171" s="501">
        <v>0</v>
      </c>
      <c r="AH171" s="501">
        <v>0</v>
      </c>
      <c r="AI171" s="501">
        <v>0.04</v>
      </c>
      <c r="AJ171" s="501">
        <v>0</v>
      </c>
      <c r="AK171" s="501">
        <v>0</v>
      </c>
      <c r="AL171" s="501">
        <f t="shared" si="203"/>
        <v>0.04</v>
      </c>
      <c r="AM171" s="501">
        <f t="shared" si="204"/>
        <v>0</v>
      </c>
      <c r="AN171" s="502">
        <f t="shared" si="181"/>
        <v>0.04</v>
      </c>
      <c r="AO171" s="499">
        <f>I171+AF171</f>
        <v>5008408</v>
      </c>
      <c r="AP171" s="486">
        <f>J171+V171</f>
        <v>3670256</v>
      </c>
      <c r="AQ171" s="486">
        <f>K171+Y171</f>
        <v>0</v>
      </c>
      <c r="AR171" s="486">
        <f>L171</f>
        <v>0</v>
      </c>
      <c r="AS171" s="486">
        <f t="shared" si="205"/>
        <v>1240547</v>
      </c>
      <c r="AT171" s="486">
        <f t="shared" si="205"/>
        <v>73405</v>
      </c>
      <c r="AU171" s="486">
        <f>O171+AE171</f>
        <v>24200</v>
      </c>
      <c r="AV171" s="501">
        <f>P171+AN171</f>
        <v>10.709999999999999</v>
      </c>
      <c r="AW171" s="501">
        <f t="shared" si="206"/>
        <v>10.709999999999999</v>
      </c>
      <c r="AX171" s="502">
        <f t="shared" si="206"/>
        <v>0</v>
      </c>
    </row>
    <row r="172" spans="1:50" ht="14.1" customHeight="1" x14ac:dyDescent="0.2">
      <c r="A172" s="585">
        <v>39</v>
      </c>
      <c r="B172" s="586">
        <v>2478</v>
      </c>
      <c r="C172" s="587">
        <v>600079929</v>
      </c>
      <c r="D172" s="586">
        <v>72743379</v>
      </c>
      <c r="E172" s="588" t="s">
        <v>652</v>
      </c>
      <c r="F172" s="585">
        <v>3141</v>
      </c>
      <c r="G172" s="588" t="s">
        <v>321</v>
      </c>
      <c r="H172" s="589" t="s">
        <v>284</v>
      </c>
      <c r="I172" s="495">
        <v>2149065</v>
      </c>
      <c r="J172" s="496">
        <v>1563289</v>
      </c>
      <c r="K172" s="475">
        <v>5000</v>
      </c>
      <c r="L172" s="475">
        <v>0</v>
      </c>
      <c r="M172" s="475">
        <v>530081</v>
      </c>
      <c r="N172" s="496">
        <v>31265</v>
      </c>
      <c r="O172" s="496">
        <v>19430</v>
      </c>
      <c r="P172" s="412">
        <v>5.34</v>
      </c>
      <c r="Q172" s="497">
        <v>0</v>
      </c>
      <c r="R172" s="498">
        <v>5.34</v>
      </c>
      <c r="S172" s="499">
        <v>0</v>
      </c>
      <c r="T172" s="486">
        <v>0</v>
      </c>
      <c r="U172" s="486">
        <v>0</v>
      </c>
      <c r="V172" s="486">
        <f>SUM(S172:U172)</f>
        <v>0</v>
      </c>
      <c r="W172" s="486">
        <v>0</v>
      </c>
      <c r="X172" s="486">
        <v>0</v>
      </c>
      <c r="Y172" s="486">
        <f>SUM(W172:X172)</f>
        <v>0</v>
      </c>
      <c r="Z172" s="486">
        <f>V172+Y172</f>
        <v>0</v>
      </c>
      <c r="AA172" s="178">
        <f t="shared" si="178"/>
        <v>0</v>
      </c>
      <c r="AB172" s="745">
        <f>ROUND(V172*2%,0)</f>
        <v>0</v>
      </c>
      <c r="AC172" s="486">
        <v>0</v>
      </c>
      <c r="AD172" s="486">
        <v>0</v>
      </c>
      <c r="AE172" s="486">
        <f t="shared" si="179"/>
        <v>0</v>
      </c>
      <c r="AF172" s="486">
        <f t="shared" si="180"/>
        <v>0</v>
      </c>
      <c r="AG172" s="501">
        <v>0</v>
      </c>
      <c r="AH172" s="501">
        <v>0</v>
      </c>
      <c r="AI172" s="501">
        <v>0</v>
      </c>
      <c r="AJ172" s="501">
        <v>0</v>
      </c>
      <c r="AK172" s="501">
        <v>0</v>
      </c>
      <c r="AL172" s="501">
        <f t="shared" si="203"/>
        <v>0</v>
      </c>
      <c r="AM172" s="501">
        <f t="shared" si="204"/>
        <v>0</v>
      </c>
      <c r="AN172" s="502">
        <f t="shared" si="181"/>
        <v>0</v>
      </c>
      <c r="AO172" s="499">
        <f>I172+AF172</f>
        <v>2149065</v>
      </c>
      <c r="AP172" s="486">
        <f>J172+V172</f>
        <v>1563289</v>
      </c>
      <c r="AQ172" s="486">
        <f>K172+Y172</f>
        <v>5000</v>
      </c>
      <c r="AR172" s="486">
        <f>L172</f>
        <v>0</v>
      </c>
      <c r="AS172" s="486">
        <f t="shared" si="205"/>
        <v>530081</v>
      </c>
      <c r="AT172" s="486">
        <f t="shared" si="205"/>
        <v>31265</v>
      </c>
      <c r="AU172" s="486">
        <f>O172+AE172</f>
        <v>19430</v>
      </c>
      <c r="AV172" s="501">
        <f>P172+AN172</f>
        <v>5.34</v>
      </c>
      <c r="AW172" s="501">
        <f t="shared" si="206"/>
        <v>0</v>
      </c>
      <c r="AX172" s="502">
        <f t="shared" si="206"/>
        <v>5.34</v>
      </c>
    </row>
    <row r="173" spans="1:50" ht="14.1" customHeight="1" x14ac:dyDescent="0.2">
      <c r="A173" s="585">
        <v>39</v>
      </c>
      <c r="B173" s="586">
        <v>2478</v>
      </c>
      <c r="C173" s="587">
        <v>600079929</v>
      </c>
      <c r="D173" s="586">
        <v>72743379</v>
      </c>
      <c r="E173" s="588" t="s">
        <v>652</v>
      </c>
      <c r="F173" s="585">
        <v>3143</v>
      </c>
      <c r="G173" s="208" t="s">
        <v>634</v>
      </c>
      <c r="H173" s="589" t="s">
        <v>283</v>
      </c>
      <c r="I173" s="495">
        <v>3126494</v>
      </c>
      <c r="J173" s="411">
        <v>2272720</v>
      </c>
      <c r="K173" s="520">
        <v>30000</v>
      </c>
      <c r="L173" s="520">
        <v>0</v>
      </c>
      <c r="M173" s="475">
        <v>778319</v>
      </c>
      <c r="N173" s="496">
        <v>45455</v>
      </c>
      <c r="O173" s="496">
        <v>0</v>
      </c>
      <c r="P173" s="412">
        <v>5.2632000000000003</v>
      </c>
      <c r="Q173" s="415">
        <v>5.2632000000000003</v>
      </c>
      <c r="R173" s="498">
        <v>0</v>
      </c>
      <c r="S173" s="499">
        <v>0</v>
      </c>
      <c r="T173" s="486">
        <v>0</v>
      </c>
      <c r="U173" s="486">
        <v>0</v>
      </c>
      <c r="V173" s="486">
        <f>SUM(S173:U173)</f>
        <v>0</v>
      </c>
      <c r="W173" s="486">
        <v>0</v>
      </c>
      <c r="X173" s="486">
        <v>0</v>
      </c>
      <c r="Y173" s="486">
        <f>SUM(W173:X173)</f>
        <v>0</v>
      </c>
      <c r="Z173" s="486">
        <f>V173+Y173</f>
        <v>0</v>
      </c>
      <c r="AA173" s="178">
        <f t="shared" si="178"/>
        <v>0</v>
      </c>
      <c r="AB173" s="745">
        <f>ROUND(V173*2%,0)</f>
        <v>0</v>
      </c>
      <c r="AC173" s="486">
        <v>0</v>
      </c>
      <c r="AD173" s="486">
        <v>0</v>
      </c>
      <c r="AE173" s="486">
        <f t="shared" si="179"/>
        <v>0</v>
      </c>
      <c r="AF173" s="486">
        <f t="shared" si="180"/>
        <v>0</v>
      </c>
      <c r="AG173" s="501">
        <v>0</v>
      </c>
      <c r="AH173" s="501">
        <v>0</v>
      </c>
      <c r="AI173" s="501">
        <v>0</v>
      </c>
      <c r="AJ173" s="501">
        <v>0</v>
      </c>
      <c r="AK173" s="501">
        <v>0</v>
      </c>
      <c r="AL173" s="501">
        <f t="shared" si="203"/>
        <v>0</v>
      </c>
      <c r="AM173" s="501">
        <f t="shared" si="204"/>
        <v>0</v>
      </c>
      <c r="AN173" s="502">
        <f t="shared" si="181"/>
        <v>0</v>
      </c>
      <c r="AO173" s="499">
        <f>I173+AF173</f>
        <v>3126494</v>
      </c>
      <c r="AP173" s="486">
        <f>J173+V173</f>
        <v>2272720</v>
      </c>
      <c r="AQ173" s="486">
        <f>K173+Y173</f>
        <v>30000</v>
      </c>
      <c r="AR173" s="486">
        <f>L173</f>
        <v>0</v>
      </c>
      <c r="AS173" s="486">
        <f t="shared" si="205"/>
        <v>778319</v>
      </c>
      <c r="AT173" s="486">
        <f t="shared" si="205"/>
        <v>45455</v>
      </c>
      <c r="AU173" s="486">
        <f>O173+AE173</f>
        <v>0</v>
      </c>
      <c r="AV173" s="501">
        <f>P173+AN173</f>
        <v>5.2632000000000003</v>
      </c>
      <c r="AW173" s="501">
        <f t="shared" si="206"/>
        <v>5.2632000000000003</v>
      </c>
      <c r="AX173" s="502">
        <f t="shared" si="206"/>
        <v>0</v>
      </c>
    </row>
    <row r="174" spans="1:50" ht="14.1" customHeight="1" x14ac:dyDescent="0.2">
      <c r="A174" s="585">
        <v>39</v>
      </c>
      <c r="B174" s="586">
        <v>2478</v>
      </c>
      <c r="C174" s="587">
        <v>600079929</v>
      </c>
      <c r="D174" s="586">
        <v>72743379</v>
      </c>
      <c r="E174" s="588" t="s">
        <v>652</v>
      </c>
      <c r="F174" s="585">
        <v>3143</v>
      </c>
      <c r="G174" s="208" t="s">
        <v>635</v>
      </c>
      <c r="H174" s="589" t="s">
        <v>284</v>
      </c>
      <c r="I174" s="495">
        <v>97607</v>
      </c>
      <c r="J174" s="496">
        <v>68805</v>
      </c>
      <c r="K174" s="475">
        <v>0</v>
      </c>
      <c r="L174" s="475">
        <v>0</v>
      </c>
      <c r="M174" s="475">
        <v>23256</v>
      </c>
      <c r="N174" s="496">
        <v>1376</v>
      </c>
      <c r="O174" s="496">
        <v>4170</v>
      </c>
      <c r="P174" s="412">
        <v>0.28999999999999998</v>
      </c>
      <c r="Q174" s="497">
        <v>0</v>
      </c>
      <c r="R174" s="498">
        <v>0.28999999999999998</v>
      </c>
      <c r="S174" s="499">
        <v>0</v>
      </c>
      <c r="T174" s="486">
        <v>0</v>
      </c>
      <c r="U174" s="486">
        <v>0</v>
      </c>
      <c r="V174" s="486">
        <f>SUM(S174:U174)</f>
        <v>0</v>
      </c>
      <c r="W174" s="486">
        <v>0</v>
      </c>
      <c r="X174" s="486">
        <v>0</v>
      </c>
      <c r="Y174" s="486">
        <f>SUM(W174:X174)</f>
        <v>0</v>
      </c>
      <c r="Z174" s="486">
        <f>V174+Y174</f>
        <v>0</v>
      </c>
      <c r="AA174" s="178">
        <f t="shared" si="178"/>
        <v>0</v>
      </c>
      <c r="AB174" s="745">
        <f>ROUND(V174*2%,0)</f>
        <v>0</v>
      </c>
      <c r="AC174" s="486">
        <v>0</v>
      </c>
      <c r="AD174" s="486">
        <v>0</v>
      </c>
      <c r="AE174" s="486">
        <f t="shared" si="179"/>
        <v>0</v>
      </c>
      <c r="AF174" s="486">
        <f t="shared" si="180"/>
        <v>0</v>
      </c>
      <c r="AG174" s="501">
        <v>0</v>
      </c>
      <c r="AH174" s="501">
        <v>0</v>
      </c>
      <c r="AI174" s="501">
        <v>0</v>
      </c>
      <c r="AJ174" s="501">
        <v>0</v>
      </c>
      <c r="AK174" s="501">
        <v>0</v>
      </c>
      <c r="AL174" s="501">
        <f t="shared" si="203"/>
        <v>0</v>
      </c>
      <c r="AM174" s="501">
        <f t="shared" si="204"/>
        <v>0</v>
      </c>
      <c r="AN174" s="502">
        <f t="shared" si="181"/>
        <v>0</v>
      </c>
      <c r="AO174" s="499">
        <f>I174+AF174</f>
        <v>97607</v>
      </c>
      <c r="AP174" s="486">
        <f>J174+V174</f>
        <v>68805</v>
      </c>
      <c r="AQ174" s="486">
        <f>K174+Y174</f>
        <v>0</v>
      </c>
      <c r="AR174" s="486">
        <f>L174</f>
        <v>0</v>
      </c>
      <c r="AS174" s="486">
        <f t="shared" si="205"/>
        <v>23256</v>
      </c>
      <c r="AT174" s="486">
        <f t="shared" si="205"/>
        <v>1376</v>
      </c>
      <c r="AU174" s="486">
        <f>O174+AE174</f>
        <v>4170</v>
      </c>
      <c r="AV174" s="501">
        <f>P174+AN174</f>
        <v>0.28999999999999998</v>
      </c>
      <c r="AW174" s="501">
        <f t="shared" si="206"/>
        <v>0</v>
      </c>
      <c r="AX174" s="502">
        <f t="shared" si="206"/>
        <v>0.28999999999999998</v>
      </c>
    </row>
    <row r="175" spans="1:50" ht="14.1" customHeight="1" x14ac:dyDescent="0.2">
      <c r="A175" s="181">
        <v>39</v>
      </c>
      <c r="B175" s="179">
        <v>2478</v>
      </c>
      <c r="C175" s="180">
        <v>600079929</v>
      </c>
      <c r="D175" s="179">
        <v>72743379</v>
      </c>
      <c r="E175" s="578" t="s">
        <v>653</v>
      </c>
      <c r="F175" s="181"/>
      <c r="G175" s="578"/>
      <c r="H175" s="579"/>
      <c r="I175" s="580">
        <v>39076924</v>
      </c>
      <c r="J175" s="581">
        <v>27788967</v>
      </c>
      <c r="K175" s="581">
        <v>304538</v>
      </c>
      <c r="L175" s="581">
        <v>239538</v>
      </c>
      <c r="M175" s="581">
        <v>9414640</v>
      </c>
      <c r="N175" s="581">
        <v>555779</v>
      </c>
      <c r="O175" s="581">
        <v>1013000</v>
      </c>
      <c r="P175" s="582">
        <v>60.821000000000005</v>
      </c>
      <c r="Q175" s="582">
        <v>46.628399999999999</v>
      </c>
      <c r="R175" s="584">
        <v>14.192599999999999</v>
      </c>
      <c r="S175" s="583">
        <f t="shared" ref="S175:AX175" si="207">SUM(S170:S174)</f>
        <v>0</v>
      </c>
      <c r="T175" s="581">
        <f t="shared" si="207"/>
        <v>14150</v>
      </c>
      <c r="U175" s="581">
        <f t="shared" si="207"/>
        <v>0</v>
      </c>
      <c r="V175" s="581">
        <f t="shared" si="207"/>
        <v>14150</v>
      </c>
      <c r="W175" s="581">
        <f t="shared" si="207"/>
        <v>0</v>
      </c>
      <c r="X175" s="581">
        <f t="shared" si="207"/>
        <v>0</v>
      </c>
      <c r="Y175" s="581">
        <f t="shared" si="207"/>
        <v>0</v>
      </c>
      <c r="Z175" s="581">
        <f t="shared" si="207"/>
        <v>14150</v>
      </c>
      <c r="AA175" s="581">
        <f t="shared" si="207"/>
        <v>4783</v>
      </c>
      <c r="AB175" s="583">
        <f t="shared" si="207"/>
        <v>283</v>
      </c>
      <c r="AC175" s="581">
        <f t="shared" si="207"/>
        <v>0</v>
      </c>
      <c r="AD175" s="581">
        <f t="shared" si="207"/>
        <v>0</v>
      </c>
      <c r="AE175" s="581">
        <f t="shared" si="207"/>
        <v>0</v>
      </c>
      <c r="AF175" s="581">
        <f t="shared" si="207"/>
        <v>19216</v>
      </c>
      <c r="AG175" s="582">
        <f t="shared" si="207"/>
        <v>0</v>
      </c>
      <c r="AH175" s="582">
        <f t="shared" si="207"/>
        <v>0</v>
      </c>
      <c r="AI175" s="582">
        <f t="shared" si="207"/>
        <v>0.04</v>
      </c>
      <c r="AJ175" s="582">
        <f t="shared" si="207"/>
        <v>0</v>
      </c>
      <c r="AK175" s="582">
        <f t="shared" si="207"/>
        <v>0</v>
      </c>
      <c r="AL175" s="582">
        <f t="shared" si="207"/>
        <v>0.04</v>
      </c>
      <c r="AM175" s="582">
        <f t="shared" si="207"/>
        <v>0</v>
      </c>
      <c r="AN175" s="584">
        <f t="shared" si="207"/>
        <v>0.04</v>
      </c>
      <c r="AO175" s="583">
        <f t="shared" si="207"/>
        <v>39096140</v>
      </c>
      <c r="AP175" s="581">
        <f t="shared" si="207"/>
        <v>27803117</v>
      </c>
      <c r="AQ175" s="581">
        <f t="shared" si="207"/>
        <v>304538</v>
      </c>
      <c r="AR175" s="581">
        <f t="shared" si="207"/>
        <v>239538</v>
      </c>
      <c r="AS175" s="581">
        <f t="shared" si="207"/>
        <v>9419423</v>
      </c>
      <c r="AT175" s="581">
        <f t="shared" si="207"/>
        <v>556062</v>
      </c>
      <c r="AU175" s="581">
        <f t="shared" si="207"/>
        <v>1013000</v>
      </c>
      <c r="AV175" s="582">
        <f t="shared" si="207"/>
        <v>60.860999999999997</v>
      </c>
      <c r="AW175" s="582">
        <f t="shared" si="207"/>
        <v>46.668399999999998</v>
      </c>
      <c r="AX175" s="584">
        <f t="shared" si="207"/>
        <v>14.192599999999999</v>
      </c>
    </row>
    <row r="176" spans="1:50" ht="14.1" customHeight="1" x14ac:dyDescent="0.2">
      <c r="A176" s="585">
        <v>40</v>
      </c>
      <c r="B176" s="586">
        <v>2465</v>
      </c>
      <c r="C176" s="587">
        <v>650018273</v>
      </c>
      <c r="D176" s="586">
        <v>72741791</v>
      </c>
      <c r="E176" s="588" t="s">
        <v>654</v>
      </c>
      <c r="F176" s="585">
        <v>3111</v>
      </c>
      <c r="G176" s="588" t="s">
        <v>317</v>
      </c>
      <c r="H176" s="589" t="s">
        <v>283</v>
      </c>
      <c r="I176" s="495">
        <v>3603877</v>
      </c>
      <c r="J176" s="411">
        <v>2617155</v>
      </c>
      <c r="K176" s="520">
        <v>10000</v>
      </c>
      <c r="L176" s="520">
        <v>0</v>
      </c>
      <c r="M176" s="475">
        <v>887979</v>
      </c>
      <c r="N176" s="496">
        <v>52343</v>
      </c>
      <c r="O176" s="411">
        <v>36400</v>
      </c>
      <c r="P176" s="412">
        <v>6.9876000000000005</v>
      </c>
      <c r="Q176" s="415">
        <v>5.6048</v>
      </c>
      <c r="R176" s="685">
        <v>1.3828</v>
      </c>
      <c r="S176" s="499">
        <v>0</v>
      </c>
      <c r="T176" s="486">
        <v>0</v>
      </c>
      <c r="U176" s="486">
        <v>0</v>
      </c>
      <c r="V176" s="486">
        <f t="shared" ref="V176:V181" si="208">SUM(S176:U176)</f>
        <v>0</v>
      </c>
      <c r="W176" s="486">
        <v>0</v>
      </c>
      <c r="X176" s="486">
        <v>0</v>
      </c>
      <c r="Y176" s="486">
        <f t="shared" ref="Y176:Y181" si="209">SUM(W176:X176)</f>
        <v>0</v>
      </c>
      <c r="Z176" s="486">
        <f t="shared" ref="Z176:Z181" si="210">V176+Y176</f>
        <v>0</v>
      </c>
      <c r="AA176" s="178">
        <f t="shared" si="178"/>
        <v>0</v>
      </c>
      <c r="AB176" s="745">
        <f t="shared" ref="AB176:AB181" si="211">ROUND(V176*2%,0)</f>
        <v>0</v>
      </c>
      <c r="AC176" s="486">
        <v>0</v>
      </c>
      <c r="AD176" s="486">
        <v>0</v>
      </c>
      <c r="AE176" s="486">
        <f t="shared" si="179"/>
        <v>0</v>
      </c>
      <c r="AF176" s="486">
        <f t="shared" si="180"/>
        <v>0</v>
      </c>
      <c r="AG176" s="501">
        <v>0</v>
      </c>
      <c r="AH176" s="501">
        <v>0</v>
      </c>
      <c r="AI176" s="501">
        <v>0</v>
      </c>
      <c r="AJ176" s="501">
        <v>0</v>
      </c>
      <c r="AK176" s="501">
        <v>0</v>
      </c>
      <c r="AL176" s="501">
        <f t="shared" ref="AL176:AL181" si="212">AG176+AI176+AJ176</f>
        <v>0</v>
      </c>
      <c r="AM176" s="501">
        <f t="shared" ref="AM176:AM181" si="213">AH176+AK176</f>
        <v>0</v>
      </c>
      <c r="AN176" s="502">
        <f t="shared" si="181"/>
        <v>0</v>
      </c>
      <c r="AO176" s="499">
        <f t="shared" ref="AO176:AO181" si="214">I176+AF176</f>
        <v>3603877</v>
      </c>
      <c r="AP176" s="486">
        <f t="shared" ref="AP176:AP181" si="215">J176+V176</f>
        <v>2617155</v>
      </c>
      <c r="AQ176" s="486">
        <f t="shared" ref="AQ176:AQ181" si="216">K176+Y176</f>
        <v>10000</v>
      </c>
      <c r="AR176" s="486">
        <f t="shared" ref="AR176:AR181" si="217">L176</f>
        <v>0</v>
      </c>
      <c r="AS176" s="486">
        <f t="shared" ref="AS176:AT181" si="218">M176+AA176</f>
        <v>887979</v>
      </c>
      <c r="AT176" s="486">
        <f t="shared" si="218"/>
        <v>52343</v>
      </c>
      <c r="AU176" s="486">
        <f t="shared" ref="AU176:AU181" si="219">O176+AE176</f>
        <v>36400</v>
      </c>
      <c r="AV176" s="501">
        <f t="shared" ref="AV176:AV181" si="220">P176+AN176</f>
        <v>6.9876000000000005</v>
      </c>
      <c r="AW176" s="501">
        <f t="shared" ref="AW176:AX181" si="221">Q176+AL176</f>
        <v>5.6048</v>
      </c>
      <c r="AX176" s="502">
        <f t="shared" si="221"/>
        <v>1.3828</v>
      </c>
    </row>
    <row r="177" spans="1:50" ht="14.1" customHeight="1" x14ac:dyDescent="0.2">
      <c r="A177" s="585">
        <v>40</v>
      </c>
      <c r="B177" s="586">
        <v>2465</v>
      </c>
      <c r="C177" s="587">
        <v>650018273</v>
      </c>
      <c r="D177" s="586">
        <v>72741791</v>
      </c>
      <c r="E177" s="588" t="s">
        <v>654</v>
      </c>
      <c r="F177" s="585">
        <v>3113</v>
      </c>
      <c r="G177" s="588" t="s">
        <v>320</v>
      </c>
      <c r="H177" s="589" t="s">
        <v>283</v>
      </c>
      <c r="I177" s="495">
        <v>18771563</v>
      </c>
      <c r="J177" s="411">
        <v>13261673</v>
      </c>
      <c r="K177" s="520">
        <v>110552</v>
      </c>
      <c r="L177" s="520">
        <v>40552</v>
      </c>
      <c r="M177" s="475">
        <v>4506105</v>
      </c>
      <c r="N177" s="496">
        <v>265233</v>
      </c>
      <c r="O177" s="411">
        <v>628000</v>
      </c>
      <c r="P177" s="412">
        <v>26.01</v>
      </c>
      <c r="Q177" s="415">
        <v>19.209800000000001</v>
      </c>
      <c r="R177" s="685">
        <v>6.8002000000000002</v>
      </c>
      <c r="S177" s="499">
        <v>0</v>
      </c>
      <c r="T177" s="486">
        <v>0</v>
      </c>
      <c r="U177" s="486">
        <v>0</v>
      </c>
      <c r="V177" s="486">
        <f t="shared" si="208"/>
        <v>0</v>
      </c>
      <c r="W177" s="486">
        <v>0</v>
      </c>
      <c r="X177" s="486">
        <v>0</v>
      </c>
      <c r="Y177" s="486">
        <f t="shared" si="209"/>
        <v>0</v>
      </c>
      <c r="Z177" s="486">
        <f t="shared" si="210"/>
        <v>0</v>
      </c>
      <c r="AA177" s="178">
        <f t="shared" si="178"/>
        <v>0</v>
      </c>
      <c r="AB177" s="745">
        <f t="shared" si="211"/>
        <v>0</v>
      </c>
      <c r="AC177" s="486">
        <v>0</v>
      </c>
      <c r="AD177" s="486">
        <v>0</v>
      </c>
      <c r="AE177" s="486">
        <f t="shared" si="179"/>
        <v>0</v>
      </c>
      <c r="AF177" s="486">
        <f t="shared" si="180"/>
        <v>0</v>
      </c>
      <c r="AG177" s="501">
        <v>0</v>
      </c>
      <c r="AH177" s="501">
        <v>0</v>
      </c>
      <c r="AI177" s="501">
        <v>0</v>
      </c>
      <c r="AJ177" s="501">
        <v>0</v>
      </c>
      <c r="AK177" s="501">
        <v>0</v>
      </c>
      <c r="AL177" s="501">
        <f t="shared" si="212"/>
        <v>0</v>
      </c>
      <c r="AM177" s="501">
        <f t="shared" si="213"/>
        <v>0</v>
      </c>
      <c r="AN177" s="502">
        <f t="shared" si="181"/>
        <v>0</v>
      </c>
      <c r="AO177" s="499">
        <f t="shared" si="214"/>
        <v>18771563</v>
      </c>
      <c r="AP177" s="486">
        <f t="shared" si="215"/>
        <v>13261673</v>
      </c>
      <c r="AQ177" s="486">
        <f t="shared" si="216"/>
        <v>110552</v>
      </c>
      <c r="AR177" s="486">
        <f t="shared" si="217"/>
        <v>40552</v>
      </c>
      <c r="AS177" s="486">
        <f t="shared" si="218"/>
        <v>4506105</v>
      </c>
      <c r="AT177" s="486">
        <f t="shared" si="218"/>
        <v>265233</v>
      </c>
      <c r="AU177" s="486">
        <f t="shared" si="219"/>
        <v>628000</v>
      </c>
      <c r="AV177" s="501">
        <f t="shared" si="220"/>
        <v>26.01</v>
      </c>
      <c r="AW177" s="501">
        <f t="shared" si="221"/>
        <v>19.209800000000001</v>
      </c>
      <c r="AX177" s="502">
        <f t="shared" si="221"/>
        <v>6.8002000000000002</v>
      </c>
    </row>
    <row r="178" spans="1:50" ht="14.1" customHeight="1" x14ac:dyDescent="0.2">
      <c r="A178" s="585">
        <v>40</v>
      </c>
      <c r="B178" s="586">
        <v>2465</v>
      </c>
      <c r="C178" s="587">
        <v>650018273</v>
      </c>
      <c r="D178" s="586">
        <v>72741791</v>
      </c>
      <c r="E178" s="588" t="s">
        <v>654</v>
      </c>
      <c r="F178" s="585">
        <v>3113</v>
      </c>
      <c r="G178" s="208" t="s">
        <v>318</v>
      </c>
      <c r="H178" s="589" t="s">
        <v>284</v>
      </c>
      <c r="I178" s="495">
        <v>2529057</v>
      </c>
      <c r="J178" s="496">
        <v>1858290</v>
      </c>
      <c r="K178" s="475">
        <v>0</v>
      </c>
      <c r="L178" s="475">
        <v>0</v>
      </c>
      <c r="M178" s="475">
        <v>628101</v>
      </c>
      <c r="N178" s="496">
        <v>37166</v>
      </c>
      <c r="O178" s="496">
        <v>5500</v>
      </c>
      <c r="P178" s="412">
        <v>5.4</v>
      </c>
      <c r="Q178" s="497">
        <v>5.4</v>
      </c>
      <c r="R178" s="498">
        <v>0</v>
      </c>
      <c r="S178" s="499">
        <v>0</v>
      </c>
      <c r="T178" s="486">
        <v>14150</v>
      </c>
      <c r="U178" s="486">
        <v>0</v>
      </c>
      <c r="V178" s="486">
        <f t="shared" si="208"/>
        <v>14150</v>
      </c>
      <c r="W178" s="486">
        <v>0</v>
      </c>
      <c r="X178" s="486">
        <v>0</v>
      </c>
      <c r="Y178" s="486">
        <f t="shared" si="209"/>
        <v>0</v>
      </c>
      <c r="Z178" s="486">
        <f t="shared" si="210"/>
        <v>14150</v>
      </c>
      <c r="AA178" s="178">
        <f t="shared" si="178"/>
        <v>4783</v>
      </c>
      <c r="AB178" s="745">
        <f t="shared" si="211"/>
        <v>283</v>
      </c>
      <c r="AC178" s="486">
        <v>0</v>
      </c>
      <c r="AD178" s="486">
        <v>0</v>
      </c>
      <c r="AE178" s="486">
        <f t="shared" si="179"/>
        <v>0</v>
      </c>
      <c r="AF178" s="486">
        <f t="shared" si="180"/>
        <v>19216</v>
      </c>
      <c r="AG178" s="501">
        <v>0</v>
      </c>
      <c r="AH178" s="501">
        <v>0</v>
      </c>
      <c r="AI178" s="501">
        <v>0.04</v>
      </c>
      <c r="AJ178" s="501">
        <v>0</v>
      </c>
      <c r="AK178" s="501">
        <v>0</v>
      </c>
      <c r="AL178" s="501">
        <f t="shared" si="212"/>
        <v>0.04</v>
      </c>
      <c r="AM178" s="501">
        <f t="shared" si="213"/>
        <v>0</v>
      </c>
      <c r="AN178" s="502">
        <f t="shared" si="181"/>
        <v>0.04</v>
      </c>
      <c r="AO178" s="499">
        <f t="shared" si="214"/>
        <v>2548273</v>
      </c>
      <c r="AP178" s="486">
        <f t="shared" si="215"/>
        <v>1872440</v>
      </c>
      <c r="AQ178" s="486">
        <f t="shared" si="216"/>
        <v>0</v>
      </c>
      <c r="AR178" s="486">
        <f t="shared" si="217"/>
        <v>0</v>
      </c>
      <c r="AS178" s="486">
        <f t="shared" si="218"/>
        <v>632884</v>
      </c>
      <c r="AT178" s="486">
        <f t="shared" si="218"/>
        <v>37449</v>
      </c>
      <c r="AU178" s="486">
        <f t="shared" si="219"/>
        <v>5500</v>
      </c>
      <c r="AV178" s="501">
        <f t="shared" si="220"/>
        <v>5.44</v>
      </c>
      <c r="AW178" s="501">
        <f t="shared" si="221"/>
        <v>5.44</v>
      </c>
      <c r="AX178" s="502">
        <f t="shared" si="221"/>
        <v>0</v>
      </c>
    </row>
    <row r="179" spans="1:50" ht="14.1" customHeight="1" x14ac:dyDescent="0.2">
      <c r="A179" s="585">
        <v>40</v>
      </c>
      <c r="B179" s="586">
        <v>2465</v>
      </c>
      <c r="C179" s="587">
        <v>650018273</v>
      </c>
      <c r="D179" s="586">
        <v>72741791</v>
      </c>
      <c r="E179" s="588" t="s">
        <v>654</v>
      </c>
      <c r="F179" s="585">
        <v>3141</v>
      </c>
      <c r="G179" s="588" t="s">
        <v>321</v>
      </c>
      <c r="H179" s="589" t="s">
        <v>284</v>
      </c>
      <c r="I179" s="495">
        <v>1257499</v>
      </c>
      <c r="J179" s="496">
        <v>903043</v>
      </c>
      <c r="K179" s="475">
        <v>15000</v>
      </c>
      <c r="L179" s="475">
        <v>0</v>
      </c>
      <c r="M179" s="475">
        <v>310299</v>
      </c>
      <c r="N179" s="496">
        <v>18061</v>
      </c>
      <c r="O179" s="496">
        <v>11096</v>
      </c>
      <c r="P179" s="412">
        <v>3.13</v>
      </c>
      <c r="Q179" s="497">
        <v>0</v>
      </c>
      <c r="R179" s="498">
        <v>3.13</v>
      </c>
      <c r="S179" s="499">
        <v>0</v>
      </c>
      <c r="T179" s="486">
        <v>0</v>
      </c>
      <c r="U179" s="486">
        <v>0</v>
      </c>
      <c r="V179" s="486">
        <f t="shared" si="208"/>
        <v>0</v>
      </c>
      <c r="W179" s="486">
        <v>0</v>
      </c>
      <c r="X179" s="486">
        <v>0</v>
      </c>
      <c r="Y179" s="486">
        <f t="shared" si="209"/>
        <v>0</v>
      </c>
      <c r="Z179" s="486">
        <f t="shared" si="210"/>
        <v>0</v>
      </c>
      <c r="AA179" s="178">
        <f t="shared" si="178"/>
        <v>0</v>
      </c>
      <c r="AB179" s="745">
        <f t="shared" si="211"/>
        <v>0</v>
      </c>
      <c r="AC179" s="486">
        <v>0</v>
      </c>
      <c r="AD179" s="486">
        <v>0</v>
      </c>
      <c r="AE179" s="486">
        <f t="shared" si="179"/>
        <v>0</v>
      </c>
      <c r="AF179" s="486">
        <f t="shared" si="180"/>
        <v>0</v>
      </c>
      <c r="AG179" s="501">
        <v>0</v>
      </c>
      <c r="AH179" s="501">
        <v>0</v>
      </c>
      <c r="AI179" s="501">
        <v>0</v>
      </c>
      <c r="AJ179" s="501">
        <v>0</v>
      </c>
      <c r="AK179" s="501">
        <v>0</v>
      </c>
      <c r="AL179" s="501">
        <f t="shared" si="212"/>
        <v>0</v>
      </c>
      <c r="AM179" s="501">
        <f t="shared" si="213"/>
        <v>0</v>
      </c>
      <c r="AN179" s="502">
        <f t="shared" si="181"/>
        <v>0</v>
      </c>
      <c r="AO179" s="499">
        <f t="shared" si="214"/>
        <v>1257499</v>
      </c>
      <c r="AP179" s="486">
        <f t="shared" si="215"/>
        <v>903043</v>
      </c>
      <c r="AQ179" s="486">
        <f t="shared" si="216"/>
        <v>15000</v>
      </c>
      <c r="AR179" s="486">
        <f t="shared" si="217"/>
        <v>0</v>
      </c>
      <c r="AS179" s="486">
        <f t="shared" si="218"/>
        <v>310299</v>
      </c>
      <c r="AT179" s="486">
        <f t="shared" si="218"/>
        <v>18061</v>
      </c>
      <c r="AU179" s="486">
        <f t="shared" si="219"/>
        <v>11096</v>
      </c>
      <c r="AV179" s="501">
        <f t="shared" si="220"/>
        <v>3.13</v>
      </c>
      <c r="AW179" s="501">
        <f t="shared" si="221"/>
        <v>0</v>
      </c>
      <c r="AX179" s="502">
        <f t="shared" si="221"/>
        <v>3.13</v>
      </c>
    </row>
    <row r="180" spans="1:50" ht="14.1" customHeight="1" x14ac:dyDescent="0.2">
      <c r="A180" s="585">
        <v>40</v>
      </c>
      <c r="B180" s="586">
        <v>2465</v>
      </c>
      <c r="C180" s="587">
        <v>650018273</v>
      </c>
      <c r="D180" s="586">
        <v>72741791</v>
      </c>
      <c r="E180" s="588" t="s">
        <v>654</v>
      </c>
      <c r="F180" s="585">
        <v>3143</v>
      </c>
      <c r="G180" s="208" t="s">
        <v>634</v>
      </c>
      <c r="H180" s="589" t="s">
        <v>283</v>
      </c>
      <c r="I180" s="495">
        <v>1631550</v>
      </c>
      <c r="J180" s="411">
        <v>1191583</v>
      </c>
      <c r="K180" s="520">
        <v>10000</v>
      </c>
      <c r="L180" s="520">
        <v>0</v>
      </c>
      <c r="M180" s="475">
        <v>406135</v>
      </c>
      <c r="N180" s="496">
        <v>23832</v>
      </c>
      <c r="O180" s="496">
        <v>0</v>
      </c>
      <c r="P180" s="412">
        <v>2.9424000000000001</v>
      </c>
      <c r="Q180" s="415">
        <v>2.9424000000000001</v>
      </c>
      <c r="R180" s="498">
        <v>0</v>
      </c>
      <c r="S180" s="499">
        <v>0</v>
      </c>
      <c r="T180" s="486">
        <v>0</v>
      </c>
      <c r="U180" s="486">
        <v>0</v>
      </c>
      <c r="V180" s="486">
        <f t="shared" si="208"/>
        <v>0</v>
      </c>
      <c r="W180" s="486">
        <v>0</v>
      </c>
      <c r="X180" s="486">
        <v>0</v>
      </c>
      <c r="Y180" s="486">
        <f t="shared" si="209"/>
        <v>0</v>
      </c>
      <c r="Z180" s="486">
        <f t="shared" si="210"/>
        <v>0</v>
      </c>
      <c r="AA180" s="178">
        <f t="shared" si="178"/>
        <v>0</v>
      </c>
      <c r="AB180" s="745">
        <f t="shared" si="211"/>
        <v>0</v>
      </c>
      <c r="AC180" s="486">
        <v>0</v>
      </c>
      <c r="AD180" s="486">
        <v>0</v>
      </c>
      <c r="AE180" s="486">
        <f t="shared" si="179"/>
        <v>0</v>
      </c>
      <c r="AF180" s="486">
        <f t="shared" si="180"/>
        <v>0</v>
      </c>
      <c r="AG180" s="501">
        <v>0</v>
      </c>
      <c r="AH180" s="501">
        <v>0</v>
      </c>
      <c r="AI180" s="501">
        <v>0</v>
      </c>
      <c r="AJ180" s="501">
        <v>0</v>
      </c>
      <c r="AK180" s="501">
        <v>0</v>
      </c>
      <c r="AL180" s="501">
        <f t="shared" si="212"/>
        <v>0</v>
      </c>
      <c r="AM180" s="501">
        <f t="shared" si="213"/>
        <v>0</v>
      </c>
      <c r="AN180" s="502">
        <f t="shared" si="181"/>
        <v>0</v>
      </c>
      <c r="AO180" s="499">
        <f t="shared" si="214"/>
        <v>1631550</v>
      </c>
      <c r="AP180" s="486">
        <f t="shared" si="215"/>
        <v>1191583</v>
      </c>
      <c r="AQ180" s="486">
        <f t="shared" si="216"/>
        <v>10000</v>
      </c>
      <c r="AR180" s="486">
        <f t="shared" si="217"/>
        <v>0</v>
      </c>
      <c r="AS180" s="486">
        <f t="shared" si="218"/>
        <v>406135</v>
      </c>
      <c r="AT180" s="486">
        <f t="shared" si="218"/>
        <v>23832</v>
      </c>
      <c r="AU180" s="486">
        <f t="shared" si="219"/>
        <v>0</v>
      </c>
      <c r="AV180" s="501">
        <f t="shared" si="220"/>
        <v>2.9424000000000001</v>
      </c>
      <c r="AW180" s="501">
        <f t="shared" si="221"/>
        <v>2.9424000000000001</v>
      </c>
      <c r="AX180" s="502">
        <f t="shared" si="221"/>
        <v>0</v>
      </c>
    </row>
    <row r="181" spans="1:50" ht="14.1" customHeight="1" x14ac:dyDescent="0.2">
      <c r="A181" s="585">
        <v>40</v>
      </c>
      <c r="B181" s="586">
        <v>2465</v>
      </c>
      <c r="C181" s="587">
        <v>650018273</v>
      </c>
      <c r="D181" s="586">
        <v>72741791</v>
      </c>
      <c r="E181" s="588" t="s">
        <v>654</v>
      </c>
      <c r="F181" s="585">
        <v>3143</v>
      </c>
      <c r="G181" s="208" t="s">
        <v>635</v>
      </c>
      <c r="H181" s="589" t="s">
        <v>284</v>
      </c>
      <c r="I181" s="495">
        <v>61794</v>
      </c>
      <c r="J181" s="496">
        <v>43560</v>
      </c>
      <c r="K181" s="475">
        <v>0</v>
      </c>
      <c r="L181" s="475">
        <v>0</v>
      </c>
      <c r="M181" s="475">
        <v>14723</v>
      </c>
      <c r="N181" s="496">
        <v>871</v>
      </c>
      <c r="O181" s="496">
        <v>2640</v>
      </c>
      <c r="P181" s="412">
        <v>0.18</v>
      </c>
      <c r="Q181" s="497">
        <v>0</v>
      </c>
      <c r="R181" s="498">
        <v>0.18</v>
      </c>
      <c r="S181" s="499">
        <v>0</v>
      </c>
      <c r="T181" s="486">
        <v>0</v>
      </c>
      <c r="U181" s="486">
        <v>0</v>
      </c>
      <c r="V181" s="486">
        <f t="shared" si="208"/>
        <v>0</v>
      </c>
      <c r="W181" s="486">
        <v>0</v>
      </c>
      <c r="X181" s="486">
        <v>0</v>
      </c>
      <c r="Y181" s="486">
        <f t="shared" si="209"/>
        <v>0</v>
      </c>
      <c r="Z181" s="486">
        <f t="shared" si="210"/>
        <v>0</v>
      </c>
      <c r="AA181" s="178">
        <f t="shared" si="178"/>
        <v>0</v>
      </c>
      <c r="AB181" s="745">
        <f t="shared" si="211"/>
        <v>0</v>
      </c>
      <c r="AC181" s="486">
        <v>0</v>
      </c>
      <c r="AD181" s="486">
        <v>0</v>
      </c>
      <c r="AE181" s="486">
        <f t="shared" si="179"/>
        <v>0</v>
      </c>
      <c r="AF181" s="486">
        <f t="shared" si="180"/>
        <v>0</v>
      </c>
      <c r="AG181" s="501">
        <v>0</v>
      </c>
      <c r="AH181" s="501">
        <v>0</v>
      </c>
      <c r="AI181" s="501">
        <v>0</v>
      </c>
      <c r="AJ181" s="501">
        <v>0</v>
      </c>
      <c r="AK181" s="501">
        <v>0</v>
      </c>
      <c r="AL181" s="501">
        <f t="shared" si="212"/>
        <v>0</v>
      </c>
      <c r="AM181" s="501">
        <f t="shared" si="213"/>
        <v>0</v>
      </c>
      <c r="AN181" s="502">
        <f t="shared" si="181"/>
        <v>0</v>
      </c>
      <c r="AO181" s="499">
        <f t="shared" si="214"/>
        <v>61794</v>
      </c>
      <c r="AP181" s="486">
        <f t="shared" si="215"/>
        <v>43560</v>
      </c>
      <c r="AQ181" s="486">
        <f t="shared" si="216"/>
        <v>0</v>
      </c>
      <c r="AR181" s="486">
        <f t="shared" si="217"/>
        <v>0</v>
      </c>
      <c r="AS181" s="486">
        <f t="shared" si="218"/>
        <v>14723</v>
      </c>
      <c r="AT181" s="486">
        <f t="shared" si="218"/>
        <v>871</v>
      </c>
      <c r="AU181" s="486">
        <f t="shared" si="219"/>
        <v>2640</v>
      </c>
      <c r="AV181" s="501">
        <f t="shared" si="220"/>
        <v>0.18</v>
      </c>
      <c r="AW181" s="501">
        <f t="shared" si="221"/>
        <v>0</v>
      </c>
      <c r="AX181" s="502">
        <f t="shared" si="221"/>
        <v>0.18</v>
      </c>
    </row>
    <row r="182" spans="1:50" ht="14.1" customHeight="1" x14ac:dyDescent="0.2">
      <c r="A182" s="181">
        <v>40</v>
      </c>
      <c r="B182" s="179">
        <v>2465</v>
      </c>
      <c r="C182" s="180">
        <v>650018273</v>
      </c>
      <c r="D182" s="179">
        <v>72741791</v>
      </c>
      <c r="E182" s="578" t="s">
        <v>655</v>
      </c>
      <c r="F182" s="181"/>
      <c r="G182" s="578"/>
      <c r="H182" s="579"/>
      <c r="I182" s="580">
        <v>27855340</v>
      </c>
      <c r="J182" s="581">
        <v>19875304</v>
      </c>
      <c r="K182" s="581">
        <v>145552</v>
      </c>
      <c r="L182" s="581">
        <v>40552</v>
      </c>
      <c r="M182" s="581">
        <v>6753342</v>
      </c>
      <c r="N182" s="581">
        <v>397506</v>
      </c>
      <c r="O182" s="581">
        <v>683636</v>
      </c>
      <c r="P182" s="582">
        <v>44.650000000000006</v>
      </c>
      <c r="Q182" s="582">
        <v>33.157000000000004</v>
      </c>
      <c r="R182" s="584">
        <v>11.492999999999999</v>
      </c>
      <c r="S182" s="583">
        <f t="shared" ref="S182:AX182" si="222">SUM(S176:S181)</f>
        <v>0</v>
      </c>
      <c r="T182" s="581">
        <f t="shared" si="222"/>
        <v>14150</v>
      </c>
      <c r="U182" s="581">
        <f t="shared" si="222"/>
        <v>0</v>
      </c>
      <c r="V182" s="581">
        <f t="shared" si="222"/>
        <v>14150</v>
      </c>
      <c r="W182" s="581">
        <f t="shared" si="222"/>
        <v>0</v>
      </c>
      <c r="X182" s="581">
        <f t="shared" si="222"/>
        <v>0</v>
      </c>
      <c r="Y182" s="581">
        <f t="shared" si="222"/>
        <v>0</v>
      </c>
      <c r="Z182" s="581">
        <f t="shared" si="222"/>
        <v>14150</v>
      </c>
      <c r="AA182" s="581">
        <f t="shared" si="222"/>
        <v>4783</v>
      </c>
      <c r="AB182" s="583">
        <f t="shared" si="222"/>
        <v>283</v>
      </c>
      <c r="AC182" s="581">
        <f t="shared" si="222"/>
        <v>0</v>
      </c>
      <c r="AD182" s="581">
        <f t="shared" si="222"/>
        <v>0</v>
      </c>
      <c r="AE182" s="581">
        <f t="shared" si="222"/>
        <v>0</v>
      </c>
      <c r="AF182" s="581">
        <f t="shared" si="222"/>
        <v>19216</v>
      </c>
      <c r="AG182" s="582">
        <f t="shared" si="222"/>
        <v>0</v>
      </c>
      <c r="AH182" s="582">
        <f t="shared" si="222"/>
        <v>0</v>
      </c>
      <c r="AI182" s="582">
        <f t="shared" si="222"/>
        <v>0.04</v>
      </c>
      <c r="AJ182" s="582">
        <f t="shared" si="222"/>
        <v>0</v>
      </c>
      <c r="AK182" s="582">
        <f t="shared" si="222"/>
        <v>0</v>
      </c>
      <c r="AL182" s="582">
        <f t="shared" si="222"/>
        <v>0.04</v>
      </c>
      <c r="AM182" s="582">
        <f t="shared" si="222"/>
        <v>0</v>
      </c>
      <c r="AN182" s="584">
        <f t="shared" si="222"/>
        <v>0.04</v>
      </c>
      <c r="AO182" s="583">
        <f t="shared" si="222"/>
        <v>27874556</v>
      </c>
      <c r="AP182" s="581">
        <f t="shared" si="222"/>
        <v>19889454</v>
      </c>
      <c r="AQ182" s="581">
        <f t="shared" si="222"/>
        <v>145552</v>
      </c>
      <c r="AR182" s="581">
        <f t="shared" si="222"/>
        <v>40552</v>
      </c>
      <c r="AS182" s="581">
        <f t="shared" si="222"/>
        <v>6758125</v>
      </c>
      <c r="AT182" s="581">
        <f t="shared" si="222"/>
        <v>397789</v>
      </c>
      <c r="AU182" s="581">
        <f t="shared" si="222"/>
        <v>683636</v>
      </c>
      <c r="AV182" s="582">
        <f t="shared" si="222"/>
        <v>44.690000000000005</v>
      </c>
      <c r="AW182" s="582">
        <f t="shared" si="222"/>
        <v>33.197000000000003</v>
      </c>
      <c r="AX182" s="584">
        <f t="shared" si="222"/>
        <v>11.492999999999999</v>
      </c>
    </row>
    <row r="183" spans="1:50" ht="14.1" customHeight="1" x14ac:dyDescent="0.2">
      <c r="A183" s="585">
        <v>41</v>
      </c>
      <c r="B183" s="586">
        <v>2480</v>
      </c>
      <c r="C183" s="587">
        <v>600080293</v>
      </c>
      <c r="D183" s="586">
        <v>46744924</v>
      </c>
      <c r="E183" s="588" t="s">
        <v>656</v>
      </c>
      <c r="F183" s="585">
        <v>3113</v>
      </c>
      <c r="G183" s="588" t="s">
        <v>320</v>
      </c>
      <c r="H183" s="589" t="s">
        <v>283</v>
      </c>
      <c r="I183" s="495">
        <v>31546898</v>
      </c>
      <c r="J183" s="411">
        <v>22262633</v>
      </c>
      <c r="K183" s="520">
        <v>194102</v>
      </c>
      <c r="L183" s="520">
        <v>164102</v>
      </c>
      <c r="M183" s="475">
        <v>7534910</v>
      </c>
      <c r="N183" s="496">
        <v>445253</v>
      </c>
      <c r="O183" s="411">
        <v>1110000</v>
      </c>
      <c r="P183" s="412">
        <v>40.929600000000001</v>
      </c>
      <c r="Q183" s="415">
        <v>31.766999999999999</v>
      </c>
      <c r="R183" s="685">
        <v>9.1625999999999994</v>
      </c>
      <c r="S183" s="499">
        <v>0</v>
      </c>
      <c r="T183" s="486">
        <v>0</v>
      </c>
      <c r="U183" s="486">
        <v>0</v>
      </c>
      <c r="V183" s="486">
        <f t="shared" ref="V183:V188" si="223">SUM(S183:U183)</f>
        <v>0</v>
      </c>
      <c r="W183" s="486">
        <v>0</v>
      </c>
      <c r="X183" s="486">
        <v>0</v>
      </c>
      <c r="Y183" s="486">
        <f t="shared" ref="Y183:Y188" si="224">SUM(W183:X183)</f>
        <v>0</v>
      </c>
      <c r="Z183" s="486">
        <f t="shared" ref="Z183:Z188" si="225">V183+Y183</f>
        <v>0</v>
      </c>
      <c r="AA183" s="178">
        <f t="shared" si="178"/>
        <v>0</v>
      </c>
      <c r="AB183" s="745">
        <f t="shared" ref="AB183:AB188" si="226">ROUND(V183*2%,0)</f>
        <v>0</v>
      </c>
      <c r="AC183" s="486">
        <v>0</v>
      </c>
      <c r="AD183" s="486">
        <v>0</v>
      </c>
      <c r="AE183" s="486">
        <f t="shared" si="179"/>
        <v>0</v>
      </c>
      <c r="AF183" s="486">
        <f t="shared" si="180"/>
        <v>0</v>
      </c>
      <c r="AG183" s="501">
        <v>0</v>
      </c>
      <c r="AH183" s="501">
        <v>0</v>
      </c>
      <c r="AI183" s="501">
        <v>0</v>
      </c>
      <c r="AJ183" s="501">
        <v>0</v>
      </c>
      <c r="AK183" s="501">
        <v>0</v>
      </c>
      <c r="AL183" s="501">
        <f t="shared" ref="AL183:AL188" si="227">AG183+AI183+AJ183</f>
        <v>0</v>
      </c>
      <c r="AM183" s="501">
        <f t="shared" ref="AM183:AM188" si="228">AH183+AK183</f>
        <v>0</v>
      </c>
      <c r="AN183" s="502">
        <f t="shared" si="181"/>
        <v>0</v>
      </c>
      <c r="AO183" s="499">
        <f t="shared" ref="AO183:AO188" si="229">I183+AF183</f>
        <v>31546898</v>
      </c>
      <c r="AP183" s="486">
        <f t="shared" ref="AP183:AP188" si="230">J183+V183</f>
        <v>22262633</v>
      </c>
      <c r="AQ183" s="486">
        <f t="shared" ref="AQ183:AQ188" si="231">K183+Y183</f>
        <v>194102</v>
      </c>
      <c r="AR183" s="486">
        <f t="shared" ref="AR183:AR188" si="232">L183</f>
        <v>164102</v>
      </c>
      <c r="AS183" s="486">
        <f t="shared" ref="AS183:AT188" si="233">M183+AA183</f>
        <v>7534910</v>
      </c>
      <c r="AT183" s="486">
        <f t="shared" si="233"/>
        <v>445253</v>
      </c>
      <c r="AU183" s="486">
        <f t="shared" ref="AU183:AU188" si="234">O183+AE183</f>
        <v>1110000</v>
      </c>
      <c r="AV183" s="501">
        <f t="shared" ref="AV183:AV188" si="235">P183+AN183</f>
        <v>40.929600000000001</v>
      </c>
      <c r="AW183" s="501">
        <f t="shared" ref="AW183:AX188" si="236">Q183+AL183</f>
        <v>31.766999999999999</v>
      </c>
      <c r="AX183" s="502">
        <f t="shared" si="236"/>
        <v>9.1625999999999994</v>
      </c>
    </row>
    <row r="184" spans="1:50" ht="14.1" customHeight="1" x14ac:dyDescent="0.2">
      <c r="A184" s="585">
        <v>41</v>
      </c>
      <c r="B184" s="586">
        <v>2480</v>
      </c>
      <c r="C184" s="587">
        <v>600080293</v>
      </c>
      <c r="D184" s="586">
        <v>46744924</v>
      </c>
      <c r="E184" s="588" t="s">
        <v>656</v>
      </c>
      <c r="F184" s="585">
        <v>3113</v>
      </c>
      <c r="G184" s="208" t="s">
        <v>318</v>
      </c>
      <c r="H184" s="589" t="s">
        <v>284</v>
      </c>
      <c r="I184" s="495">
        <v>1908570</v>
      </c>
      <c r="J184" s="496">
        <v>1405428</v>
      </c>
      <c r="K184" s="475">
        <v>0</v>
      </c>
      <c r="L184" s="475">
        <v>0</v>
      </c>
      <c r="M184" s="475">
        <v>475034</v>
      </c>
      <c r="N184" s="496">
        <v>28108</v>
      </c>
      <c r="O184" s="496">
        <v>0</v>
      </c>
      <c r="P184" s="412">
        <v>3.72</v>
      </c>
      <c r="Q184" s="497">
        <v>3.72</v>
      </c>
      <c r="R184" s="498">
        <v>0</v>
      </c>
      <c r="S184" s="499">
        <v>0</v>
      </c>
      <c r="T184" s="486">
        <v>0</v>
      </c>
      <c r="U184" s="486">
        <v>0</v>
      </c>
      <c r="V184" s="486">
        <f t="shared" si="223"/>
        <v>0</v>
      </c>
      <c r="W184" s="486">
        <v>0</v>
      </c>
      <c r="X184" s="486">
        <v>0</v>
      </c>
      <c r="Y184" s="486">
        <f t="shared" si="224"/>
        <v>0</v>
      </c>
      <c r="Z184" s="486">
        <f t="shared" si="225"/>
        <v>0</v>
      </c>
      <c r="AA184" s="178">
        <f t="shared" si="178"/>
        <v>0</v>
      </c>
      <c r="AB184" s="745">
        <f t="shared" si="226"/>
        <v>0</v>
      </c>
      <c r="AC184" s="486">
        <v>0</v>
      </c>
      <c r="AD184" s="486">
        <v>0</v>
      </c>
      <c r="AE184" s="486">
        <f t="shared" si="179"/>
        <v>0</v>
      </c>
      <c r="AF184" s="486">
        <f t="shared" si="180"/>
        <v>0</v>
      </c>
      <c r="AG184" s="501">
        <v>0</v>
      </c>
      <c r="AH184" s="501">
        <v>0</v>
      </c>
      <c r="AI184" s="501">
        <v>0</v>
      </c>
      <c r="AJ184" s="501">
        <v>0</v>
      </c>
      <c r="AK184" s="501">
        <v>0</v>
      </c>
      <c r="AL184" s="501">
        <f t="shared" si="227"/>
        <v>0</v>
      </c>
      <c r="AM184" s="501">
        <f t="shared" si="228"/>
        <v>0</v>
      </c>
      <c r="AN184" s="502">
        <f t="shared" si="181"/>
        <v>0</v>
      </c>
      <c r="AO184" s="499">
        <f t="shared" si="229"/>
        <v>1908570</v>
      </c>
      <c r="AP184" s="486">
        <f t="shared" si="230"/>
        <v>1405428</v>
      </c>
      <c r="AQ184" s="486">
        <f t="shared" si="231"/>
        <v>0</v>
      </c>
      <c r="AR184" s="486">
        <f t="shared" si="232"/>
        <v>0</v>
      </c>
      <c r="AS184" s="486">
        <f t="shared" si="233"/>
        <v>475034</v>
      </c>
      <c r="AT184" s="486">
        <f t="shared" si="233"/>
        <v>28108</v>
      </c>
      <c r="AU184" s="486">
        <f t="shared" si="234"/>
        <v>0</v>
      </c>
      <c r="AV184" s="501">
        <f t="shared" si="235"/>
        <v>3.72</v>
      </c>
      <c r="AW184" s="501">
        <f t="shared" si="236"/>
        <v>3.72</v>
      </c>
      <c r="AX184" s="502">
        <f t="shared" si="236"/>
        <v>0</v>
      </c>
    </row>
    <row r="185" spans="1:50" ht="14.1" customHeight="1" x14ac:dyDescent="0.2">
      <c r="A185" s="585">
        <v>41</v>
      </c>
      <c r="B185" s="586">
        <v>2480</v>
      </c>
      <c r="C185" s="587">
        <v>600080293</v>
      </c>
      <c r="D185" s="586">
        <v>46744924</v>
      </c>
      <c r="E185" s="588" t="s">
        <v>656</v>
      </c>
      <c r="F185" s="585">
        <v>3141</v>
      </c>
      <c r="G185" s="588" t="s">
        <v>321</v>
      </c>
      <c r="H185" s="589" t="s">
        <v>284</v>
      </c>
      <c r="I185" s="495">
        <v>2940175</v>
      </c>
      <c r="J185" s="496">
        <v>2143637</v>
      </c>
      <c r="K185" s="475">
        <v>0</v>
      </c>
      <c r="L185" s="475">
        <v>0</v>
      </c>
      <c r="M185" s="475">
        <v>724549</v>
      </c>
      <c r="N185" s="496">
        <v>42873</v>
      </c>
      <c r="O185" s="496">
        <v>29116</v>
      </c>
      <c r="P185" s="412">
        <v>7.29</v>
      </c>
      <c r="Q185" s="497">
        <v>0</v>
      </c>
      <c r="R185" s="498">
        <v>7.29</v>
      </c>
      <c r="S185" s="499">
        <v>0</v>
      </c>
      <c r="T185" s="486">
        <v>0</v>
      </c>
      <c r="U185" s="486">
        <v>0</v>
      </c>
      <c r="V185" s="486">
        <f t="shared" si="223"/>
        <v>0</v>
      </c>
      <c r="W185" s="486">
        <v>0</v>
      </c>
      <c r="X185" s="486">
        <v>0</v>
      </c>
      <c r="Y185" s="486">
        <f t="shared" si="224"/>
        <v>0</v>
      </c>
      <c r="Z185" s="486">
        <f t="shared" si="225"/>
        <v>0</v>
      </c>
      <c r="AA185" s="178">
        <f t="shared" si="178"/>
        <v>0</v>
      </c>
      <c r="AB185" s="745">
        <f t="shared" si="226"/>
        <v>0</v>
      </c>
      <c r="AC185" s="486">
        <v>0</v>
      </c>
      <c r="AD185" s="486">
        <v>0</v>
      </c>
      <c r="AE185" s="486">
        <f t="shared" si="179"/>
        <v>0</v>
      </c>
      <c r="AF185" s="486">
        <f t="shared" si="180"/>
        <v>0</v>
      </c>
      <c r="AG185" s="501">
        <v>0</v>
      </c>
      <c r="AH185" s="501">
        <v>0</v>
      </c>
      <c r="AI185" s="501">
        <v>0</v>
      </c>
      <c r="AJ185" s="501">
        <v>0</v>
      </c>
      <c r="AK185" s="501">
        <v>0</v>
      </c>
      <c r="AL185" s="501">
        <f t="shared" si="227"/>
        <v>0</v>
      </c>
      <c r="AM185" s="501">
        <f t="shared" si="228"/>
        <v>0</v>
      </c>
      <c r="AN185" s="502">
        <f t="shared" si="181"/>
        <v>0</v>
      </c>
      <c r="AO185" s="499">
        <f t="shared" si="229"/>
        <v>2940175</v>
      </c>
      <c r="AP185" s="486">
        <f t="shared" si="230"/>
        <v>2143637</v>
      </c>
      <c r="AQ185" s="486">
        <f t="shared" si="231"/>
        <v>0</v>
      </c>
      <c r="AR185" s="486">
        <f t="shared" si="232"/>
        <v>0</v>
      </c>
      <c r="AS185" s="486">
        <f t="shared" si="233"/>
        <v>724549</v>
      </c>
      <c r="AT185" s="486">
        <f t="shared" si="233"/>
        <v>42873</v>
      </c>
      <c r="AU185" s="486">
        <f t="shared" si="234"/>
        <v>29116</v>
      </c>
      <c r="AV185" s="501">
        <f t="shared" si="235"/>
        <v>7.29</v>
      </c>
      <c r="AW185" s="501">
        <f t="shared" si="236"/>
        <v>0</v>
      </c>
      <c r="AX185" s="502">
        <f t="shared" si="236"/>
        <v>7.29</v>
      </c>
    </row>
    <row r="186" spans="1:50" ht="14.1" customHeight="1" x14ac:dyDescent="0.2">
      <c r="A186" s="585">
        <v>41</v>
      </c>
      <c r="B186" s="586">
        <v>2480</v>
      </c>
      <c r="C186" s="587">
        <v>600080293</v>
      </c>
      <c r="D186" s="586">
        <v>46744924</v>
      </c>
      <c r="E186" s="588" t="s">
        <v>656</v>
      </c>
      <c r="F186" s="585">
        <v>3143</v>
      </c>
      <c r="G186" s="208" t="s">
        <v>634</v>
      </c>
      <c r="H186" s="589" t="s">
        <v>283</v>
      </c>
      <c r="I186" s="495">
        <v>3247942</v>
      </c>
      <c r="J186" s="411">
        <v>2391710</v>
      </c>
      <c r="K186" s="520">
        <v>0</v>
      </c>
      <c r="L186" s="520">
        <v>0</v>
      </c>
      <c r="M186" s="475">
        <v>808398</v>
      </c>
      <c r="N186" s="496">
        <v>47834</v>
      </c>
      <c r="O186" s="496">
        <v>0</v>
      </c>
      <c r="P186" s="412">
        <v>5.1029999999999998</v>
      </c>
      <c r="Q186" s="415">
        <v>5.1029999999999998</v>
      </c>
      <c r="R186" s="498">
        <v>0</v>
      </c>
      <c r="S186" s="499">
        <v>0</v>
      </c>
      <c r="T186" s="486">
        <v>0</v>
      </c>
      <c r="U186" s="486">
        <v>0</v>
      </c>
      <c r="V186" s="486">
        <f t="shared" si="223"/>
        <v>0</v>
      </c>
      <c r="W186" s="486">
        <v>0</v>
      </c>
      <c r="X186" s="486">
        <v>0</v>
      </c>
      <c r="Y186" s="486">
        <f t="shared" si="224"/>
        <v>0</v>
      </c>
      <c r="Z186" s="486">
        <f t="shared" si="225"/>
        <v>0</v>
      </c>
      <c r="AA186" s="178">
        <f t="shared" si="178"/>
        <v>0</v>
      </c>
      <c r="AB186" s="745">
        <f t="shared" si="226"/>
        <v>0</v>
      </c>
      <c r="AC186" s="486">
        <v>0</v>
      </c>
      <c r="AD186" s="486">
        <v>0</v>
      </c>
      <c r="AE186" s="486">
        <f t="shared" si="179"/>
        <v>0</v>
      </c>
      <c r="AF186" s="486">
        <f t="shared" si="180"/>
        <v>0</v>
      </c>
      <c r="AG186" s="501">
        <v>0</v>
      </c>
      <c r="AH186" s="501">
        <v>0</v>
      </c>
      <c r="AI186" s="501">
        <v>0</v>
      </c>
      <c r="AJ186" s="501">
        <v>0</v>
      </c>
      <c r="AK186" s="501">
        <v>0</v>
      </c>
      <c r="AL186" s="501">
        <f t="shared" si="227"/>
        <v>0</v>
      </c>
      <c r="AM186" s="501">
        <f t="shared" si="228"/>
        <v>0</v>
      </c>
      <c r="AN186" s="502">
        <f t="shared" si="181"/>
        <v>0</v>
      </c>
      <c r="AO186" s="499">
        <f t="shared" si="229"/>
        <v>3247942</v>
      </c>
      <c r="AP186" s="486">
        <f t="shared" si="230"/>
        <v>2391710</v>
      </c>
      <c r="AQ186" s="486">
        <f t="shared" si="231"/>
        <v>0</v>
      </c>
      <c r="AR186" s="486">
        <f t="shared" si="232"/>
        <v>0</v>
      </c>
      <c r="AS186" s="486">
        <f t="shared" si="233"/>
        <v>808398</v>
      </c>
      <c r="AT186" s="486">
        <f t="shared" si="233"/>
        <v>47834</v>
      </c>
      <c r="AU186" s="486">
        <f t="shared" si="234"/>
        <v>0</v>
      </c>
      <c r="AV186" s="501">
        <f t="shared" si="235"/>
        <v>5.1029999999999998</v>
      </c>
      <c r="AW186" s="501">
        <f t="shared" si="236"/>
        <v>5.1029999999999998</v>
      </c>
      <c r="AX186" s="502">
        <f t="shared" si="236"/>
        <v>0</v>
      </c>
    </row>
    <row r="187" spans="1:50" ht="14.1" customHeight="1" x14ac:dyDescent="0.2">
      <c r="A187" s="585">
        <v>41</v>
      </c>
      <c r="B187" s="586">
        <v>2480</v>
      </c>
      <c r="C187" s="587">
        <v>600080293</v>
      </c>
      <c r="D187" s="586">
        <v>46744924</v>
      </c>
      <c r="E187" s="588" t="s">
        <v>656</v>
      </c>
      <c r="F187" s="585">
        <v>3143</v>
      </c>
      <c r="G187" s="208" t="s">
        <v>635</v>
      </c>
      <c r="H187" s="589" t="s">
        <v>284</v>
      </c>
      <c r="I187" s="495">
        <v>113758</v>
      </c>
      <c r="J187" s="496">
        <v>80190</v>
      </c>
      <c r="K187" s="475">
        <v>0</v>
      </c>
      <c r="L187" s="475">
        <v>0</v>
      </c>
      <c r="M187" s="475">
        <v>27104</v>
      </c>
      <c r="N187" s="496">
        <v>1604</v>
      </c>
      <c r="O187" s="496">
        <v>4860</v>
      </c>
      <c r="P187" s="412">
        <v>0.34</v>
      </c>
      <c r="Q187" s="497">
        <v>0</v>
      </c>
      <c r="R187" s="498">
        <v>0.34</v>
      </c>
      <c r="S187" s="499">
        <v>0</v>
      </c>
      <c r="T187" s="486">
        <v>0</v>
      </c>
      <c r="U187" s="486">
        <v>0</v>
      </c>
      <c r="V187" s="486">
        <f t="shared" si="223"/>
        <v>0</v>
      </c>
      <c r="W187" s="486">
        <v>0</v>
      </c>
      <c r="X187" s="486">
        <v>0</v>
      </c>
      <c r="Y187" s="486">
        <f t="shared" si="224"/>
        <v>0</v>
      </c>
      <c r="Z187" s="486">
        <f t="shared" si="225"/>
        <v>0</v>
      </c>
      <c r="AA187" s="178">
        <f t="shared" si="178"/>
        <v>0</v>
      </c>
      <c r="AB187" s="745">
        <f t="shared" si="226"/>
        <v>0</v>
      </c>
      <c r="AC187" s="486">
        <v>0</v>
      </c>
      <c r="AD187" s="486">
        <v>0</v>
      </c>
      <c r="AE187" s="486">
        <f t="shared" si="179"/>
        <v>0</v>
      </c>
      <c r="AF187" s="486">
        <f t="shared" si="180"/>
        <v>0</v>
      </c>
      <c r="AG187" s="501">
        <v>0</v>
      </c>
      <c r="AH187" s="501">
        <v>0</v>
      </c>
      <c r="AI187" s="501">
        <v>0</v>
      </c>
      <c r="AJ187" s="501">
        <v>0</v>
      </c>
      <c r="AK187" s="501">
        <v>0</v>
      </c>
      <c r="AL187" s="501">
        <f t="shared" si="227"/>
        <v>0</v>
      </c>
      <c r="AM187" s="501">
        <f t="shared" si="228"/>
        <v>0</v>
      </c>
      <c r="AN187" s="502">
        <f t="shared" si="181"/>
        <v>0</v>
      </c>
      <c r="AO187" s="499">
        <f t="shared" si="229"/>
        <v>113758</v>
      </c>
      <c r="AP187" s="486">
        <f t="shared" si="230"/>
        <v>80190</v>
      </c>
      <c r="AQ187" s="486">
        <f t="shared" si="231"/>
        <v>0</v>
      </c>
      <c r="AR187" s="486">
        <f t="shared" si="232"/>
        <v>0</v>
      </c>
      <c r="AS187" s="486">
        <f t="shared" si="233"/>
        <v>27104</v>
      </c>
      <c r="AT187" s="486">
        <f t="shared" si="233"/>
        <v>1604</v>
      </c>
      <c r="AU187" s="486">
        <f t="shared" si="234"/>
        <v>4860</v>
      </c>
      <c r="AV187" s="501">
        <f t="shared" si="235"/>
        <v>0.34</v>
      </c>
      <c r="AW187" s="501">
        <f t="shared" si="236"/>
        <v>0</v>
      </c>
      <c r="AX187" s="502">
        <f t="shared" si="236"/>
        <v>0.34</v>
      </c>
    </row>
    <row r="188" spans="1:50" ht="14.1" customHeight="1" x14ac:dyDescent="0.2">
      <c r="A188" s="585">
        <v>41</v>
      </c>
      <c r="B188" s="586">
        <v>2480</v>
      </c>
      <c r="C188" s="587">
        <v>600080293</v>
      </c>
      <c r="D188" s="586">
        <v>46744924</v>
      </c>
      <c r="E188" s="588" t="s">
        <v>656</v>
      </c>
      <c r="F188" s="585">
        <v>3143</v>
      </c>
      <c r="G188" s="208" t="s">
        <v>323</v>
      </c>
      <c r="H188" s="589" t="s">
        <v>284</v>
      </c>
      <c r="I188" s="495">
        <v>1100821</v>
      </c>
      <c r="J188" s="496">
        <v>804080</v>
      </c>
      <c r="K188" s="475">
        <v>0</v>
      </c>
      <c r="L188" s="475">
        <v>0</v>
      </c>
      <c r="M188" s="475">
        <v>271779</v>
      </c>
      <c r="N188" s="496">
        <v>16082</v>
      </c>
      <c r="O188" s="496">
        <v>8880</v>
      </c>
      <c r="P188" s="412">
        <v>2.04</v>
      </c>
      <c r="Q188" s="497">
        <v>1.42</v>
      </c>
      <c r="R188" s="498">
        <v>0.62</v>
      </c>
      <c r="S188" s="499">
        <v>0</v>
      </c>
      <c r="T188" s="486">
        <v>0</v>
      </c>
      <c r="U188" s="486">
        <v>0</v>
      </c>
      <c r="V188" s="486">
        <f t="shared" si="223"/>
        <v>0</v>
      </c>
      <c r="W188" s="486">
        <v>0</v>
      </c>
      <c r="X188" s="486">
        <v>0</v>
      </c>
      <c r="Y188" s="486">
        <f t="shared" si="224"/>
        <v>0</v>
      </c>
      <c r="Z188" s="486">
        <f t="shared" si="225"/>
        <v>0</v>
      </c>
      <c r="AA188" s="178">
        <f t="shared" si="178"/>
        <v>0</v>
      </c>
      <c r="AB188" s="745">
        <f t="shared" si="226"/>
        <v>0</v>
      </c>
      <c r="AC188" s="486">
        <v>0</v>
      </c>
      <c r="AD188" s="486">
        <v>0</v>
      </c>
      <c r="AE188" s="486">
        <f t="shared" si="179"/>
        <v>0</v>
      </c>
      <c r="AF188" s="486">
        <f t="shared" si="180"/>
        <v>0</v>
      </c>
      <c r="AG188" s="501">
        <v>0</v>
      </c>
      <c r="AH188" s="501">
        <v>0</v>
      </c>
      <c r="AI188" s="501">
        <v>0</v>
      </c>
      <c r="AJ188" s="501">
        <v>0</v>
      </c>
      <c r="AK188" s="501">
        <v>0</v>
      </c>
      <c r="AL188" s="501">
        <f t="shared" si="227"/>
        <v>0</v>
      </c>
      <c r="AM188" s="501">
        <f t="shared" si="228"/>
        <v>0</v>
      </c>
      <c r="AN188" s="502">
        <f t="shared" si="181"/>
        <v>0</v>
      </c>
      <c r="AO188" s="499">
        <f t="shared" si="229"/>
        <v>1100821</v>
      </c>
      <c r="AP188" s="486">
        <f t="shared" si="230"/>
        <v>804080</v>
      </c>
      <c r="AQ188" s="486">
        <f t="shared" si="231"/>
        <v>0</v>
      </c>
      <c r="AR188" s="486">
        <f t="shared" si="232"/>
        <v>0</v>
      </c>
      <c r="AS188" s="486">
        <f t="shared" si="233"/>
        <v>271779</v>
      </c>
      <c r="AT188" s="486">
        <f t="shared" si="233"/>
        <v>16082</v>
      </c>
      <c r="AU188" s="486">
        <f t="shared" si="234"/>
        <v>8880</v>
      </c>
      <c r="AV188" s="501">
        <f t="shared" si="235"/>
        <v>2.04</v>
      </c>
      <c r="AW188" s="501">
        <f t="shared" si="236"/>
        <v>1.42</v>
      </c>
      <c r="AX188" s="502">
        <f t="shared" si="236"/>
        <v>0.62</v>
      </c>
    </row>
    <row r="189" spans="1:50" ht="14.1" customHeight="1" x14ac:dyDescent="0.2">
      <c r="A189" s="181">
        <v>41</v>
      </c>
      <c r="B189" s="179">
        <v>2480</v>
      </c>
      <c r="C189" s="180">
        <v>600080293</v>
      </c>
      <c r="D189" s="179">
        <v>46744924</v>
      </c>
      <c r="E189" s="578" t="s">
        <v>657</v>
      </c>
      <c r="F189" s="181"/>
      <c r="G189" s="578"/>
      <c r="H189" s="579"/>
      <c r="I189" s="580">
        <v>40858164</v>
      </c>
      <c r="J189" s="581">
        <v>29087678</v>
      </c>
      <c r="K189" s="581">
        <v>194102</v>
      </c>
      <c r="L189" s="581">
        <v>164102</v>
      </c>
      <c r="M189" s="581">
        <v>9841774</v>
      </c>
      <c r="N189" s="581">
        <v>581754</v>
      </c>
      <c r="O189" s="581">
        <v>1152856</v>
      </c>
      <c r="P189" s="582">
        <v>59.422600000000003</v>
      </c>
      <c r="Q189" s="582">
        <v>42.010000000000005</v>
      </c>
      <c r="R189" s="584">
        <v>17.412600000000001</v>
      </c>
      <c r="S189" s="583">
        <f t="shared" ref="S189:AX189" si="237">SUM(S183:S188)</f>
        <v>0</v>
      </c>
      <c r="T189" s="581">
        <f t="shared" si="237"/>
        <v>0</v>
      </c>
      <c r="U189" s="581">
        <f t="shared" si="237"/>
        <v>0</v>
      </c>
      <c r="V189" s="581">
        <f t="shared" si="237"/>
        <v>0</v>
      </c>
      <c r="W189" s="581">
        <f t="shared" si="237"/>
        <v>0</v>
      </c>
      <c r="X189" s="581">
        <f t="shared" si="237"/>
        <v>0</v>
      </c>
      <c r="Y189" s="581">
        <f t="shared" si="237"/>
        <v>0</v>
      </c>
      <c r="Z189" s="581">
        <f t="shared" si="237"/>
        <v>0</v>
      </c>
      <c r="AA189" s="581">
        <f t="shared" si="237"/>
        <v>0</v>
      </c>
      <c r="AB189" s="583">
        <f t="shared" si="237"/>
        <v>0</v>
      </c>
      <c r="AC189" s="581">
        <f t="shared" si="237"/>
        <v>0</v>
      </c>
      <c r="AD189" s="581">
        <f t="shared" si="237"/>
        <v>0</v>
      </c>
      <c r="AE189" s="581">
        <f t="shared" si="237"/>
        <v>0</v>
      </c>
      <c r="AF189" s="581">
        <f t="shared" si="237"/>
        <v>0</v>
      </c>
      <c r="AG189" s="582">
        <f t="shared" si="237"/>
        <v>0</v>
      </c>
      <c r="AH189" s="582">
        <f t="shared" si="237"/>
        <v>0</v>
      </c>
      <c r="AI189" s="582">
        <f t="shared" si="237"/>
        <v>0</v>
      </c>
      <c r="AJ189" s="582">
        <f t="shared" si="237"/>
        <v>0</v>
      </c>
      <c r="AK189" s="582">
        <f t="shared" si="237"/>
        <v>0</v>
      </c>
      <c r="AL189" s="582">
        <f t="shared" si="237"/>
        <v>0</v>
      </c>
      <c r="AM189" s="582">
        <f t="shared" si="237"/>
        <v>0</v>
      </c>
      <c r="AN189" s="584">
        <f t="shared" si="237"/>
        <v>0</v>
      </c>
      <c r="AO189" s="583">
        <f t="shared" si="237"/>
        <v>40858164</v>
      </c>
      <c r="AP189" s="581">
        <f t="shared" si="237"/>
        <v>29087678</v>
      </c>
      <c r="AQ189" s="581">
        <f t="shared" si="237"/>
        <v>194102</v>
      </c>
      <c r="AR189" s="581">
        <f t="shared" si="237"/>
        <v>164102</v>
      </c>
      <c r="AS189" s="581">
        <f t="shared" si="237"/>
        <v>9841774</v>
      </c>
      <c r="AT189" s="581">
        <f t="shared" si="237"/>
        <v>581754</v>
      </c>
      <c r="AU189" s="581">
        <f t="shared" si="237"/>
        <v>1152856</v>
      </c>
      <c r="AV189" s="582">
        <f t="shared" si="237"/>
        <v>59.422600000000003</v>
      </c>
      <c r="AW189" s="582">
        <f t="shared" si="237"/>
        <v>42.010000000000005</v>
      </c>
      <c r="AX189" s="584">
        <f t="shared" si="237"/>
        <v>17.412600000000001</v>
      </c>
    </row>
    <row r="190" spans="1:50" ht="14.1" customHeight="1" x14ac:dyDescent="0.2">
      <c r="A190" s="585">
        <v>42</v>
      </c>
      <c r="B190" s="586">
        <v>2482</v>
      </c>
      <c r="C190" s="587">
        <v>600079945</v>
      </c>
      <c r="D190" s="586">
        <v>72741716</v>
      </c>
      <c r="E190" s="588" t="s">
        <v>658</v>
      </c>
      <c r="F190" s="585">
        <v>3113</v>
      </c>
      <c r="G190" s="588" t="s">
        <v>320</v>
      </c>
      <c r="H190" s="589" t="s">
        <v>283</v>
      </c>
      <c r="I190" s="495">
        <v>14440604</v>
      </c>
      <c r="J190" s="411">
        <v>10059580</v>
      </c>
      <c r="K190" s="520">
        <v>248415</v>
      </c>
      <c r="L190" s="520">
        <v>88415</v>
      </c>
      <c r="M190" s="475">
        <v>3454218</v>
      </c>
      <c r="N190" s="496">
        <v>201191</v>
      </c>
      <c r="O190" s="411">
        <v>477200</v>
      </c>
      <c r="P190" s="412">
        <v>19.255999999999997</v>
      </c>
      <c r="Q190" s="415">
        <v>14.6815</v>
      </c>
      <c r="R190" s="685">
        <v>4.5745000000000005</v>
      </c>
      <c r="S190" s="499">
        <v>0</v>
      </c>
      <c r="T190" s="486">
        <v>0</v>
      </c>
      <c r="U190" s="486">
        <v>0</v>
      </c>
      <c r="V190" s="486">
        <f>SUM(S190:U190)</f>
        <v>0</v>
      </c>
      <c r="W190" s="486">
        <v>0</v>
      </c>
      <c r="X190" s="486">
        <v>0</v>
      </c>
      <c r="Y190" s="486">
        <f>SUM(W190:X190)</f>
        <v>0</v>
      </c>
      <c r="Z190" s="486">
        <f>V190+Y190</f>
        <v>0</v>
      </c>
      <c r="AA190" s="178">
        <f t="shared" si="178"/>
        <v>0</v>
      </c>
      <c r="AB190" s="745">
        <f>ROUND(V190*2%,0)</f>
        <v>0</v>
      </c>
      <c r="AC190" s="486">
        <v>0</v>
      </c>
      <c r="AD190" s="486">
        <v>0</v>
      </c>
      <c r="AE190" s="486">
        <f t="shared" si="179"/>
        <v>0</v>
      </c>
      <c r="AF190" s="486">
        <f t="shared" si="180"/>
        <v>0</v>
      </c>
      <c r="AG190" s="501">
        <v>0</v>
      </c>
      <c r="AH190" s="501">
        <v>0</v>
      </c>
      <c r="AI190" s="501">
        <v>0</v>
      </c>
      <c r="AJ190" s="501">
        <v>0</v>
      </c>
      <c r="AK190" s="501">
        <v>0</v>
      </c>
      <c r="AL190" s="501">
        <f t="shared" ref="AL190:AL194" si="238">AG190+AI190+AJ190</f>
        <v>0</v>
      </c>
      <c r="AM190" s="501">
        <f t="shared" ref="AM190:AM194" si="239">AH190+AK190</f>
        <v>0</v>
      </c>
      <c r="AN190" s="502">
        <f t="shared" si="181"/>
        <v>0</v>
      </c>
      <c r="AO190" s="499">
        <f>I190+AF190</f>
        <v>14440604</v>
      </c>
      <c r="AP190" s="486">
        <f>J190+V190</f>
        <v>10059580</v>
      </c>
      <c r="AQ190" s="486">
        <f>K190+Y190</f>
        <v>248415</v>
      </c>
      <c r="AR190" s="486">
        <f>L190</f>
        <v>88415</v>
      </c>
      <c r="AS190" s="486">
        <f t="shared" ref="AS190:AT194" si="240">M190+AA190</f>
        <v>3454218</v>
      </c>
      <c r="AT190" s="486">
        <f t="shared" si="240"/>
        <v>201191</v>
      </c>
      <c r="AU190" s="486">
        <f>O190+AE190</f>
        <v>477200</v>
      </c>
      <c r="AV190" s="501">
        <f>P190+AN190</f>
        <v>19.255999999999997</v>
      </c>
      <c r="AW190" s="501">
        <f t="shared" ref="AW190:AX194" si="241">Q190+AL190</f>
        <v>14.6815</v>
      </c>
      <c r="AX190" s="502">
        <f t="shared" si="241"/>
        <v>4.5745000000000005</v>
      </c>
    </row>
    <row r="191" spans="1:50" ht="14.1" customHeight="1" x14ac:dyDescent="0.2">
      <c r="A191" s="585">
        <v>42</v>
      </c>
      <c r="B191" s="586">
        <v>2482</v>
      </c>
      <c r="C191" s="587">
        <v>600079945</v>
      </c>
      <c r="D191" s="586">
        <v>72741716</v>
      </c>
      <c r="E191" s="588" t="s">
        <v>658</v>
      </c>
      <c r="F191" s="585">
        <v>3113</v>
      </c>
      <c r="G191" s="208" t="s">
        <v>318</v>
      </c>
      <c r="H191" s="589" t="s">
        <v>284</v>
      </c>
      <c r="I191" s="495">
        <v>1402512</v>
      </c>
      <c r="J191" s="496">
        <v>1031674</v>
      </c>
      <c r="K191" s="475">
        <v>0</v>
      </c>
      <c r="L191" s="475">
        <v>0</v>
      </c>
      <c r="M191" s="475">
        <v>348705</v>
      </c>
      <c r="N191" s="496">
        <v>20633</v>
      </c>
      <c r="O191" s="496">
        <v>1500</v>
      </c>
      <c r="P191" s="412">
        <v>2.9200000000000004</v>
      </c>
      <c r="Q191" s="497">
        <v>2.9200000000000004</v>
      </c>
      <c r="R191" s="498">
        <v>0</v>
      </c>
      <c r="S191" s="499">
        <v>0</v>
      </c>
      <c r="T191" s="486">
        <v>0</v>
      </c>
      <c r="U191" s="486">
        <v>0</v>
      </c>
      <c r="V191" s="486">
        <f>SUM(S191:U191)</f>
        <v>0</v>
      </c>
      <c r="W191" s="486">
        <v>0</v>
      </c>
      <c r="X191" s="486">
        <v>0</v>
      </c>
      <c r="Y191" s="486">
        <f>SUM(W191:X191)</f>
        <v>0</v>
      </c>
      <c r="Z191" s="486">
        <f>V191+Y191</f>
        <v>0</v>
      </c>
      <c r="AA191" s="178">
        <f t="shared" si="178"/>
        <v>0</v>
      </c>
      <c r="AB191" s="745">
        <f>ROUND(V191*2%,0)</f>
        <v>0</v>
      </c>
      <c r="AC191" s="486">
        <v>0</v>
      </c>
      <c r="AD191" s="486">
        <v>0</v>
      </c>
      <c r="AE191" s="486">
        <f t="shared" si="179"/>
        <v>0</v>
      </c>
      <c r="AF191" s="486">
        <f t="shared" si="180"/>
        <v>0</v>
      </c>
      <c r="AG191" s="501">
        <v>0</v>
      </c>
      <c r="AH191" s="501">
        <v>0</v>
      </c>
      <c r="AI191" s="501">
        <v>0</v>
      </c>
      <c r="AJ191" s="501">
        <v>0</v>
      </c>
      <c r="AK191" s="501">
        <v>0</v>
      </c>
      <c r="AL191" s="501">
        <f t="shared" si="238"/>
        <v>0</v>
      </c>
      <c r="AM191" s="501">
        <f t="shared" si="239"/>
        <v>0</v>
      </c>
      <c r="AN191" s="502">
        <f t="shared" si="181"/>
        <v>0</v>
      </c>
      <c r="AO191" s="499">
        <f>I191+AF191</f>
        <v>1402512</v>
      </c>
      <c r="AP191" s="486">
        <f>J191+V191</f>
        <v>1031674</v>
      </c>
      <c r="AQ191" s="486">
        <f>K191+Y191</f>
        <v>0</v>
      </c>
      <c r="AR191" s="486">
        <f>L191</f>
        <v>0</v>
      </c>
      <c r="AS191" s="486">
        <f t="shared" si="240"/>
        <v>348705</v>
      </c>
      <c r="AT191" s="486">
        <f t="shared" si="240"/>
        <v>20633</v>
      </c>
      <c r="AU191" s="486">
        <f>O191+AE191</f>
        <v>1500</v>
      </c>
      <c r="AV191" s="501">
        <f>P191+AN191</f>
        <v>2.9200000000000004</v>
      </c>
      <c r="AW191" s="501">
        <f t="shared" si="241"/>
        <v>2.9200000000000004</v>
      </c>
      <c r="AX191" s="502">
        <f t="shared" si="241"/>
        <v>0</v>
      </c>
    </row>
    <row r="192" spans="1:50" ht="14.1" customHeight="1" x14ac:dyDescent="0.2">
      <c r="A192" s="585">
        <v>42</v>
      </c>
      <c r="B192" s="586">
        <v>2482</v>
      </c>
      <c r="C192" s="587">
        <v>600079945</v>
      </c>
      <c r="D192" s="586">
        <v>72741716</v>
      </c>
      <c r="E192" s="588" t="s">
        <v>658</v>
      </c>
      <c r="F192" s="585">
        <v>3141</v>
      </c>
      <c r="G192" s="588" t="s">
        <v>321</v>
      </c>
      <c r="H192" s="589" t="s">
        <v>284</v>
      </c>
      <c r="I192" s="495">
        <v>1412673</v>
      </c>
      <c r="J192" s="496">
        <v>1031632</v>
      </c>
      <c r="K192" s="475">
        <v>0</v>
      </c>
      <c r="L192" s="475">
        <v>0</v>
      </c>
      <c r="M192" s="475">
        <v>348692</v>
      </c>
      <c r="N192" s="496">
        <v>20633</v>
      </c>
      <c r="O192" s="496">
        <v>11716</v>
      </c>
      <c r="P192" s="412">
        <v>3.51</v>
      </c>
      <c r="Q192" s="497">
        <v>0</v>
      </c>
      <c r="R192" s="498">
        <v>3.51</v>
      </c>
      <c r="S192" s="499">
        <v>0</v>
      </c>
      <c r="T192" s="486">
        <v>0</v>
      </c>
      <c r="U192" s="486">
        <v>0</v>
      </c>
      <c r="V192" s="486">
        <f>SUM(S192:U192)</f>
        <v>0</v>
      </c>
      <c r="W192" s="486">
        <v>0</v>
      </c>
      <c r="X192" s="486">
        <v>0</v>
      </c>
      <c r="Y192" s="486">
        <f>SUM(W192:X192)</f>
        <v>0</v>
      </c>
      <c r="Z192" s="486">
        <f>V192+Y192</f>
        <v>0</v>
      </c>
      <c r="AA192" s="178">
        <f t="shared" si="178"/>
        <v>0</v>
      </c>
      <c r="AB192" s="745">
        <f>ROUND(V192*2%,0)</f>
        <v>0</v>
      </c>
      <c r="AC192" s="486">
        <v>0</v>
      </c>
      <c r="AD192" s="486">
        <v>0</v>
      </c>
      <c r="AE192" s="486">
        <f t="shared" si="179"/>
        <v>0</v>
      </c>
      <c r="AF192" s="486">
        <f t="shared" si="180"/>
        <v>0</v>
      </c>
      <c r="AG192" s="501">
        <v>0</v>
      </c>
      <c r="AH192" s="501">
        <v>0</v>
      </c>
      <c r="AI192" s="501">
        <v>0</v>
      </c>
      <c r="AJ192" s="501">
        <v>0</v>
      </c>
      <c r="AK192" s="501">
        <v>0</v>
      </c>
      <c r="AL192" s="501">
        <f t="shared" si="238"/>
        <v>0</v>
      </c>
      <c r="AM192" s="501">
        <f t="shared" si="239"/>
        <v>0</v>
      </c>
      <c r="AN192" s="502">
        <f t="shared" si="181"/>
        <v>0</v>
      </c>
      <c r="AO192" s="499">
        <f>I192+AF192</f>
        <v>1412673</v>
      </c>
      <c r="AP192" s="486">
        <f>J192+V192</f>
        <v>1031632</v>
      </c>
      <c r="AQ192" s="486">
        <f>K192+Y192</f>
        <v>0</v>
      </c>
      <c r="AR192" s="486">
        <f>L192</f>
        <v>0</v>
      </c>
      <c r="AS192" s="486">
        <f t="shared" si="240"/>
        <v>348692</v>
      </c>
      <c r="AT192" s="486">
        <f t="shared" si="240"/>
        <v>20633</v>
      </c>
      <c r="AU192" s="486">
        <f>O192+AE192</f>
        <v>11716</v>
      </c>
      <c r="AV192" s="501">
        <f>P192+AN192</f>
        <v>3.51</v>
      </c>
      <c r="AW192" s="501">
        <f t="shared" si="241"/>
        <v>0</v>
      </c>
      <c r="AX192" s="502">
        <f t="shared" si="241"/>
        <v>3.51</v>
      </c>
    </row>
    <row r="193" spans="1:50" ht="14.1" customHeight="1" x14ac:dyDescent="0.2">
      <c r="A193" s="585">
        <v>42</v>
      </c>
      <c r="B193" s="586">
        <v>2482</v>
      </c>
      <c r="C193" s="587">
        <v>600079945</v>
      </c>
      <c r="D193" s="586">
        <v>72741716</v>
      </c>
      <c r="E193" s="588" t="s">
        <v>658</v>
      </c>
      <c r="F193" s="585">
        <v>3143</v>
      </c>
      <c r="G193" s="208" t="s">
        <v>634</v>
      </c>
      <c r="H193" s="589" t="s">
        <v>283</v>
      </c>
      <c r="I193" s="495">
        <v>1516588</v>
      </c>
      <c r="J193" s="411">
        <v>1116780</v>
      </c>
      <c r="K193" s="520">
        <v>0</v>
      </c>
      <c r="L193" s="520">
        <v>0</v>
      </c>
      <c r="M193" s="475">
        <v>377472</v>
      </c>
      <c r="N193" s="496">
        <v>22336</v>
      </c>
      <c r="O193" s="496">
        <v>0</v>
      </c>
      <c r="P193" s="412">
        <v>2.5</v>
      </c>
      <c r="Q193" s="415">
        <v>2.5</v>
      </c>
      <c r="R193" s="498">
        <v>0</v>
      </c>
      <c r="S193" s="499">
        <v>0</v>
      </c>
      <c r="T193" s="486">
        <v>0</v>
      </c>
      <c r="U193" s="486">
        <v>0</v>
      </c>
      <c r="V193" s="486">
        <f>SUM(S193:U193)</f>
        <v>0</v>
      </c>
      <c r="W193" s="486">
        <v>0</v>
      </c>
      <c r="X193" s="486">
        <v>0</v>
      </c>
      <c r="Y193" s="486">
        <f>SUM(W193:X193)</f>
        <v>0</v>
      </c>
      <c r="Z193" s="486">
        <f>V193+Y193</f>
        <v>0</v>
      </c>
      <c r="AA193" s="178">
        <f t="shared" si="178"/>
        <v>0</v>
      </c>
      <c r="AB193" s="745">
        <f>ROUND(V193*2%,0)</f>
        <v>0</v>
      </c>
      <c r="AC193" s="486">
        <v>0</v>
      </c>
      <c r="AD193" s="486">
        <v>0</v>
      </c>
      <c r="AE193" s="486">
        <f t="shared" si="179"/>
        <v>0</v>
      </c>
      <c r="AF193" s="486">
        <f t="shared" si="180"/>
        <v>0</v>
      </c>
      <c r="AG193" s="501">
        <v>0</v>
      </c>
      <c r="AH193" s="501">
        <v>0</v>
      </c>
      <c r="AI193" s="501">
        <v>0</v>
      </c>
      <c r="AJ193" s="501">
        <v>0</v>
      </c>
      <c r="AK193" s="501">
        <v>0</v>
      </c>
      <c r="AL193" s="501">
        <f t="shared" si="238"/>
        <v>0</v>
      </c>
      <c r="AM193" s="501">
        <f t="shared" si="239"/>
        <v>0</v>
      </c>
      <c r="AN193" s="502">
        <f t="shared" si="181"/>
        <v>0</v>
      </c>
      <c r="AO193" s="499">
        <f>I193+AF193</f>
        <v>1516588</v>
      </c>
      <c r="AP193" s="486">
        <f>J193+V193</f>
        <v>1116780</v>
      </c>
      <c r="AQ193" s="486">
        <f>K193+Y193</f>
        <v>0</v>
      </c>
      <c r="AR193" s="486">
        <f>L193</f>
        <v>0</v>
      </c>
      <c r="AS193" s="486">
        <f t="shared" si="240"/>
        <v>377472</v>
      </c>
      <c r="AT193" s="486">
        <f t="shared" si="240"/>
        <v>22336</v>
      </c>
      <c r="AU193" s="486">
        <f>O193+AE193</f>
        <v>0</v>
      </c>
      <c r="AV193" s="501">
        <f>P193+AN193</f>
        <v>2.5</v>
      </c>
      <c r="AW193" s="501">
        <f t="shared" si="241"/>
        <v>2.5</v>
      </c>
      <c r="AX193" s="502">
        <f t="shared" si="241"/>
        <v>0</v>
      </c>
    </row>
    <row r="194" spans="1:50" ht="14.1" customHeight="1" x14ac:dyDescent="0.2">
      <c r="A194" s="585">
        <v>42</v>
      </c>
      <c r="B194" s="586">
        <v>2482</v>
      </c>
      <c r="C194" s="587">
        <v>600079945</v>
      </c>
      <c r="D194" s="586">
        <v>72741716</v>
      </c>
      <c r="E194" s="588" t="s">
        <v>658</v>
      </c>
      <c r="F194" s="585">
        <v>3143</v>
      </c>
      <c r="G194" s="208" t="s">
        <v>635</v>
      </c>
      <c r="H194" s="589" t="s">
        <v>284</v>
      </c>
      <c r="I194" s="495">
        <v>42133</v>
      </c>
      <c r="J194" s="496">
        <v>29700</v>
      </c>
      <c r="K194" s="475">
        <v>0</v>
      </c>
      <c r="L194" s="475">
        <v>0</v>
      </c>
      <c r="M194" s="475">
        <v>10039</v>
      </c>
      <c r="N194" s="496">
        <v>594</v>
      </c>
      <c r="O194" s="496">
        <v>1800</v>
      </c>
      <c r="P194" s="412">
        <v>0.13</v>
      </c>
      <c r="Q194" s="497">
        <v>0</v>
      </c>
      <c r="R194" s="498">
        <v>0.13</v>
      </c>
      <c r="S194" s="499">
        <v>0</v>
      </c>
      <c r="T194" s="486">
        <v>0</v>
      </c>
      <c r="U194" s="486">
        <v>0</v>
      </c>
      <c r="V194" s="486">
        <f>SUM(S194:U194)</f>
        <v>0</v>
      </c>
      <c r="W194" s="486">
        <v>0</v>
      </c>
      <c r="X194" s="486">
        <v>0</v>
      </c>
      <c r="Y194" s="486">
        <f>SUM(W194:X194)</f>
        <v>0</v>
      </c>
      <c r="Z194" s="486">
        <f>V194+Y194</f>
        <v>0</v>
      </c>
      <c r="AA194" s="178">
        <f t="shared" si="178"/>
        <v>0</v>
      </c>
      <c r="AB194" s="745">
        <f>ROUND(V194*2%,0)</f>
        <v>0</v>
      </c>
      <c r="AC194" s="486">
        <v>0</v>
      </c>
      <c r="AD194" s="486">
        <v>0</v>
      </c>
      <c r="AE194" s="486">
        <f t="shared" si="179"/>
        <v>0</v>
      </c>
      <c r="AF194" s="486">
        <f t="shared" si="180"/>
        <v>0</v>
      </c>
      <c r="AG194" s="501">
        <v>0</v>
      </c>
      <c r="AH194" s="501">
        <v>0</v>
      </c>
      <c r="AI194" s="501">
        <v>0</v>
      </c>
      <c r="AJ194" s="501">
        <v>0</v>
      </c>
      <c r="AK194" s="501">
        <v>0</v>
      </c>
      <c r="AL194" s="501">
        <f t="shared" si="238"/>
        <v>0</v>
      </c>
      <c r="AM194" s="501">
        <f t="shared" si="239"/>
        <v>0</v>
      </c>
      <c r="AN194" s="502">
        <f t="shared" si="181"/>
        <v>0</v>
      </c>
      <c r="AO194" s="499">
        <f>I194+AF194</f>
        <v>42133</v>
      </c>
      <c r="AP194" s="486">
        <f>J194+V194</f>
        <v>29700</v>
      </c>
      <c r="AQ194" s="486">
        <f>K194+Y194</f>
        <v>0</v>
      </c>
      <c r="AR194" s="486">
        <f>L194</f>
        <v>0</v>
      </c>
      <c r="AS194" s="486">
        <f t="shared" si="240"/>
        <v>10039</v>
      </c>
      <c r="AT194" s="486">
        <f t="shared" si="240"/>
        <v>594</v>
      </c>
      <c r="AU194" s="486">
        <f>O194+AE194</f>
        <v>1800</v>
      </c>
      <c r="AV194" s="501">
        <f>P194+AN194</f>
        <v>0.13</v>
      </c>
      <c r="AW194" s="501">
        <f t="shared" si="241"/>
        <v>0</v>
      </c>
      <c r="AX194" s="502">
        <f t="shared" si="241"/>
        <v>0.13</v>
      </c>
    </row>
    <row r="195" spans="1:50" ht="14.1" customHeight="1" x14ac:dyDescent="0.2">
      <c r="A195" s="181">
        <v>42</v>
      </c>
      <c r="B195" s="179">
        <v>2482</v>
      </c>
      <c r="C195" s="180">
        <v>600079945</v>
      </c>
      <c r="D195" s="179">
        <v>72741716</v>
      </c>
      <c r="E195" s="578" t="s">
        <v>659</v>
      </c>
      <c r="F195" s="181"/>
      <c r="G195" s="578"/>
      <c r="H195" s="579"/>
      <c r="I195" s="580">
        <v>18814510</v>
      </c>
      <c r="J195" s="581">
        <v>13269366</v>
      </c>
      <c r="K195" s="581">
        <v>248415</v>
      </c>
      <c r="L195" s="581">
        <v>88415</v>
      </c>
      <c r="M195" s="581">
        <v>4539126</v>
      </c>
      <c r="N195" s="581">
        <v>265387</v>
      </c>
      <c r="O195" s="581">
        <v>492216</v>
      </c>
      <c r="P195" s="582">
        <v>28.315999999999999</v>
      </c>
      <c r="Q195" s="582">
        <v>20.101500000000001</v>
      </c>
      <c r="R195" s="584">
        <v>8.214500000000001</v>
      </c>
      <c r="S195" s="583">
        <f t="shared" ref="S195:AX195" si="242">SUM(S190:S194)</f>
        <v>0</v>
      </c>
      <c r="T195" s="581">
        <f t="shared" si="242"/>
        <v>0</v>
      </c>
      <c r="U195" s="581">
        <f t="shared" si="242"/>
        <v>0</v>
      </c>
      <c r="V195" s="581">
        <f t="shared" si="242"/>
        <v>0</v>
      </c>
      <c r="W195" s="581">
        <f t="shared" si="242"/>
        <v>0</v>
      </c>
      <c r="X195" s="581">
        <f t="shared" si="242"/>
        <v>0</v>
      </c>
      <c r="Y195" s="581">
        <f t="shared" si="242"/>
        <v>0</v>
      </c>
      <c r="Z195" s="581">
        <f t="shared" si="242"/>
        <v>0</v>
      </c>
      <c r="AA195" s="581">
        <f t="shared" si="242"/>
        <v>0</v>
      </c>
      <c r="AB195" s="583">
        <f t="shared" si="242"/>
        <v>0</v>
      </c>
      <c r="AC195" s="581">
        <f t="shared" si="242"/>
        <v>0</v>
      </c>
      <c r="AD195" s="581">
        <f t="shared" si="242"/>
        <v>0</v>
      </c>
      <c r="AE195" s="581">
        <f t="shared" si="242"/>
        <v>0</v>
      </c>
      <c r="AF195" s="581">
        <f t="shared" si="242"/>
        <v>0</v>
      </c>
      <c r="AG195" s="582">
        <f t="shared" si="242"/>
        <v>0</v>
      </c>
      <c r="AH195" s="582">
        <f t="shared" si="242"/>
        <v>0</v>
      </c>
      <c r="AI195" s="582">
        <f t="shared" si="242"/>
        <v>0</v>
      </c>
      <c r="AJ195" s="582">
        <f t="shared" si="242"/>
        <v>0</v>
      </c>
      <c r="AK195" s="582">
        <f t="shared" si="242"/>
        <v>0</v>
      </c>
      <c r="AL195" s="582">
        <f t="shared" si="242"/>
        <v>0</v>
      </c>
      <c r="AM195" s="582">
        <f t="shared" si="242"/>
        <v>0</v>
      </c>
      <c r="AN195" s="584">
        <f t="shared" si="242"/>
        <v>0</v>
      </c>
      <c r="AO195" s="583">
        <f t="shared" si="242"/>
        <v>18814510</v>
      </c>
      <c r="AP195" s="581">
        <f t="shared" si="242"/>
        <v>13269366</v>
      </c>
      <c r="AQ195" s="581">
        <f t="shared" si="242"/>
        <v>248415</v>
      </c>
      <c r="AR195" s="581">
        <f t="shared" si="242"/>
        <v>88415</v>
      </c>
      <c r="AS195" s="581">
        <f t="shared" si="242"/>
        <v>4539126</v>
      </c>
      <c r="AT195" s="581">
        <f t="shared" si="242"/>
        <v>265387</v>
      </c>
      <c r="AU195" s="581">
        <f t="shared" si="242"/>
        <v>492216</v>
      </c>
      <c r="AV195" s="582">
        <f t="shared" si="242"/>
        <v>28.315999999999999</v>
      </c>
      <c r="AW195" s="582">
        <f t="shared" si="242"/>
        <v>20.101500000000001</v>
      </c>
      <c r="AX195" s="584">
        <f t="shared" si="242"/>
        <v>8.214500000000001</v>
      </c>
    </row>
    <row r="196" spans="1:50" ht="14.1" customHeight="1" x14ac:dyDescent="0.2">
      <c r="A196" s="585">
        <v>43</v>
      </c>
      <c r="B196" s="586">
        <v>2328</v>
      </c>
      <c r="C196" s="587">
        <v>691006041</v>
      </c>
      <c r="D196" s="586">
        <v>71294988</v>
      </c>
      <c r="E196" s="588" t="s">
        <v>660</v>
      </c>
      <c r="F196" s="585">
        <v>3113</v>
      </c>
      <c r="G196" s="588" t="s">
        <v>320</v>
      </c>
      <c r="H196" s="589" t="s">
        <v>283</v>
      </c>
      <c r="I196" s="495">
        <v>23494885</v>
      </c>
      <c r="J196" s="411">
        <v>16368190</v>
      </c>
      <c r="K196" s="520">
        <v>243828</v>
      </c>
      <c r="L196" s="520">
        <v>60828</v>
      </c>
      <c r="M196" s="475">
        <v>5594303</v>
      </c>
      <c r="N196" s="496">
        <v>327364</v>
      </c>
      <c r="O196" s="411">
        <v>961200</v>
      </c>
      <c r="P196" s="412">
        <v>29.966399999999997</v>
      </c>
      <c r="Q196" s="415">
        <v>22.9998</v>
      </c>
      <c r="R196" s="685">
        <v>6.9666000000000015</v>
      </c>
      <c r="S196" s="499">
        <v>0</v>
      </c>
      <c r="T196" s="486">
        <v>0</v>
      </c>
      <c r="U196" s="486">
        <v>0</v>
      </c>
      <c r="V196" s="486">
        <f>SUM(S196:U196)</f>
        <v>0</v>
      </c>
      <c r="W196" s="486">
        <v>0</v>
      </c>
      <c r="X196" s="486">
        <v>0</v>
      </c>
      <c r="Y196" s="486">
        <f>SUM(W196:X196)</f>
        <v>0</v>
      </c>
      <c r="Z196" s="486">
        <f>V196+Y196</f>
        <v>0</v>
      </c>
      <c r="AA196" s="178">
        <f t="shared" si="178"/>
        <v>0</v>
      </c>
      <c r="AB196" s="745">
        <f>ROUND(V196*2%,0)</f>
        <v>0</v>
      </c>
      <c r="AC196" s="486">
        <v>0</v>
      </c>
      <c r="AD196" s="486">
        <v>0</v>
      </c>
      <c r="AE196" s="486">
        <f t="shared" si="179"/>
        <v>0</v>
      </c>
      <c r="AF196" s="486">
        <f t="shared" si="180"/>
        <v>0</v>
      </c>
      <c r="AG196" s="501">
        <v>0</v>
      </c>
      <c r="AH196" s="501">
        <v>0</v>
      </c>
      <c r="AI196" s="501">
        <v>0</v>
      </c>
      <c r="AJ196" s="501">
        <v>0</v>
      </c>
      <c r="AK196" s="501">
        <v>0</v>
      </c>
      <c r="AL196" s="501">
        <f t="shared" ref="AL196:AL200" si="243">AG196+AI196+AJ196</f>
        <v>0</v>
      </c>
      <c r="AM196" s="501">
        <f t="shared" ref="AM196:AM200" si="244">AH196+AK196</f>
        <v>0</v>
      </c>
      <c r="AN196" s="502">
        <f t="shared" si="181"/>
        <v>0</v>
      </c>
      <c r="AO196" s="499">
        <f>I196+AF196</f>
        <v>23494885</v>
      </c>
      <c r="AP196" s="486">
        <f>J196+V196</f>
        <v>16368190</v>
      </c>
      <c r="AQ196" s="486">
        <f>K196+Y196</f>
        <v>243828</v>
      </c>
      <c r="AR196" s="486">
        <f>L196</f>
        <v>60828</v>
      </c>
      <c r="AS196" s="486">
        <f t="shared" ref="AS196:AT200" si="245">M196+AA196</f>
        <v>5594303</v>
      </c>
      <c r="AT196" s="486">
        <f t="shared" si="245"/>
        <v>327364</v>
      </c>
      <c r="AU196" s="486">
        <f>O196+AE196</f>
        <v>961200</v>
      </c>
      <c r="AV196" s="501">
        <f>P196+AN196</f>
        <v>29.966399999999997</v>
      </c>
      <c r="AW196" s="501">
        <f t="shared" ref="AW196:AX200" si="246">Q196+AL196</f>
        <v>22.9998</v>
      </c>
      <c r="AX196" s="502">
        <f t="shared" si="246"/>
        <v>6.9666000000000015</v>
      </c>
    </row>
    <row r="197" spans="1:50" ht="14.1" customHeight="1" x14ac:dyDescent="0.2">
      <c r="A197" s="585">
        <v>43</v>
      </c>
      <c r="B197" s="586">
        <v>2328</v>
      </c>
      <c r="C197" s="587">
        <v>691006041</v>
      </c>
      <c r="D197" s="586">
        <v>71294988</v>
      </c>
      <c r="E197" s="588" t="s">
        <v>660</v>
      </c>
      <c r="F197" s="585">
        <v>3113</v>
      </c>
      <c r="G197" s="208" t="s">
        <v>318</v>
      </c>
      <c r="H197" s="589" t="s">
        <v>284</v>
      </c>
      <c r="I197" s="495">
        <v>1617334</v>
      </c>
      <c r="J197" s="496">
        <v>1190232</v>
      </c>
      <c r="K197" s="475">
        <v>0</v>
      </c>
      <c r="L197" s="475">
        <v>0</v>
      </c>
      <c r="M197" s="475">
        <v>402298</v>
      </c>
      <c r="N197" s="496">
        <v>23804</v>
      </c>
      <c r="O197" s="496">
        <v>1000</v>
      </c>
      <c r="P197" s="412">
        <v>3.48</v>
      </c>
      <c r="Q197" s="497">
        <v>3.48</v>
      </c>
      <c r="R197" s="498">
        <v>0</v>
      </c>
      <c r="S197" s="499">
        <v>0</v>
      </c>
      <c r="T197" s="486">
        <v>0</v>
      </c>
      <c r="U197" s="486">
        <v>0</v>
      </c>
      <c r="V197" s="486">
        <f>SUM(S197:U197)</f>
        <v>0</v>
      </c>
      <c r="W197" s="486">
        <v>0</v>
      </c>
      <c r="X197" s="486">
        <v>0</v>
      </c>
      <c r="Y197" s="486">
        <f>SUM(W197:X197)</f>
        <v>0</v>
      </c>
      <c r="Z197" s="486">
        <f>V197+Y197</f>
        <v>0</v>
      </c>
      <c r="AA197" s="178">
        <f t="shared" si="178"/>
        <v>0</v>
      </c>
      <c r="AB197" s="745">
        <f>ROUND(V197*2%,0)</f>
        <v>0</v>
      </c>
      <c r="AC197" s="486">
        <v>0</v>
      </c>
      <c r="AD197" s="486">
        <v>0</v>
      </c>
      <c r="AE197" s="486">
        <f t="shared" si="179"/>
        <v>0</v>
      </c>
      <c r="AF197" s="486">
        <f t="shared" si="180"/>
        <v>0</v>
      </c>
      <c r="AG197" s="501">
        <v>0</v>
      </c>
      <c r="AH197" s="501">
        <v>0</v>
      </c>
      <c r="AI197" s="501">
        <v>0</v>
      </c>
      <c r="AJ197" s="501">
        <v>0</v>
      </c>
      <c r="AK197" s="501">
        <v>0</v>
      </c>
      <c r="AL197" s="501">
        <f t="shared" si="243"/>
        <v>0</v>
      </c>
      <c r="AM197" s="501">
        <f t="shared" si="244"/>
        <v>0</v>
      </c>
      <c r="AN197" s="502">
        <f t="shared" si="181"/>
        <v>0</v>
      </c>
      <c r="AO197" s="499">
        <f>I197+AF197</f>
        <v>1617334</v>
      </c>
      <c r="AP197" s="486">
        <f>J197+V197</f>
        <v>1190232</v>
      </c>
      <c r="AQ197" s="486">
        <f>K197+Y197</f>
        <v>0</v>
      </c>
      <c r="AR197" s="486">
        <f>L197</f>
        <v>0</v>
      </c>
      <c r="AS197" s="486">
        <f t="shared" si="245"/>
        <v>402298</v>
      </c>
      <c r="AT197" s="486">
        <f t="shared" si="245"/>
        <v>23804</v>
      </c>
      <c r="AU197" s="486">
        <f>O197+AE197</f>
        <v>1000</v>
      </c>
      <c r="AV197" s="501">
        <f>P197+AN197</f>
        <v>3.48</v>
      </c>
      <c r="AW197" s="501">
        <f t="shared" si="246"/>
        <v>3.48</v>
      </c>
      <c r="AX197" s="502">
        <f t="shared" si="246"/>
        <v>0</v>
      </c>
    </row>
    <row r="198" spans="1:50" ht="14.1" customHeight="1" x14ac:dyDescent="0.2">
      <c r="A198" s="585">
        <v>43</v>
      </c>
      <c r="B198" s="586">
        <v>2328</v>
      </c>
      <c r="C198" s="587">
        <v>691006041</v>
      </c>
      <c r="D198" s="586">
        <v>71294988</v>
      </c>
      <c r="E198" s="588" t="s">
        <v>660</v>
      </c>
      <c r="F198" s="585">
        <v>3141</v>
      </c>
      <c r="G198" s="588" t="s">
        <v>321</v>
      </c>
      <c r="H198" s="589" t="s">
        <v>284</v>
      </c>
      <c r="I198" s="495">
        <v>2400224</v>
      </c>
      <c r="J198" s="496">
        <v>1750642</v>
      </c>
      <c r="K198" s="475">
        <v>0</v>
      </c>
      <c r="L198" s="475">
        <v>0</v>
      </c>
      <c r="M198" s="475">
        <v>591717</v>
      </c>
      <c r="N198" s="496">
        <v>35013</v>
      </c>
      <c r="O198" s="496">
        <v>22852</v>
      </c>
      <c r="P198" s="412">
        <v>5.9600000000000009</v>
      </c>
      <c r="Q198" s="497">
        <v>0</v>
      </c>
      <c r="R198" s="498">
        <v>5.9600000000000009</v>
      </c>
      <c r="S198" s="499">
        <v>0</v>
      </c>
      <c r="T198" s="486">
        <v>0</v>
      </c>
      <c r="U198" s="486">
        <v>0</v>
      </c>
      <c r="V198" s="486">
        <f>SUM(S198:U198)</f>
        <v>0</v>
      </c>
      <c r="W198" s="486">
        <v>0</v>
      </c>
      <c r="X198" s="486">
        <v>0</v>
      </c>
      <c r="Y198" s="486">
        <f>SUM(W198:X198)</f>
        <v>0</v>
      </c>
      <c r="Z198" s="486">
        <f>V198+Y198</f>
        <v>0</v>
      </c>
      <c r="AA198" s="178">
        <f t="shared" si="178"/>
        <v>0</v>
      </c>
      <c r="AB198" s="745">
        <f>ROUND(V198*2%,0)</f>
        <v>0</v>
      </c>
      <c r="AC198" s="486">
        <v>0</v>
      </c>
      <c r="AD198" s="486">
        <v>0</v>
      </c>
      <c r="AE198" s="486">
        <f t="shared" si="179"/>
        <v>0</v>
      </c>
      <c r="AF198" s="486">
        <f t="shared" si="180"/>
        <v>0</v>
      </c>
      <c r="AG198" s="501">
        <v>0</v>
      </c>
      <c r="AH198" s="501">
        <v>0</v>
      </c>
      <c r="AI198" s="501">
        <v>0</v>
      </c>
      <c r="AJ198" s="501">
        <v>0</v>
      </c>
      <c r="AK198" s="501">
        <v>0</v>
      </c>
      <c r="AL198" s="501">
        <f t="shared" si="243"/>
        <v>0</v>
      </c>
      <c r="AM198" s="501">
        <f t="shared" si="244"/>
        <v>0</v>
      </c>
      <c r="AN198" s="502">
        <f t="shared" si="181"/>
        <v>0</v>
      </c>
      <c r="AO198" s="499">
        <f>I198+AF198</f>
        <v>2400224</v>
      </c>
      <c r="AP198" s="486">
        <f>J198+V198</f>
        <v>1750642</v>
      </c>
      <c r="AQ198" s="486">
        <f>K198+Y198</f>
        <v>0</v>
      </c>
      <c r="AR198" s="486">
        <f>L198</f>
        <v>0</v>
      </c>
      <c r="AS198" s="486">
        <f t="shared" si="245"/>
        <v>591717</v>
      </c>
      <c r="AT198" s="486">
        <f t="shared" si="245"/>
        <v>35013</v>
      </c>
      <c r="AU198" s="486">
        <f>O198+AE198</f>
        <v>22852</v>
      </c>
      <c r="AV198" s="501">
        <f>P198+AN198</f>
        <v>5.9600000000000009</v>
      </c>
      <c r="AW198" s="501">
        <f t="shared" si="246"/>
        <v>0</v>
      </c>
      <c r="AX198" s="502">
        <f t="shared" si="246"/>
        <v>5.9600000000000009</v>
      </c>
    </row>
    <row r="199" spans="1:50" ht="14.1" customHeight="1" x14ac:dyDescent="0.2">
      <c r="A199" s="585">
        <v>43</v>
      </c>
      <c r="B199" s="586">
        <v>2328</v>
      </c>
      <c r="C199" s="587">
        <v>691006041</v>
      </c>
      <c r="D199" s="586">
        <v>71294988</v>
      </c>
      <c r="E199" s="588" t="s">
        <v>660</v>
      </c>
      <c r="F199" s="585">
        <v>3143</v>
      </c>
      <c r="G199" s="208" t="s">
        <v>634</v>
      </c>
      <c r="H199" s="589" t="s">
        <v>283</v>
      </c>
      <c r="I199" s="495">
        <v>2975606</v>
      </c>
      <c r="J199" s="411">
        <v>2171463</v>
      </c>
      <c r="K199" s="520">
        <v>20000</v>
      </c>
      <c r="L199" s="520">
        <v>0</v>
      </c>
      <c r="M199" s="475">
        <v>740714</v>
      </c>
      <c r="N199" s="496">
        <v>43429</v>
      </c>
      <c r="O199" s="496">
        <v>0</v>
      </c>
      <c r="P199" s="412">
        <v>4.8</v>
      </c>
      <c r="Q199" s="415">
        <v>4.8</v>
      </c>
      <c r="R199" s="498">
        <v>0</v>
      </c>
      <c r="S199" s="499">
        <v>0</v>
      </c>
      <c r="T199" s="486">
        <v>0</v>
      </c>
      <c r="U199" s="486">
        <v>0</v>
      </c>
      <c r="V199" s="486">
        <f>SUM(S199:U199)</f>
        <v>0</v>
      </c>
      <c r="W199" s="486">
        <v>0</v>
      </c>
      <c r="X199" s="486">
        <v>0</v>
      </c>
      <c r="Y199" s="486">
        <f>SUM(W199:X199)</f>
        <v>0</v>
      </c>
      <c r="Z199" s="486">
        <f>V199+Y199</f>
        <v>0</v>
      </c>
      <c r="AA199" s="178">
        <f t="shared" si="178"/>
        <v>0</v>
      </c>
      <c r="AB199" s="745">
        <f>ROUND(V199*2%,0)</f>
        <v>0</v>
      </c>
      <c r="AC199" s="486">
        <v>0</v>
      </c>
      <c r="AD199" s="486">
        <v>0</v>
      </c>
      <c r="AE199" s="486">
        <f t="shared" si="179"/>
        <v>0</v>
      </c>
      <c r="AF199" s="486">
        <f t="shared" si="180"/>
        <v>0</v>
      </c>
      <c r="AG199" s="501">
        <v>0</v>
      </c>
      <c r="AH199" s="501">
        <v>0</v>
      </c>
      <c r="AI199" s="501">
        <v>0</v>
      </c>
      <c r="AJ199" s="501">
        <v>0</v>
      </c>
      <c r="AK199" s="501">
        <v>0</v>
      </c>
      <c r="AL199" s="501">
        <f t="shared" si="243"/>
        <v>0</v>
      </c>
      <c r="AM199" s="501">
        <f t="shared" si="244"/>
        <v>0</v>
      </c>
      <c r="AN199" s="502">
        <f t="shared" si="181"/>
        <v>0</v>
      </c>
      <c r="AO199" s="499">
        <f>I199+AF199</f>
        <v>2975606</v>
      </c>
      <c r="AP199" s="486">
        <f>J199+V199</f>
        <v>2171463</v>
      </c>
      <c r="AQ199" s="486">
        <f>K199+Y199</f>
        <v>20000</v>
      </c>
      <c r="AR199" s="486">
        <f>L199</f>
        <v>0</v>
      </c>
      <c r="AS199" s="486">
        <f t="shared" si="245"/>
        <v>740714</v>
      </c>
      <c r="AT199" s="486">
        <f t="shared" si="245"/>
        <v>43429</v>
      </c>
      <c r="AU199" s="486">
        <f>O199+AE199</f>
        <v>0</v>
      </c>
      <c r="AV199" s="501">
        <f>P199+AN199</f>
        <v>4.8</v>
      </c>
      <c r="AW199" s="501">
        <f t="shared" si="246"/>
        <v>4.8</v>
      </c>
      <c r="AX199" s="502">
        <f t="shared" si="246"/>
        <v>0</v>
      </c>
    </row>
    <row r="200" spans="1:50" ht="14.1" customHeight="1" x14ac:dyDescent="0.2">
      <c r="A200" s="585">
        <v>43</v>
      </c>
      <c r="B200" s="586">
        <v>2328</v>
      </c>
      <c r="C200" s="587">
        <v>691006041</v>
      </c>
      <c r="D200" s="586">
        <v>71294988</v>
      </c>
      <c r="E200" s="588" t="s">
        <v>660</v>
      </c>
      <c r="F200" s="585">
        <v>3143</v>
      </c>
      <c r="G200" s="208" t="s">
        <v>635</v>
      </c>
      <c r="H200" s="589" t="s">
        <v>284</v>
      </c>
      <c r="I200" s="495">
        <v>86372</v>
      </c>
      <c r="J200" s="496">
        <v>60885</v>
      </c>
      <c r="K200" s="475">
        <v>0</v>
      </c>
      <c r="L200" s="475">
        <v>0</v>
      </c>
      <c r="M200" s="475">
        <v>20579</v>
      </c>
      <c r="N200" s="496">
        <v>1218</v>
      </c>
      <c r="O200" s="496">
        <v>3690</v>
      </c>
      <c r="P200" s="412">
        <v>0.26</v>
      </c>
      <c r="Q200" s="497">
        <v>0</v>
      </c>
      <c r="R200" s="498">
        <v>0.26</v>
      </c>
      <c r="S200" s="499">
        <v>0</v>
      </c>
      <c r="T200" s="486">
        <v>0</v>
      </c>
      <c r="U200" s="486">
        <v>0</v>
      </c>
      <c r="V200" s="486">
        <f>SUM(S200:U200)</f>
        <v>0</v>
      </c>
      <c r="W200" s="486">
        <v>0</v>
      </c>
      <c r="X200" s="486">
        <v>0</v>
      </c>
      <c r="Y200" s="486">
        <f>SUM(W200:X200)</f>
        <v>0</v>
      </c>
      <c r="Z200" s="486">
        <f>V200+Y200</f>
        <v>0</v>
      </c>
      <c r="AA200" s="178">
        <f t="shared" si="178"/>
        <v>0</v>
      </c>
      <c r="AB200" s="745">
        <f>ROUND(V200*2%,0)</f>
        <v>0</v>
      </c>
      <c r="AC200" s="486">
        <v>0</v>
      </c>
      <c r="AD200" s="486">
        <v>0</v>
      </c>
      <c r="AE200" s="486">
        <f t="shared" si="179"/>
        <v>0</v>
      </c>
      <c r="AF200" s="486">
        <f t="shared" si="180"/>
        <v>0</v>
      </c>
      <c r="AG200" s="501">
        <v>0</v>
      </c>
      <c r="AH200" s="501">
        <v>0</v>
      </c>
      <c r="AI200" s="501">
        <v>0</v>
      </c>
      <c r="AJ200" s="501">
        <v>0</v>
      </c>
      <c r="AK200" s="501">
        <v>0</v>
      </c>
      <c r="AL200" s="501">
        <f t="shared" si="243"/>
        <v>0</v>
      </c>
      <c r="AM200" s="501">
        <f t="shared" si="244"/>
        <v>0</v>
      </c>
      <c r="AN200" s="502">
        <f t="shared" si="181"/>
        <v>0</v>
      </c>
      <c r="AO200" s="499">
        <f>I200+AF200</f>
        <v>86372</v>
      </c>
      <c r="AP200" s="486">
        <f>J200+V200</f>
        <v>60885</v>
      </c>
      <c r="AQ200" s="486">
        <f>K200+Y200</f>
        <v>0</v>
      </c>
      <c r="AR200" s="486">
        <f>L200</f>
        <v>0</v>
      </c>
      <c r="AS200" s="486">
        <f t="shared" si="245"/>
        <v>20579</v>
      </c>
      <c r="AT200" s="486">
        <f t="shared" si="245"/>
        <v>1218</v>
      </c>
      <c r="AU200" s="486">
        <f>O200+AE200</f>
        <v>3690</v>
      </c>
      <c r="AV200" s="501">
        <f>P200+AN200</f>
        <v>0.26</v>
      </c>
      <c r="AW200" s="501">
        <f t="shared" si="246"/>
        <v>0</v>
      </c>
      <c r="AX200" s="502">
        <f t="shared" si="246"/>
        <v>0.26</v>
      </c>
    </row>
    <row r="201" spans="1:50" ht="14.1" customHeight="1" x14ac:dyDescent="0.2">
      <c r="A201" s="181">
        <v>43</v>
      </c>
      <c r="B201" s="179">
        <v>2328</v>
      </c>
      <c r="C201" s="180">
        <v>691006041</v>
      </c>
      <c r="D201" s="179">
        <v>71294988</v>
      </c>
      <c r="E201" s="578" t="s">
        <v>661</v>
      </c>
      <c r="F201" s="181"/>
      <c r="G201" s="578"/>
      <c r="H201" s="579"/>
      <c r="I201" s="580">
        <v>30574421</v>
      </c>
      <c r="J201" s="581">
        <v>21541412</v>
      </c>
      <c r="K201" s="581">
        <v>263828</v>
      </c>
      <c r="L201" s="581">
        <v>60828</v>
      </c>
      <c r="M201" s="581">
        <v>7349611</v>
      </c>
      <c r="N201" s="581">
        <v>430828</v>
      </c>
      <c r="O201" s="581">
        <v>988742</v>
      </c>
      <c r="P201" s="582">
        <v>44.466399999999993</v>
      </c>
      <c r="Q201" s="582">
        <v>31.279800000000002</v>
      </c>
      <c r="R201" s="584">
        <v>13.186600000000002</v>
      </c>
      <c r="S201" s="583">
        <f t="shared" ref="S201:AX201" si="247">SUM(S196:S200)</f>
        <v>0</v>
      </c>
      <c r="T201" s="581">
        <f t="shared" si="247"/>
        <v>0</v>
      </c>
      <c r="U201" s="581">
        <f t="shared" si="247"/>
        <v>0</v>
      </c>
      <c r="V201" s="581">
        <f t="shared" si="247"/>
        <v>0</v>
      </c>
      <c r="W201" s="581">
        <f t="shared" si="247"/>
        <v>0</v>
      </c>
      <c r="X201" s="581">
        <f t="shared" si="247"/>
        <v>0</v>
      </c>
      <c r="Y201" s="581">
        <f t="shared" si="247"/>
        <v>0</v>
      </c>
      <c r="Z201" s="581">
        <f t="shared" si="247"/>
        <v>0</v>
      </c>
      <c r="AA201" s="581">
        <f t="shared" si="247"/>
        <v>0</v>
      </c>
      <c r="AB201" s="583">
        <f t="shared" si="247"/>
        <v>0</v>
      </c>
      <c r="AC201" s="581">
        <f t="shared" si="247"/>
        <v>0</v>
      </c>
      <c r="AD201" s="581">
        <f t="shared" si="247"/>
        <v>0</v>
      </c>
      <c r="AE201" s="581">
        <f t="shared" si="247"/>
        <v>0</v>
      </c>
      <c r="AF201" s="581">
        <f t="shared" si="247"/>
        <v>0</v>
      </c>
      <c r="AG201" s="582">
        <f t="shared" si="247"/>
        <v>0</v>
      </c>
      <c r="AH201" s="582">
        <f t="shared" si="247"/>
        <v>0</v>
      </c>
      <c r="AI201" s="582">
        <f t="shared" si="247"/>
        <v>0</v>
      </c>
      <c r="AJ201" s="582">
        <f t="shared" si="247"/>
        <v>0</v>
      </c>
      <c r="AK201" s="582">
        <f t="shared" si="247"/>
        <v>0</v>
      </c>
      <c r="AL201" s="582">
        <f t="shared" si="247"/>
        <v>0</v>
      </c>
      <c r="AM201" s="582">
        <f t="shared" si="247"/>
        <v>0</v>
      </c>
      <c r="AN201" s="584">
        <f t="shared" si="247"/>
        <v>0</v>
      </c>
      <c r="AO201" s="583">
        <f t="shared" si="247"/>
        <v>30574421</v>
      </c>
      <c r="AP201" s="581">
        <f t="shared" si="247"/>
        <v>21541412</v>
      </c>
      <c r="AQ201" s="581">
        <f t="shared" si="247"/>
        <v>263828</v>
      </c>
      <c r="AR201" s="581">
        <f t="shared" si="247"/>
        <v>60828</v>
      </c>
      <c r="AS201" s="581">
        <f t="shared" si="247"/>
        <v>7349611</v>
      </c>
      <c r="AT201" s="581">
        <f t="shared" si="247"/>
        <v>430828</v>
      </c>
      <c r="AU201" s="581">
        <f t="shared" si="247"/>
        <v>988742</v>
      </c>
      <c r="AV201" s="582">
        <f t="shared" si="247"/>
        <v>44.466399999999993</v>
      </c>
      <c r="AW201" s="582">
        <f t="shared" si="247"/>
        <v>31.279800000000002</v>
      </c>
      <c r="AX201" s="584">
        <f t="shared" si="247"/>
        <v>13.186600000000002</v>
      </c>
    </row>
    <row r="202" spans="1:50" ht="14.1" customHeight="1" x14ac:dyDescent="0.2">
      <c r="A202" s="585">
        <v>44</v>
      </c>
      <c r="B202" s="586">
        <v>2486</v>
      </c>
      <c r="C202" s="587">
        <v>600079970</v>
      </c>
      <c r="D202" s="586">
        <v>46744908</v>
      </c>
      <c r="E202" s="588" t="s">
        <v>662</v>
      </c>
      <c r="F202" s="585">
        <v>3113</v>
      </c>
      <c r="G202" s="588" t="s">
        <v>320</v>
      </c>
      <c r="H202" s="589" t="s">
        <v>283</v>
      </c>
      <c r="I202" s="495">
        <v>19623873</v>
      </c>
      <c r="J202" s="411">
        <v>13864940</v>
      </c>
      <c r="K202" s="520">
        <v>141884</v>
      </c>
      <c r="L202" s="520">
        <v>41884</v>
      </c>
      <c r="M202" s="475">
        <v>4720150</v>
      </c>
      <c r="N202" s="496">
        <v>277299</v>
      </c>
      <c r="O202" s="411">
        <v>619600</v>
      </c>
      <c r="P202" s="412">
        <v>25.232400000000005</v>
      </c>
      <c r="Q202" s="415">
        <v>19.414700000000003</v>
      </c>
      <c r="R202" s="685">
        <v>5.8177000000000003</v>
      </c>
      <c r="S202" s="499">
        <v>0</v>
      </c>
      <c r="T202" s="486">
        <v>0</v>
      </c>
      <c r="U202" s="486">
        <v>0</v>
      </c>
      <c r="V202" s="486">
        <f t="shared" ref="V202:V207" si="248">SUM(S202:U202)</f>
        <v>0</v>
      </c>
      <c r="W202" s="486">
        <v>0</v>
      </c>
      <c r="X202" s="486">
        <v>0</v>
      </c>
      <c r="Y202" s="486">
        <f t="shared" ref="Y202:Y207" si="249">SUM(W202:X202)</f>
        <v>0</v>
      </c>
      <c r="Z202" s="486">
        <f t="shared" ref="Z202:Z207" si="250">V202+Y202</f>
        <v>0</v>
      </c>
      <c r="AA202" s="178">
        <f t="shared" si="178"/>
        <v>0</v>
      </c>
      <c r="AB202" s="745">
        <f t="shared" ref="AB202:AB207" si="251">ROUND(V202*2%,0)</f>
        <v>0</v>
      </c>
      <c r="AC202" s="486">
        <v>0</v>
      </c>
      <c r="AD202" s="486">
        <v>0</v>
      </c>
      <c r="AE202" s="486">
        <f t="shared" si="179"/>
        <v>0</v>
      </c>
      <c r="AF202" s="486">
        <f t="shared" si="180"/>
        <v>0</v>
      </c>
      <c r="AG202" s="501">
        <v>0</v>
      </c>
      <c r="AH202" s="501">
        <v>0</v>
      </c>
      <c r="AI202" s="501">
        <v>0</v>
      </c>
      <c r="AJ202" s="501">
        <v>0</v>
      </c>
      <c r="AK202" s="501">
        <v>0</v>
      </c>
      <c r="AL202" s="501">
        <f t="shared" ref="AL202:AL207" si="252">AG202+AI202+AJ202</f>
        <v>0</v>
      </c>
      <c r="AM202" s="501">
        <f t="shared" ref="AM202:AM207" si="253">AH202+AK202</f>
        <v>0</v>
      </c>
      <c r="AN202" s="502">
        <f t="shared" si="181"/>
        <v>0</v>
      </c>
      <c r="AO202" s="499">
        <f t="shared" ref="AO202:AO207" si="254">I202+AF202</f>
        <v>19623873</v>
      </c>
      <c r="AP202" s="486">
        <f t="shared" ref="AP202:AP207" si="255">J202+V202</f>
        <v>13864940</v>
      </c>
      <c r="AQ202" s="486">
        <f t="shared" ref="AQ202:AQ207" si="256">K202+Y202</f>
        <v>141884</v>
      </c>
      <c r="AR202" s="486">
        <f t="shared" ref="AR202:AR207" si="257">L202</f>
        <v>41884</v>
      </c>
      <c r="AS202" s="486">
        <f t="shared" ref="AS202:AT207" si="258">M202+AA202</f>
        <v>4720150</v>
      </c>
      <c r="AT202" s="486">
        <f t="shared" si="258"/>
        <v>277299</v>
      </c>
      <c r="AU202" s="486">
        <f t="shared" ref="AU202:AU207" si="259">O202+AE202</f>
        <v>619600</v>
      </c>
      <c r="AV202" s="501">
        <f t="shared" ref="AV202:AV207" si="260">P202+AN202</f>
        <v>25.232400000000005</v>
      </c>
      <c r="AW202" s="501">
        <f t="shared" ref="AW202:AX207" si="261">Q202+AL202</f>
        <v>19.414700000000003</v>
      </c>
      <c r="AX202" s="502">
        <f t="shared" si="261"/>
        <v>5.8177000000000003</v>
      </c>
    </row>
    <row r="203" spans="1:50" ht="14.1" customHeight="1" x14ac:dyDescent="0.2">
      <c r="A203" s="585">
        <v>44</v>
      </c>
      <c r="B203" s="586">
        <v>2486</v>
      </c>
      <c r="C203" s="587">
        <v>600079970</v>
      </c>
      <c r="D203" s="586">
        <v>46744908</v>
      </c>
      <c r="E203" s="588" t="s">
        <v>662</v>
      </c>
      <c r="F203" s="585">
        <v>3113</v>
      </c>
      <c r="G203" s="208" t="s">
        <v>318</v>
      </c>
      <c r="H203" s="589" t="s">
        <v>284</v>
      </c>
      <c r="I203" s="495">
        <v>1542222</v>
      </c>
      <c r="J203" s="496">
        <v>1132564</v>
      </c>
      <c r="K203" s="475">
        <v>0</v>
      </c>
      <c r="L203" s="475">
        <v>0</v>
      </c>
      <c r="M203" s="475">
        <v>382807</v>
      </c>
      <c r="N203" s="496">
        <v>22651</v>
      </c>
      <c r="O203" s="496">
        <v>4200</v>
      </c>
      <c r="P203" s="412">
        <v>3.37</v>
      </c>
      <c r="Q203" s="497">
        <v>3.37</v>
      </c>
      <c r="R203" s="498">
        <v>0</v>
      </c>
      <c r="S203" s="499">
        <v>0</v>
      </c>
      <c r="T203" s="486">
        <v>0</v>
      </c>
      <c r="U203" s="486">
        <v>0</v>
      </c>
      <c r="V203" s="486">
        <f t="shared" si="248"/>
        <v>0</v>
      </c>
      <c r="W203" s="486">
        <v>0</v>
      </c>
      <c r="X203" s="486">
        <v>0</v>
      </c>
      <c r="Y203" s="486">
        <f t="shared" si="249"/>
        <v>0</v>
      </c>
      <c r="Z203" s="486">
        <f t="shared" si="250"/>
        <v>0</v>
      </c>
      <c r="AA203" s="178">
        <f t="shared" si="178"/>
        <v>0</v>
      </c>
      <c r="AB203" s="745">
        <f t="shared" si="251"/>
        <v>0</v>
      </c>
      <c r="AC203" s="486">
        <v>0</v>
      </c>
      <c r="AD203" s="486">
        <v>0</v>
      </c>
      <c r="AE203" s="486">
        <f t="shared" si="179"/>
        <v>0</v>
      </c>
      <c r="AF203" s="486">
        <f t="shared" si="180"/>
        <v>0</v>
      </c>
      <c r="AG203" s="501">
        <v>0</v>
      </c>
      <c r="AH203" s="501">
        <v>0</v>
      </c>
      <c r="AI203" s="501">
        <v>0</v>
      </c>
      <c r="AJ203" s="501">
        <v>0</v>
      </c>
      <c r="AK203" s="501">
        <v>0</v>
      </c>
      <c r="AL203" s="501">
        <f t="shared" si="252"/>
        <v>0</v>
      </c>
      <c r="AM203" s="501">
        <f t="shared" si="253"/>
        <v>0</v>
      </c>
      <c r="AN203" s="502">
        <f t="shared" si="181"/>
        <v>0</v>
      </c>
      <c r="AO203" s="499">
        <f t="shared" si="254"/>
        <v>1542222</v>
      </c>
      <c r="AP203" s="486">
        <f t="shared" si="255"/>
        <v>1132564</v>
      </c>
      <c r="AQ203" s="486">
        <f t="shared" si="256"/>
        <v>0</v>
      </c>
      <c r="AR203" s="486">
        <f t="shared" si="257"/>
        <v>0</v>
      </c>
      <c r="AS203" s="486">
        <f t="shared" si="258"/>
        <v>382807</v>
      </c>
      <c r="AT203" s="486">
        <f t="shared" si="258"/>
        <v>22651</v>
      </c>
      <c r="AU203" s="486">
        <f t="shared" si="259"/>
        <v>4200</v>
      </c>
      <c r="AV203" s="501">
        <f t="shared" si="260"/>
        <v>3.37</v>
      </c>
      <c r="AW203" s="501">
        <f t="shared" si="261"/>
        <v>3.37</v>
      </c>
      <c r="AX203" s="502">
        <f t="shared" si="261"/>
        <v>0</v>
      </c>
    </row>
    <row r="204" spans="1:50" ht="14.1" customHeight="1" x14ac:dyDescent="0.2">
      <c r="A204" s="585">
        <v>44</v>
      </c>
      <c r="B204" s="586">
        <v>2486</v>
      </c>
      <c r="C204" s="587">
        <v>600079970</v>
      </c>
      <c r="D204" s="586">
        <v>46744908</v>
      </c>
      <c r="E204" s="588" t="s">
        <v>662</v>
      </c>
      <c r="F204" s="585">
        <v>3141</v>
      </c>
      <c r="G204" s="588" t="s">
        <v>321</v>
      </c>
      <c r="H204" s="589" t="s">
        <v>284</v>
      </c>
      <c r="I204" s="495">
        <v>736809</v>
      </c>
      <c r="J204" s="496">
        <v>534734</v>
      </c>
      <c r="K204" s="475">
        <v>0</v>
      </c>
      <c r="L204" s="475">
        <v>0</v>
      </c>
      <c r="M204" s="475">
        <v>180740</v>
      </c>
      <c r="N204" s="496">
        <v>10695</v>
      </c>
      <c r="O204" s="496">
        <v>10640</v>
      </c>
      <c r="P204" s="412">
        <v>1.82</v>
      </c>
      <c r="Q204" s="497">
        <v>0</v>
      </c>
      <c r="R204" s="498">
        <v>1.82</v>
      </c>
      <c r="S204" s="499">
        <v>0</v>
      </c>
      <c r="T204" s="486">
        <v>0</v>
      </c>
      <c r="U204" s="486">
        <v>0</v>
      </c>
      <c r="V204" s="486">
        <f t="shared" si="248"/>
        <v>0</v>
      </c>
      <c r="W204" s="486">
        <v>0</v>
      </c>
      <c r="X204" s="486">
        <v>0</v>
      </c>
      <c r="Y204" s="486">
        <f t="shared" si="249"/>
        <v>0</v>
      </c>
      <c r="Z204" s="486">
        <f t="shared" si="250"/>
        <v>0</v>
      </c>
      <c r="AA204" s="178">
        <f t="shared" si="178"/>
        <v>0</v>
      </c>
      <c r="AB204" s="745">
        <f t="shared" si="251"/>
        <v>0</v>
      </c>
      <c r="AC204" s="486">
        <v>0</v>
      </c>
      <c r="AD204" s="486">
        <v>0</v>
      </c>
      <c r="AE204" s="486">
        <f t="shared" si="179"/>
        <v>0</v>
      </c>
      <c r="AF204" s="486">
        <f t="shared" si="180"/>
        <v>0</v>
      </c>
      <c r="AG204" s="501">
        <v>0</v>
      </c>
      <c r="AH204" s="501">
        <v>0</v>
      </c>
      <c r="AI204" s="501">
        <v>0</v>
      </c>
      <c r="AJ204" s="501">
        <v>0</v>
      </c>
      <c r="AK204" s="501">
        <v>0</v>
      </c>
      <c r="AL204" s="501">
        <f t="shared" si="252"/>
        <v>0</v>
      </c>
      <c r="AM204" s="501">
        <f t="shared" si="253"/>
        <v>0</v>
      </c>
      <c r="AN204" s="502">
        <f t="shared" si="181"/>
        <v>0</v>
      </c>
      <c r="AO204" s="499">
        <f t="shared" si="254"/>
        <v>736809</v>
      </c>
      <c r="AP204" s="486">
        <f t="shared" si="255"/>
        <v>534734</v>
      </c>
      <c r="AQ204" s="486">
        <f t="shared" si="256"/>
        <v>0</v>
      </c>
      <c r="AR204" s="486">
        <f t="shared" si="257"/>
        <v>0</v>
      </c>
      <c r="AS204" s="486">
        <f t="shared" si="258"/>
        <v>180740</v>
      </c>
      <c r="AT204" s="486">
        <f t="shared" si="258"/>
        <v>10695</v>
      </c>
      <c r="AU204" s="486">
        <f t="shared" si="259"/>
        <v>10640</v>
      </c>
      <c r="AV204" s="501">
        <f t="shared" si="260"/>
        <v>1.82</v>
      </c>
      <c r="AW204" s="501">
        <f t="shared" si="261"/>
        <v>0</v>
      </c>
      <c r="AX204" s="502">
        <f t="shared" si="261"/>
        <v>1.82</v>
      </c>
    </row>
    <row r="205" spans="1:50" ht="14.1" customHeight="1" x14ac:dyDescent="0.2">
      <c r="A205" s="585">
        <v>44</v>
      </c>
      <c r="B205" s="586">
        <v>2486</v>
      </c>
      <c r="C205" s="587">
        <v>600079970</v>
      </c>
      <c r="D205" s="586">
        <v>46744908</v>
      </c>
      <c r="E205" s="588" t="s">
        <v>662</v>
      </c>
      <c r="F205" s="585">
        <v>3143</v>
      </c>
      <c r="G205" s="208" t="s">
        <v>634</v>
      </c>
      <c r="H205" s="589" t="s">
        <v>283</v>
      </c>
      <c r="I205" s="495">
        <v>1626529</v>
      </c>
      <c r="J205" s="411">
        <v>1195768</v>
      </c>
      <c r="K205" s="520">
        <v>2000</v>
      </c>
      <c r="L205" s="520">
        <v>0</v>
      </c>
      <c r="M205" s="475">
        <v>404846</v>
      </c>
      <c r="N205" s="496">
        <v>23915</v>
      </c>
      <c r="O205" s="496">
        <v>0</v>
      </c>
      <c r="P205" s="412">
        <v>2.4900000000000002</v>
      </c>
      <c r="Q205" s="415">
        <v>2.4900000000000002</v>
      </c>
      <c r="R205" s="498">
        <v>0</v>
      </c>
      <c r="S205" s="499">
        <v>0</v>
      </c>
      <c r="T205" s="486">
        <v>0</v>
      </c>
      <c r="U205" s="486">
        <v>0</v>
      </c>
      <c r="V205" s="486">
        <f t="shared" si="248"/>
        <v>0</v>
      </c>
      <c r="W205" s="486">
        <v>0</v>
      </c>
      <c r="X205" s="486">
        <v>0</v>
      </c>
      <c r="Y205" s="486">
        <f t="shared" si="249"/>
        <v>0</v>
      </c>
      <c r="Z205" s="486">
        <f t="shared" si="250"/>
        <v>0</v>
      </c>
      <c r="AA205" s="178">
        <f t="shared" si="178"/>
        <v>0</v>
      </c>
      <c r="AB205" s="745">
        <f t="shared" si="251"/>
        <v>0</v>
      </c>
      <c r="AC205" s="486">
        <v>0</v>
      </c>
      <c r="AD205" s="486">
        <v>0</v>
      </c>
      <c r="AE205" s="486">
        <f t="shared" si="179"/>
        <v>0</v>
      </c>
      <c r="AF205" s="486">
        <f t="shared" si="180"/>
        <v>0</v>
      </c>
      <c r="AG205" s="501">
        <v>0</v>
      </c>
      <c r="AH205" s="501">
        <v>0</v>
      </c>
      <c r="AI205" s="501">
        <v>0</v>
      </c>
      <c r="AJ205" s="501">
        <v>0</v>
      </c>
      <c r="AK205" s="501">
        <v>0</v>
      </c>
      <c r="AL205" s="501">
        <f t="shared" si="252"/>
        <v>0</v>
      </c>
      <c r="AM205" s="501">
        <f t="shared" si="253"/>
        <v>0</v>
      </c>
      <c r="AN205" s="502">
        <f t="shared" si="181"/>
        <v>0</v>
      </c>
      <c r="AO205" s="499">
        <f t="shared" si="254"/>
        <v>1626529</v>
      </c>
      <c r="AP205" s="486">
        <f t="shared" si="255"/>
        <v>1195768</v>
      </c>
      <c r="AQ205" s="486">
        <f t="shared" si="256"/>
        <v>2000</v>
      </c>
      <c r="AR205" s="486">
        <f t="shared" si="257"/>
        <v>0</v>
      </c>
      <c r="AS205" s="486">
        <f t="shared" si="258"/>
        <v>404846</v>
      </c>
      <c r="AT205" s="486">
        <f t="shared" si="258"/>
        <v>23915</v>
      </c>
      <c r="AU205" s="486">
        <f t="shared" si="259"/>
        <v>0</v>
      </c>
      <c r="AV205" s="501">
        <f t="shared" si="260"/>
        <v>2.4900000000000002</v>
      </c>
      <c r="AW205" s="501">
        <f t="shared" si="261"/>
        <v>2.4900000000000002</v>
      </c>
      <c r="AX205" s="502">
        <f t="shared" si="261"/>
        <v>0</v>
      </c>
    </row>
    <row r="206" spans="1:50" ht="14.1" customHeight="1" x14ac:dyDescent="0.2">
      <c r="A206" s="585">
        <v>44</v>
      </c>
      <c r="B206" s="586">
        <v>2486</v>
      </c>
      <c r="C206" s="587">
        <v>600079970</v>
      </c>
      <c r="D206" s="586">
        <v>46744908</v>
      </c>
      <c r="E206" s="588" t="s">
        <v>662</v>
      </c>
      <c r="F206" s="585">
        <v>3143</v>
      </c>
      <c r="G206" s="208" t="s">
        <v>635</v>
      </c>
      <c r="H206" s="589" t="s">
        <v>284</v>
      </c>
      <c r="I206" s="495">
        <v>50559</v>
      </c>
      <c r="J206" s="496">
        <v>35640</v>
      </c>
      <c r="K206" s="475">
        <v>0</v>
      </c>
      <c r="L206" s="475">
        <v>0</v>
      </c>
      <c r="M206" s="475">
        <v>12046</v>
      </c>
      <c r="N206" s="496">
        <v>713</v>
      </c>
      <c r="O206" s="496">
        <v>2160</v>
      </c>
      <c r="P206" s="412">
        <v>0.15</v>
      </c>
      <c r="Q206" s="497">
        <v>0</v>
      </c>
      <c r="R206" s="498">
        <v>0.15</v>
      </c>
      <c r="S206" s="499">
        <v>0</v>
      </c>
      <c r="T206" s="486">
        <v>0</v>
      </c>
      <c r="U206" s="486">
        <v>0</v>
      </c>
      <c r="V206" s="486">
        <f t="shared" si="248"/>
        <v>0</v>
      </c>
      <c r="W206" s="486">
        <v>0</v>
      </c>
      <c r="X206" s="486">
        <v>0</v>
      </c>
      <c r="Y206" s="486">
        <f t="shared" si="249"/>
        <v>0</v>
      </c>
      <c r="Z206" s="486">
        <f t="shared" si="250"/>
        <v>0</v>
      </c>
      <c r="AA206" s="178">
        <f t="shared" ref="AA206:AA269" si="262">ROUND((V206+W206)*33.8%,0)</f>
        <v>0</v>
      </c>
      <c r="AB206" s="745">
        <f t="shared" si="251"/>
        <v>0</v>
      </c>
      <c r="AC206" s="486">
        <v>0</v>
      </c>
      <c r="AD206" s="486">
        <v>0</v>
      </c>
      <c r="AE206" s="486">
        <f t="shared" si="179"/>
        <v>0</v>
      </c>
      <c r="AF206" s="486">
        <f t="shared" si="180"/>
        <v>0</v>
      </c>
      <c r="AG206" s="501">
        <v>0</v>
      </c>
      <c r="AH206" s="501">
        <v>0</v>
      </c>
      <c r="AI206" s="501">
        <v>0</v>
      </c>
      <c r="AJ206" s="501">
        <v>0</v>
      </c>
      <c r="AK206" s="501">
        <v>0</v>
      </c>
      <c r="AL206" s="501">
        <f t="shared" si="252"/>
        <v>0</v>
      </c>
      <c r="AM206" s="501">
        <f t="shared" si="253"/>
        <v>0</v>
      </c>
      <c r="AN206" s="502">
        <f t="shared" si="181"/>
        <v>0</v>
      </c>
      <c r="AO206" s="499">
        <f t="shared" si="254"/>
        <v>50559</v>
      </c>
      <c r="AP206" s="486">
        <f t="shared" si="255"/>
        <v>35640</v>
      </c>
      <c r="AQ206" s="486">
        <f t="shared" si="256"/>
        <v>0</v>
      </c>
      <c r="AR206" s="486">
        <f t="shared" si="257"/>
        <v>0</v>
      </c>
      <c r="AS206" s="486">
        <f t="shared" si="258"/>
        <v>12046</v>
      </c>
      <c r="AT206" s="486">
        <f t="shared" si="258"/>
        <v>713</v>
      </c>
      <c r="AU206" s="486">
        <f t="shared" si="259"/>
        <v>2160</v>
      </c>
      <c r="AV206" s="501">
        <f t="shared" si="260"/>
        <v>0.15</v>
      </c>
      <c r="AW206" s="501">
        <f t="shared" si="261"/>
        <v>0</v>
      </c>
      <c r="AX206" s="502">
        <f t="shared" si="261"/>
        <v>0.15</v>
      </c>
    </row>
    <row r="207" spans="1:50" ht="14.1" customHeight="1" x14ac:dyDescent="0.2">
      <c r="A207" s="585">
        <v>44</v>
      </c>
      <c r="B207" s="586">
        <v>2486</v>
      </c>
      <c r="C207" s="587">
        <v>600079970</v>
      </c>
      <c r="D207" s="586">
        <v>46744908</v>
      </c>
      <c r="E207" s="588" t="s">
        <v>662</v>
      </c>
      <c r="F207" s="585">
        <v>3233</v>
      </c>
      <c r="G207" s="588" t="s">
        <v>324</v>
      </c>
      <c r="H207" s="589" t="s">
        <v>284</v>
      </c>
      <c r="I207" s="495">
        <v>740304</v>
      </c>
      <c r="J207" s="496">
        <v>485470</v>
      </c>
      <c r="K207" s="475">
        <v>58000</v>
      </c>
      <c r="L207" s="475">
        <v>0</v>
      </c>
      <c r="M207" s="475">
        <v>183693</v>
      </c>
      <c r="N207" s="496">
        <v>9709</v>
      </c>
      <c r="O207" s="496">
        <v>3432</v>
      </c>
      <c r="P207" s="412">
        <v>1.04</v>
      </c>
      <c r="Q207" s="497">
        <v>0.84000000000000008</v>
      </c>
      <c r="R207" s="498">
        <v>0.19999999999999998</v>
      </c>
      <c r="S207" s="499">
        <v>0</v>
      </c>
      <c r="T207" s="486">
        <v>0</v>
      </c>
      <c r="U207" s="486">
        <v>0</v>
      </c>
      <c r="V207" s="486">
        <f t="shared" si="248"/>
        <v>0</v>
      </c>
      <c r="W207" s="486">
        <v>0</v>
      </c>
      <c r="X207" s="486">
        <v>0</v>
      </c>
      <c r="Y207" s="486">
        <f t="shared" si="249"/>
        <v>0</v>
      </c>
      <c r="Z207" s="486">
        <f t="shared" si="250"/>
        <v>0</v>
      </c>
      <c r="AA207" s="178">
        <f t="shared" si="262"/>
        <v>0</v>
      </c>
      <c r="AB207" s="745">
        <f t="shared" si="251"/>
        <v>0</v>
      </c>
      <c r="AC207" s="486">
        <v>0</v>
      </c>
      <c r="AD207" s="486">
        <v>0</v>
      </c>
      <c r="AE207" s="486">
        <f t="shared" si="179"/>
        <v>0</v>
      </c>
      <c r="AF207" s="486">
        <f t="shared" si="180"/>
        <v>0</v>
      </c>
      <c r="AG207" s="501">
        <v>0</v>
      </c>
      <c r="AH207" s="501">
        <v>0</v>
      </c>
      <c r="AI207" s="501">
        <v>0</v>
      </c>
      <c r="AJ207" s="501">
        <v>0</v>
      </c>
      <c r="AK207" s="501">
        <v>0</v>
      </c>
      <c r="AL207" s="501">
        <f t="shared" si="252"/>
        <v>0</v>
      </c>
      <c r="AM207" s="501">
        <f t="shared" si="253"/>
        <v>0</v>
      </c>
      <c r="AN207" s="502">
        <f t="shared" si="181"/>
        <v>0</v>
      </c>
      <c r="AO207" s="499">
        <f t="shared" si="254"/>
        <v>740304</v>
      </c>
      <c r="AP207" s="486">
        <f t="shared" si="255"/>
        <v>485470</v>
      </c>
      <c r="AQ207" s="486">
        <f t="shared" si="256"/>
        <v>58000</v>
      </c>
      <c r="AR207" s="486">
        <f t="shared" si="257"/>
        <v>0</v>
      </c>
      <c r="AS207" s="486">
        <f t="shared" si="258"/>
        <v>183693</v>
      </c>
      <c r="AT207" s="486">
        <f t="shared" si="258"/>
        <v>9709</v>
      </c>
      <c r="AU207" s="486">
        <f t="shared" si="259"/>
        <v>3432</v>
      </c>
      <c r="AV207" s="501">
        <f t="shared" si="260"/>
        <v>1.04</v>
      </c>
      <c r="AW207" s="501">
        <f t="shared" si="261"/>
        <v>0.84000000000000008</v>
      </c>
      <c r="AX207" s="502">
        <f t="shared" si="261"/>
        <v>0.19999999999999998</v>
      </c>
    </row>
    <row r="208" spans="1:50" ht="14.1" customHeight="1" x14ac:dyDescent="0.2">
      <c r="A208" s="181">
        <v>44</v>
      </c>
      <c r="B208" s="179">
        <v>2486</v>
      </c>
      <c r="C208" s="180">
        <v>600079970</v>
      </c>
      <c r="D208" s="179">
        <v>46744908</v>
      </c>
      <c r="E208" s="578" t="s">
        <v>663</v>
      </c>
      <c r="F208" s="181"/>
      <c r="G208" s="578"/>
      <c r="H208" s="579"/>
      <c r="I208" s="580">
        <v>24320296</v>
      </c>
      <c r="J208" s="581">
        <v>17249116</v>
      </c>
      <c r="K208" s="581">
        <v>201884</v>
      </c>
      <c r="L208" s="581">
        <v>41884</v>
      </c>
      <c r="M208" s="581">
        <v>5884282</v>
      </c>
      <c r="N208" s="581">
        <v>344982</v>
      </c>
      <c r="O208" s="581">
        <v>640032</v>
      </c>
      <c r="P208" s="582">
        <v>34.102400000000003</v>
      </c>
      <c r="Q208" s="582">
        <v>26.114700000000003</v>
      </c>
      <c r="R208" s="584">
        <v>7.9877000000000011</v>
      </c>
      <c r="S208" s="583">
        <f t="shared" ref="S208:AX208" si="263">SUM(S202:S207)</f>
        <v>0</v>
      </c>
      <c r="T208" s="581">
        <f t="shared" si="263"/>
        <v>0</v>
      </c>
      <c r="U208" s="581">
        <f t="shared" si="263"/>
        <v>0</v>
      </c>
      <c r="V208" s="581">
        <f t="shared" si="263"/>
        <v>0</v>
      </c>
      <c r="W208" s="581">
        <f t="shared" si="263"/>
        <v>0</v>
      </c>
      <c r="X208" s="581">
        <f t="shared" si="263"/>
        <v>0</v>
      </c>
      <c r="Y208" s="581">
        <f t="shared" si="263"/>
        <v>0</v>
      </c>
      <c r="Z208" s="581">
        <f t="shared" si="263"/>
        <v>0</v>
      </c>
      <c r="AA208" s="581">
        <f t="shared" si="263"/>
        <v>0</v>
      </c>
      <c r="AB208" s="583">
        <f t="shared" si="263"/>
        <v>0</v>
      </c>
      <c r="AC208" s="581">
        <f t="shared" si="263"/>
        <v>0</v>
      </c>
      <c r="AD208" s="581">
        <f t="shared" si="263"/>
        <v>0</v>
      </c>
      <c r="AE208" s="581">
        <f t="shared" si="263"/>
        <v>0</v>
      </c>
      <c r="AF208" s="581">
        <f t="shared" si="263"/>
        <v>0</v>
      </c>
      <c r="AG208" s="582">
        <f t="shared" si="263"/>
        <v>0</v>
      </c>
      <c r="AH208" s="582">
        <f t="shared" si="263"/>
        <v>0</v>
      </c>
      <c r="AI208" s="582">
        <f t="shared" si="263"/>
        <v>0</v>
      </c>
      <c r="AJ208" s="582">
        <f t="shared" si="263"/>
        <v>0</v>
      </c>
      <c r="AK208" s="582">
        <f t="shared" si="263"/>
        <v>0</v>
      </c>
      <c r="AL208" s="582">
        <f t="shared" si="263"/>
        <v>0</v>
      </c>
      <c r="AM208" s="582">
        <f t="shared" si="263"/>
        <v>0</v>
      </c>
      <c r="AN208" s="584">
        <f t="shared" si="263"/>
        <v>0</v>
      </c>
      <c r="AO208" s="583">
        <f t="shared" si="263"/>
        <v>24320296</v>
      </c>
      <c r="AP208" s="581">
        <f t="shared" si="263"/>
        <v>17249116</v>
      </c>
      <c r="AQ208" s="581">
        <f t="shared" si="263"/>
        <v>201884</v>
      </c>
      <c r="AR208" s="581">
        <f t="shared" si="263"/>
        <v>41884</v>
      </c>
      <c r="AS208" s="581">
        <f t="shared" si="263"/>
        <v>5884282</v>
      </c>
      <c r="AT208" s="581">
        <f t="shared" si="263"/>
        <v>344982</v>
      </c>
      <c r="AU208" s="581">
        <f t="shared" si="263"/>
        <v>640032</v>
      </c>
      <c r="AV208" s="582">
        <f t="shared" si="263"/>
        <v>34.102400000000003</v>
      </c>
      <c r="AW208" s="582">
        <f t="shared" si="263"/>
        <v>26.114700000000003</v>
      </c>
      <c r="AX208" s="584">
        <f t="shared" si="263"/>
        <v>7.9877000000000011</v>
      </c>
    </row>
    <row r="209" spans="1:50" ht="14.1" customHeight="1" x14ac:dyDescent="0.2">
      <c r="A209" s="585">
        <v>45</v>
      </c>
      <c r="B209" s="586">
        <v>2487</v>
      </c>
      <c r="C209" s="587">
        <v>600079996</v>
      </c>
      <c r="D209" s="586">
        <v>68974639</v>
      </c>
      <c r="E209" s="588" t="s">
        <v>664</v>
      </c>
      <c r="F209" s="585">
        <v>3113</v>
      </c>
      <c r="G209" s="588" t="s">
        <v>320</v>
      </c>
      <c r="H209" s="589" t="s">
        <v>283</v>
      </c>
      <c r="I209" s="495">
        <v>25260719</v>
      </c>
      <c r="J209" s="411">
        <v>17763100</v>
      </c>
      <c r="K209" s="520">
        <v>257799</v>
      </c>
      <c r="L209" s="520">
        <v>222799</v>
      </c>
      <c r="M209" s="475">
        <v>6015758</v>
      </c>
      <c r="N209" s="496">
        <v>355262</v>
      </c>
      <c r="O209" s="411">
        <v>868800</v>
      </c>
      <c r="P209" s="412">
        <v>33.9908</v>
      </c>
      <c r="Q209" s="415">
        <v>26.458200000000001</v>
      </c>
      <c r="R209" s="685">
        <v>7.5325999999999995</v>
      </c>
      <c r="S209" s="499">
        <v>0</v>
      </c>
      <c r="T209" s="486">
        <v>0</v>
      </c>
      <c r="U209" s="486">
        <v>0</v>
      </c>
      <c r="V209" s="486">
        <f>SUM(S209:U209)</f>
        <v>0</v>
      </c>
      <c r="W209" s="486">
        <v>0</v>
      </c>
      <c r="X209" s="486">
        <v>0</v>
      </c>
      <c r="Y209" s="486">
        <f>SUM(W209:X209)</f>
        <v>0</v>
      </c>
      <c r="Z209" s="486">
        <f>V209+Y209</f>
        <v>0</v>
      </c>
      <c r="AA209" s="178">
        <f t="shared" si="262"/>
        <v>0</v>
      </c>
      <c r="AB209" s="745">
        <f>ROUND(V209*2%,0)</f>
        <v>0</v>
      </c>
      <c r="AC209" s="486">
        <v>0</v>
      </c>
      <c r="AD209" s="486">
        <v>0</v>
      </c>
      <c r="AE209" s="486">
        <f t="shared" ref="AE209:AE270" si="264">SUM(AC209:AD209)</f>
        <v>0</v>
      </c>
      <c r="AF209" s="486">
        <f t="shared" ref="AF209:AF270" si="265">Z209+AA209+AB209+AE209</f>
        <v>0</v>
      </c>
      <c r="AG209" s="501">
        <v>0</v>
      </c>
      <c r="AH209" s="501">
        <v>0</v>
      </c>
      <c r="AI209" s="501">
        <v>0</v>
      </c>
      <c r="AJ209" s="501">
        <v>0</v>
      </c>
      <c r="AK209" s="501">
        <v>0</v>
      </c>
      <c r="AL209" s="501">
        <f t="shared" ref="AL209:AL213" si="266">AG209+AI209+AJ209</f>
        <v>0</v>
      </c>
      <c r="AM209" s="501">
        <f t="shared" ref="AM209:AM213" si="267">AH209+AK209</f>
        <v>0</v>
      </c>
      <c r="AN209" s="502">
        <f t="shared" ref="AN209:AN270" si="268">SUM(AL209:AM209)</f>
        <v>0</v>
      </c>
      <c r="AO209" s="499">
        <f>I209+AF209</f>
        <v>25260719</v>
      </c>
      <c r="AP209" s="486">
        <f>J209+V209</f>
        <v>17763100</v>
      </c>
      <c r="AQ209" s="486">
        <f>K209+Y209</f>
        <v>257799</v>
      </c>
      <c r="AR209" s="486">
        <f>L209</f>
        <v>222799</v>
      </c>
      <c r="AS209" s="486">
        <f t="shared" ref="AS209:AT213" si="269">M209+AA209</f>
        <v>6015758</v>
      </c>
      <c r="AT209" s="486">
        <f t="shared" si="269"/>
        <v>355262</v>
      </c>
      <c r="AU209" s="486">
        <f>O209+AE209</f>
        <v>868800</v>
      </c>
      <c r="AV209" s="501">
        <f>P209+AN209</f>
        <v>33.9908</v>
      </c>
      <c r="AW209" s="501">
        <f t="shared" ref="AW209:AX213" si="270">Q209+AL209</f>
        <v>26.458200000000001</v>
      </c>
      <c r="AX209" s="502">
        <f t="shared" si="270"/>
        <v>7.5325999999999995</v>
      </c>
    </row>
    <row r="210" spans="1:50" ht="14.1" customHeight="1" x14ac:dyDescent="0.2">
      <c r="A210" s="585">
        <v>45</v>
      </c>
      <c r="B210" s="586">
        <v>2487</v>
      </c>
      <c r="C210" s="587">
        <v>600079996</v>
      </c>
      <c r="D210" s="586">
        <v>68974639</v>
      </c>
      <c r="E210" s="588" t="s">
        <v>664</v>
      </c>
      <c r="F210" s="585">
        <v>3113</v>
      </c>
      <c r="G210" s="208" t="s">
        <v>318</v>
      </c>
      <c r="H210" s="589" t="s">
        <v>284</v>
      </c>
      <c r="I210" s="495">
        <v>843634</v>
      </c>
      <c r="J210" s="496">
        <v>618103</v>
      </c>
      <c r="K210" s="475">
        <v>0</v>
      </c>
      <c r="L210" s="475">
        <v>0</v>
      </c>
      <c r="M210" s="475">
        <v>208919</v>
      </c>
      <c r="N210" s="496">
        <v>12362</v>
      </c>
      <c r="O210" s="496">
        <v>4250</v>
      </c>
      <c r="P210" s="412">
        <v>1.7399999999999998</v>
      </c>
      <c r="Q210" s="497">
        <v>1.7399999999999998</v>
      </c>
      <c r="R210" s="498">
        <v>0</v>
      </c>
      <c r="S210" s="499">
        <v>0</v>
      </c>
      <c r="T210" s="486">
        <v>0</v>
      </c>
      <c r="U210" s="486">
        <v>0</v>
      </c>
      <c r="V210" s="486">
        <f>SUM(S210:U210)</f>
        <v>0</v>
      </c>
      <c r="W210" s="486">
        <v>0</v>
      </c>
      <c r="X210" s="486">
        <v>0</v>
      </c>
      <c r="Y210" s="486">
        <f>SUM(W210:X210)</f>
        <v>0</v>
      </c>
      <c r="Z210" s="486">
        <f>V210+Y210</f>
        <v>0</v>
      </c>
      <c r="AA210" s="178">
        <f t="shared" si="262"/>
        <v>0</v>
      </c>
      <c r="AB210" s="745">
        <f>ROUND(V210*2%,0)</f>
        <v>0</v>
      </c>
      <c r="AC210" s="486">
        <v>0</v>
      </c>
      <c r="AD210" s="486">
        <v>0</v>
      </c>
      <c r="AE210" s="486">
        <f t="shared" si="264"/>
        <v>0</v>
      </c>
      <c r="AF210" s="486">
        <f t="shared" si="265"/>
        <v>0</v>
      </c>
      <c r="AG210" s="501">
        <v>0</v>
      </c>
      <c r="AH210" s="501">
        <v>0</v>
      </c>
      <c r="AI210" s="501">
        <v>0</v>
      </c>
      <c r="AJ210" s="501">
        <v>0</v>
      </c>
      <c r="AK210" s="501">
        <v>0</v>
      </c>
      <c r="AL210" s="501">
        <f t="shared" si="266"/>
        <v>0</v>
      </c>
      <c r="AM210" s="501">
        <f t="shared" si="267"/>
        <v>0</v>
      </c>
      <c r="AN210" s="502">
        <f t="shared" si="268"/>
        <v>0</v>
      </c>
      <c r="AO210" s="499">
        <f>I210+AF210</f>
        <v>843634</v>
      </c>
      <c r="AP210" s="486">
        <f>J210+V210</f>
        <v>618103</v>
      </c>
      <c r="AQ210" s="486">
        <f>K210+Y210</f>
        <v>0</v>
      </c>
      <c r="AR210" s="486">
        <f>L210</f>
        <v>0</v>
      </c>
      <c r="AS210" s="486">
        <f t="shared" si="269"/>
        <v>208919</v>
      </c>
      <c r="AT210" s="486">
        <f t="shared" si="269"/>
        <v>12362</v>
      </c>
      <c r="AU210" s="486">
        <f>O210+AE210</f>
        <v>4250</v>
      </c>
      <c r="AV210" s="501">
        <f>P210+AN210</f>
        <v>1.7399999999999998</v>
      </c>
      <c r="AW210" s="501">
        <f t="shared" si="270"/>
        <v>1.7399999999999998</v>
      </c>
      <c r="AX210" s="502">
        <f t="shared" si="270"/>
        <v>0</v>
      </c>
    </row>
    <row r="211" spans="1:50" ht="14.1" customHeight="1" x14ac:dyDescent="0.2">
      <c r="A211" s="585">
        <v>45</v>
      </c>
      <c r="B211" s="586">
        <v>2487</v>
      </c>
      <c r="C211" s="587">
        <v>600079996</v>
      </c>
      <c r="D211" s="586">
        <v>68974639</v>
      </c>
      <c r="E211" s="588" t="s">
        <v>664</v>
      </c>
      <c r="F211" s="585">
        <v>3141</v>
      </c>
      <c r="G211" s="588" t="s">
        <v>321</v>
      </c>
      <c r="H211" s="589" t="s">
        <v>284</v>
      </c>
      <c r="I211" s="495">
        <v>2950605</v>
      </c>
      <c r="J211" s="496">
        <v>2151488</v>
      </c>
      <c r="K211" s="475">
        <v>0</v>
      </c>
      <c r="L211" s="475">
        <v>0</v>
      </c>
      <c r="M211" s="475">
        <v>727203</v>
      </c>
      <c r="N211" s="496">
        <v>43030</v>
      </c>
      <c r="O211" s="496">
        <v>28884</v>
      </c>
      <c r="P211" s="412">
        <v>7.32</v>
      </c>
      <c r="Q211" s="497">
        <v>0</v>
      </c>
      <c r="R211" s="498">
        <v>7.32</v>
      </c>
      <c r="S211" s="499">
        <v>0</v>
      </c>
      <c r="T211" s="486">
        <v>0</v>
      </c>
      <c r="U211" s="486">
        <v>0</v>
      </c>
      <c r="V211" s="486">
        <f>SUM(S211:U211)</f>
        <v>0</v>
      </c>
      <c r="W211" s="486">
        <v>0</v>
      </c>
      <c r="X211" s="486">
        <v>0</v>
      </c>
      <c r="Y211" s="486">
        <f>SUM(W211:X211)</f>
        <v>0</v>
      </c>
      <c r="Z211" s="486">
        <f>V211+Y211</f>
        <v>0</v>
      </c>
      <c r="AA211" s="178">
        <f t="shared" si="262"/>
        <v>0</v>
      </c>
      <c r="AB211" s="745">
        <f>ROUND(V211*2%,0)</f>
        <v>0</v>
      </c>
      <c r="AC211" s="486">
        <v>0</v>
      </c>
      <c r="AD211" s="486">
        <v>0</v>
      </c>
      <c r="AE211" s="486">
        <f t="shared" si="264"/>
        <v>0</v>
      </c>
      <c r="AF211" s="486">
        <f t="shared" si="265"/>
        <v>0</v>
      </c>
      <c r="AG211" s="501">
        <v>0</v>
      </c>
      <c r="AH211" s="501">
        <v>0</v>
      </c>
      <c r="AI211" s="501">
        <v>0</v>
      </c>
      <c r="AJ211" s="501">
        <v>0</v>
      </c>
      <c r="AK211" s="501">
        <v>0</v>
      </c>
      <c r="AL211" s="501">
        <f t="shared" si="266"/>
        <v>0</v>
      </c>
      <c r="AM211" s="501">
        <f t="shared" si="267"/>
        <v>0</v>
      </c>
      <c r="AN211" s="502">
        <f t="shared" si="268"/>
        <v>0</v>
      </c>
      <c r="AO211" s="499">
        <f>I211+AF211</f>
        <v>2950605</v>
      </c>
      <c r="AP211" s="486">
        <f>J211+V211</f>
        <v>2151488</v>
      </c>
      <c r="AQ211" s="486">
        <f>K211+Y211</f>
        <v>0</v>
      </c>
      <c r="AR211" s="486">
        <f>L211</f>
        <v>0</v>
      </c>
      <c r="AS211" s="486">
        <f t="shared" si="269"/>
        <v>727203</v>
      </c>
      <c r="AT211" s="486">
        <f t="shared" si="269"/>
        <v>43030</v>
      </c>
      <c r="AU211" s="486">
        <f>O211+AE211</f>
        <v>28884</v>
      </c>
      <c r="AV211" s="501">
        <f>P211+AN211</f>
        <v>7.32</v>
      </c>
      <c r="AW211" s="501">
        <f t="shared" si="270"/>
        <v>0</v>
      </c>
      <c r="AX211" s="502">
        <f t="shared" si="270"/>
        <v>7.32</v>
      </c>
    </row>
    <row r="212" spans="1:50" ht="14.1" customHeight="1" x14ac:dyDescent="0.2">
      <c r="A212" s="585">
        <v>45</v>
      </c>
      <c r="B212" s="586">
        <v>2487</v>
      </c>
      <c r="C212" s="587">
        <v>600079996</v>
      </c>
      <c r="D212" s="586">
        <v>68974639</v>
      </c>
      <c r="E212" s="588" t="s">
        <v>664</v>
      </c>
      <c r="F212" s="585">
        <v>3143</v>
      </c>
      <c r="G212" s="208" t="s">
        <v>634</v>
      </c>
      <c r="H212" s="589" t="s">
        <v>283</v>
      </c>
      <c r="I212" s="495">
        <v>2225914</v>
      </c>
      <c r="J212" s="411">
        <v>1639112</v>
      </c>
      <c r="K212" s="520">
        <v>0</v>
      </c>
      <c r="L212" s="520">
        <v>0</v>
      </c>
      <c r="M212" s="475">
        <v>554020</v>
      </c>
      <c r="N212" s="496">
        <v>32782</v>
      </c>
      <c r="O212" s="496">
        <v>0</v>
      </c>
      <c r="P212" s="412">
        <v>3.5</v>
      </c>
      <c r="Q212" s="415">
        <v>3.5</v>
      </c>
      <c r="R212" s="498">
        <v>0</v>
      </c>
      <c r="S212" s="499">
        <v>0</v>
      </c>
      <c r="T212" s="486">
        <v>0</v>
      </c>
      <c r="U212" s="486">
        <v>0</v>
      </c>
      <c r="V212" s="486">
        <f>SUM(S212:U212)</f>
        <v>0</v>
      </c>
      <c r="W212" s="486">
        <v>0</v>
      </c>
      <c r="X212" s="486">
        <v>0</v>
      </c>
      <c r="Y212" s="486">
        <f>SUM(W212:X212)</f>
        <v>0</v>
      </c>
      <c r="Z212" s="486">
        <f>V212+Y212</f>
        <v>0</v>
      </c>
      <c r="AA212" s="178">
        <f t="shared" si="262"/>
        <v>0</v>
      </c>
      <c r="AB212" s="745">
        <f>ROUND(V212*2%,0)</f>
        <v>0</v>
      </c>
      <c r="AC212" s="486">
        <v>0</v>
      </c>
      <c r="AD212" s="486">
        <v>0</v>
      </c>
      <c r="AE212" s="486">
        <f t="shared" si="264"/>
        <v>0</v>
      </c>
      <c r="AF212" s="486">
        <f t="shared" si="265"/>
        <v>0</v>
      </c>
      <c r="AG212" s="501">
        <v>0</v>
      </c>
      <c r="AH212" s="501">
        <v>0</v>
      </c>
      <c r="AI212" s="501">
        <v>0</v>
      </c>
      <c r="AJ212" s="501">
        <v>0</v>
      </c>
      <c r="AK212" s="501">
        <v>0</v>
      </c>
      <c r="AL212" s="501">
        <f t="shared" si="266"/>
        <v>0</v>
      </c>
      <c r="AM212" s="501">
        <f t="shared" si="267"/>
        <v>0</v>
      </c>
      <c r="AN212" s="502">
        <f t="shared" si="268"/>
        <v>0</v>
      </c>
      <c r="AO212" s="499">
        <f>I212+AF212</f>
        <v>2225914</v>
      </c>
      <c r="AP212" s="486">
        <f>J212+V212</f>
        <v>1639112</v>
      </c>
      <c r="AQ212" s="486">
        <f>K212+Y212</f>
        <v>0</v>
      </c>
      <c r="AR212" s="486">
        <f>L212</f>
        <v>0</v>
      </c>
      <c r="AS212" s="486">
        <f t="shared" si="269"/>
        <v>554020</v>
      </c>
      <c r="AT212" s="486">
        <f t="shared" si="269"/>
        <v>32782</v>
      </c>
      <c r="AU212" s="486">
        <f>O212+AE212</f>
        <v>0</v>
      </c>
      <c r="AV212" s="501">
        <f>P212+AN212</f>
        <v>3.5</v>
      </c>
      <c r="AW212" s="501">
        <f t="shared" si="270"/>
        <v>3.5</v>
      </c>
      <c r="AX212" s="502">
        <f t="shared" si="270"/>
        <v>0</v>
      </c>
    </row>
    <row r="213" spans="1:50" ht="14.1" customHeight="1" x14ac:dyDescent="0.2">
      <c r="A213" s="585">
        <v>45</v>
      </c>
      <c r="B213" s="586">
        <v>2487</v>
      </c>
      <c r="C213" s="587">
        <v>600079996</v>
      </c>
      <c r="D213" s="586">
        <v>68974639</v>
      </c>
      <c r="E213" s="588" t="s">
        <v>664</v>
      </c>
      <c r="F213" s="585">
        <v>3143</v>
      </c>
      <c r="G213" s="208" t="s">
        <v>635</v>
      </c>
      <c r="H213" s="589" t="s">
        <v>284</v>
      </c>
      <c r="I213" s="495">
        <v>77243</v>
      </c>
      <c r="J213" s="496">
        <v>54450</v>
      </c>
      <c r="K213" s="475">
        <v>0</v>
      </c>
      <c r="L213" s="475">
        <v>0</v>
      </c>
      <c r="M213" s="475">
        <v>18404</v>
      </c>
      <c r="N213" s="496">
        <v>1089</v>
      </c>
      <c r="O213" s="496">
        <v>3300</v>
      </c>
      <c r="P213" s="412">
        <v>0.23</v>
      </c>
      <c r="Q213" s="497">
        <v>0</v>
      </c>
      <c r="R213" s="498">
        <v>0.23</v>
      </c>
      <c r="S213" s="499">
        <v>0</v>
      </c>
      <c r="T213" s="486">
        <v>0</v>
      </c>
      <c r="U213" s="486">
        <v>0</v>
      </c>
      <c r="V213" s="486">
        <f>SUM(S213:U213)</f>
        <v>0</v>
      </c>
      <c r="W213" s="486">
        <v>0</v>
      </c>
      <c r="X213" s="486">
        <v>0</v>
      </c>
      <c r="Y213" s="486">
        <f>SUM(W213:X213)</f>
        <v>0</v>
      </c>
      <c r="Z213" s="486">
        <f>V213+Y213</f>
        <v>0</v>
      </c>
      <c r="AA213" s="178">
        <f t="shared" si="262"/>
        <v>0</v>
      </c>
      <c r="AB213" s="745">
        <f>ROUND(V213*2%,0)</f>
        <v>0</v>
      </c>
      <c r="AC213" s="486">
        <v>0</v>
      </c>
      <c r="AD213" s="486">
        <v>0</v>
      </c>
      <c r="AE213" s="486">
        <f t="shared" si="264"/>
        <v>0</v>
      </c>
      <c r="AF213" s="486">
        <f t="shared" si="265"/>
        <v>0</v>
      </c>
      <c r="AG213" s="501">
        <v>0</v>
      </c>
      <c r="AH213" s="501">
        <v>0</v>
      </c>
      <c r="AI213" s="501">
        <v>0</v>
      </c>
      <c r="AJ213" s="501">
        <v>0</v>
      </c>
      <c r="AK213" s="501">
        <v>0</v>
      </c>
      <c r="AL213" s="501">
        <f t="shared" si="266"/>
        <v>0</v>
      </c>
      <c r="AM213" s="501">
        <f t="shared" si="267"/>
        <v>0</v>
      </c>
      <c r="AN213" s="502">
        <f t="shared" si="268"/>
        <v>0</v>
      </c>
      <c r="AO213" s="499">
        <f>I213+AF213</f>
        <v>77243</v>
      </c>
      <c r="AP213" s="486">
        <f>J213+V213</f>
        <v>54450</v>
      </c>
      <c r="AQ213" s="486">
        <f>K213+Y213</f>
        <v>0</v>
      </c>
      <c r="AR213" s="486">
        <f>L213</f>
        <v>0</v>
      </c>
      <c r="AS213" s="486">
        <f t="shared" si="269"/>
        <v>18404</v>
      </c>
      <c r="AT213" s="486">
        <f t="shared" si="269"/>
        <v>1089</v>
      </c>
      <c r="AU213" s="486">
        <f>O213+AE213</f>
        <v>3300</v>
      </c>
      <c r="AV213" s="501">
        <f>P213+AN213</f>
        <v>0.23</v>
      </c>
      <c r="AW213" s="501">
        <f t="shared" si="270"/>
        <v>0</v>
      </c>
      <c r="AX213" s="502">
        <f t="shared" si="270"/>
        <v>0.23</v>
      </c>
    </row>
    <row r="214" spans="1:50" ht="14.1" customHeight="1" x14ac:dyDescent="0.2">
      <c r="A214" s="181">
        <v>45</v>
      </c>
      <c r="B214" s="179">
        <v>2487</v>
      </c>
      <c r="C214" s="180">
        <v>600079996</v>
      </c>
      <c r="D214" s="179">
        <v>68974639</v>
      </c>
      <c r="E214" s="578" t="s">
        <v>665</v>
      </c>
      <c r="F214" s="181"/>
      <c r="G214" s="578"/>
      <c r="H214" s="579"/>
      <c r="I214" s="580">
        <v>31358115</v>
      </c>
      <c r="J214" s="581">
        <v>22226253</v>
      </c>
      <c r="K214" s="581">
        <v>257799</v>
      </c>
      <c r="L214" s="581">
        <v>222799</v>
      </c>
      <c r="M214" s="581">
        <v>7524304</v>
      </c>
      <c r="N214" s="581">
        <v>444525</v>
      </c>
      <c r="O214" s="581">
        <v>905234</v>
      </c>
      <c r="P214" s="582">
        <v>46.780799999999999</v>
      </c>
      <c r="Q214" s="582">
        <v>31.6982</v>
      </c>
      <c r="R214" s="584">
        <v>15.082599999999999</v>
      </c>
      <c r="S214" s="583">
        <f t="shared" ref="S214:AX214" si="271">SUM(S209:S213)</f>
        <v>0</v>
      </c>
      <c r="T214" s="581">
        <f t="shared" si="271"/>
        <v>0</v>
      </c>
      <c r="U214" s="581">
        <f t="shared" si="271"/>
        <v>0</v>
      </c>
      <c r="V214" s="581">
        <f t="shared" si="271"/>
        <v>0</v>
      </c>
      <c r="W214" s="581">
        <f t="shared" si="271"/>
        <v>0</v>
      </c>
      <c r="X214" s="581">
        <f t="shared" si="271"/>
        <v>0</v>
      </c>
      <c r="Y214" s="581">
        <f t="shared" si="271"/>
        <v>0</v>
      </c>
      <c r="Z214" s="581">
        <f t="shared" si="271"/>
        <v>0</v>
      </c>
      <c r="AA214" s="581">
        <f t="shared" si="271"/>
        <v>0</v>
      </c>
      <c r="AB214" s="583">
        <f t="shared" si="271"/>
        <v>0</v>
      </c>
      <c r="AC214" s="581">
        <f t="shared" si="271"/>
        <v>0</v>
      </c>
      <c r="AD214" s="581">
        <f t="shared" si="271"/>
        <v>0</v>
      </c>
      <c r="AE214" s="581">
        <f t="shared" si="271"/>
        <v>0</v>
      </c>
      <c r="AF214" s="581">
        <f t="shared" si="271"/>
        <v>0</v>
      </c>
      <c r="AG214" s="582">
        <f t="shared" si="271"/>
        <v>0</v>
      </c>
      <c r="AH214" s="582">
        <f t="shared" si="271"/>
        <v>0</v>
      </c>
      <c r="AI214" s="582">
        <f t="shared" si="271"/>
        <v>0</v>
      </c>
      <c r="AJ214" s="582">
        <f t="shared" si="271"/>
        <v>0</v>
      </c>
      <c r="AK214" s="582">
        <f t="shared" si="271"/>
        <v>0</v>
      </c>
      <c r="AL214" s="582">
        <f t="shared" si="271"/>
        <v>0</v>
      </c>
      <c r="AM214" s="582">
        <f t="shared" si="271"/>
        <v>0</v>
      </c>
      <c r="AN214" s="584">
        <f t="shared" si="271"/>
        <v>0</v>
      </c>
      <c r="AO214" s="583">
        <f t="shared" si="271"/>
        <v>31358115</v>
      </c>
      <c r="AP214" s="581">
        <f t="shared" si="271"/>
        <v>22226253</v>
      </c>
      <c r="AQ214" s="581">
        <f t="shared" si="271"/>
        <v>257799</v>
      </c>
      <c r="AR214" s="581">
        <f t="shared" si="271"/>
        <v>222799</v>
      </c>
      <c r="AS214" s="581">
        <f t="shared" si="271"/>
        <v>7524304</v>
      </c>
      <c r="AT214" s="581">
        <f t="shared" si="271"/>
        <v>444525</v>
      </c>
      <c r="AU214" s="581">
        <f t="shared" si="271"/>
        <v>905234</v>
      </c>
      <c r="AV214" s="582">
        <f t="shared" si="271"/>
        <v>46.780799999999999</v>
      </c>
      <c r="AW214" s="582">
        <f t="shared" si="271"/>
        <v>31.6982</v>
      </c>
      <c r="AX214" s="584">
        <f t="shared" si="271"/>
        <v>15.082599999999999</v>
      </c>
    </row>
    <row r="215" spans="1:50" ht="14.1" customHeight="1" x14ac:dyDescent="0.2">
      <c r="A215" s="585">
        <v>46</v>
      </c>
      <c r="B215" s="586">
        <v>2488</v>
      </c>
      <c r="C215" s="587">
        <v>600079902</v>
      </c>
      <c r="D215" s="586">
        <v>70884978</v>
      </c>
      <c r="E215" s="588" t="s">
        <v>666</v>
      </c>
      <c r="F215" s="585">
        <v>3113</v>
      </c>
      <c r="G215" s="588" t="s">
        <v>320</v>
      </c>
      <c r="H215" s="589" t="s">
        <v>283</v>
      </c>
      <c r="I215" s="495">
        <v>21622364</v>
      </c>
      <c r="J215" s="411">
        <v>15300249</v>
      </c>
      <c r="K215" s="520">
        <v>70728</v>
      </c>
      <c r="L215" s="520">
        <v>49728</v>
      </c>
      <c r="M215" s="475">
        <v>5178582</v>
      </c>
      <c r="N215" s="496">
        <v>306005</v>
      </c>
      <c r="O215" s="411">
        <v>766800</v>
      </c>
      <c r="P215" s="412">
        <v>29.044899999999998</v>
      </c>
      <c r="Q215" s="415">
        <v>22.4087</v>
      </c>
      <c r="R215" s="685">
        <v>6.6362000000000005</v>
      </c>
      <c r="S215" s="499">
        <v>0</v>
      </c>
      <c r="T215" s="486">
        <v>0</v>
      </c>
      <c r="U215" s="486">
        <v>0</v>
      </c>
      <c r="V215" s="486">
        <f>SUM(S215:U215)</f>
        <v>0</v>
      </c>
      <c r="W215" s="486">
        <v>0</v>
      </c>
      <c r="X215" s="486">
        <v>0</v>
      </c>
      <c r="Y215" s="486">
        <f>SUM(W215:X215)</f>
        <v>0</v>
      </c>
      <c r="Z215" s="486">
        <f>V215+Y215</f>
        <v>0</v>
      </c>
      <c r="AA215" s="178">
        <f t="shared" si="262"/>
        <v>0</v>
      </c>
      <c r="AB215" s="745">
        <f>ROUND(V215*2%,0)</f>
        <v>0</v>
      </c>
      <c r="AC215" s="486">
        <v>0</v>
      </c>
      <c r="AD215" s="486">
        <v>0</v>
      </c>
      <c r="AE215" s="486">
        <f t="shared" si="264"/>
        <v>0</v>
      </c>
      <c r="AF215" s="486">
        <f t="shared" si="265"/>
        <v>0</v>
      </c>
      <c r="AG215" s="501">
        <v>0</v>
      </c>
      <c r="AH215" s="501">
        <v>0</v>
      </c>
      <c r="AI215" s="501">
        <v>0</v>
      </c>
      <c r="AJ215" s="501">
        <v>0</v>
      </c>
      <c r="AK215" s="501">
        <v>0</v>
      </c>
      <c r="AL215" s="501">
        <f t="shared" ref="AL215:AL219" si="272">AG215+AI215+AJ215</f>
        <v>0</v>
      </c>
      <c r="AM215" s="501">
        <f t="shared" ref="AM215:AM219" si="273">AH215+AK215</f>
        <v>0</v>
      </c>
      <c r="AN215" s="502">
        <f t="shared" si="268"/>
        <v>0</v>
      </c>
      <c r="AO215" s="499">
        <f>I215+AF215</f>
        <v>21622364</v>
      </c>
      <c r="AP215" s="486">
        <f>J215+V215</f>
        <v>15300249</v>
      </c>
      <c r="AQ215" s="486">
        <f>K215+Y215</f>
        <v>70728</v>
      </c>
      <c r="AR215" s="486">
        <f>L215</f>
        <v>49728</v>
      </c>
      <c r="AS215" s="486">
        <f t="shared" ref="AS215:AT219" si="274">M215+AA215</f>
        <v>5178582</v>
      </c>
      <c r="AT215" s="486">
        <f t="shared" si="274"/>
        <v>306005</v>
      </c>
      <c r="AU215" s="486">
        <f>O215+AE215</f>
        <v>766800</v>
      </c>
      <c r="AV215" s="501">
        <f>P215+AN215</f>
        <v>29.044899999999998</v>
      </c>
      <c r="AW215" s="501">
        <f t="shared" ref="AW215:AX219" si="275">Q215+AL215</f>
        <v>22.4087</v>
      </c>
      <c r="AX215" s="502">
        <f t="shared" si="275"/>
        <v>6.6362000000000005</v>
      </c>
    </row>
    <row r="216" spans="1:50" ht="14.1" customHeight="1" x14ac:dyDescent="0.2">
      <c r="A216" s="585">
        <v>46</v>
      </c>
      <c r="B216" s="586">
        <v>2488</v>
      </c>
      <c r="C216" s="587">
        <v>600079902</v>
      </c>
      <c r="D216" s="586">
        <v>70884978</v>
      </c>
      <c r="E216" s="588" t="s">
        <v>666</v>
      </c>
      <c r="F216" s="585">
        <v>3113</v>
      </c>
      <c r="G216" s="208" t="s">
        <v>318</v>
      </c>
      <c r="H216" s="589" t="s">
        <v>284</v>
      </c>
      <c r="I216" s="495">
        <v>2558006</v>
      </c>
      <c r="J216" s="496">
        <v>1875557</v>
      </c>
      <c r="K216" s="475">
        <v>0</v>
      </c>
      <c r="L216" s="475">
        <v>0</v>
      </c>
      <c r="M216" s="475">
        <v>633938</v>
      </c>
      <c r="N216" s="496">
        <v>37511</v>
      </c>
      <c r="O216" s="496">
        <v>11000</v>
      </c>
      <c r="P216" s="412">
        <v>5.44</v>
      </c>
      <c r="Q216" s="497">
        <v>5.44</v>
      </c>
      <c r="R216" s="498">
        <v>0</v>
      </c>
      <c r="S216" s="499">
        <v>0</v>
      </c>
      <c r="T216" s="486">
        <v>14150</v>
      </c>
      <c r="U216" s="486">
        <v>0</v>
      </c>
      <c r="V216" s="486">
        <f>SUM(S216:U216)</f>
        <v>14150</v>
      </c>
      <c r="W216" s="486">
        <v>0</v>
      </c>
      <c r="X216" s="486">
        <v>0</v>
      </c>
      <c r="Y216" s="486">
        <f>SUM(W216:X216)</f>
        <v>0</v>
      </c>
      <c r="Z216" s="486">
        <f>V216+Y216</f>
        <v>14150</v>
      </c>
      <c r="AA216" s="178">
        <f t="shared" si="262"/>
        <v>4783</v>
      </c>
      <c r="AB216" s="745">
        <f>ROUND(V216*2%,0)</f>
        <v>283</v>
      </c>
      <c r="AC216" s="486">
        <v>0</v>
      </c>
      <c r="AD216" s="486">
        <v>0</v>
      </c>
      <c r="AE216" s="486">
        <f t="shared" si="264"/>
        <v>0</v>
      </c>
      <c r="AF216" s="486">
        <f t="shared" si="265"/>
        <v>19216</v>
      </c>
      <c r="AG216" s="501">
        <v>0</v>
      </c>
      <c r="AH216" s="501">
        <v>0</v>
      </c>
      <c r="AI216" s="501">
        <v>0.04</v>
      </c>
      <c r="AJ216" s="501">
        <v>0</v>
      </c>
      <c r="AK216" s="501">
        <v>0</v>
      </c>
      <c r="AL216" s="501">
        <f t="shared" si="272"/>
        <v>0.04</v>
      </c>
      <c r="AM216" s="501">
        <f t="shared" si="273"/>
        <v>0</v>
      </c>
      <c r="AN216" s="502">
        <f t="shared" si="268"/>
        <v>0.04</v>
      </c>
      <c r="AO216" s="499">
        <f>I216+AF216</f>
        <v>2577222</v>
      </c>
      <c r="AP216" s="486">
        <f>J216+V216</f>
        <v>1889707</v>
      </c>
      <c r="AQ216" s="486">
        <f>K216+Y216</f>
        <v>0</v>
      </c>
      <c r="AR216" s="486">
        <f>L216</f>
        <v>0</v>
      </c>
      <c r="AS216" s="486">
        <f t="shared" si="274"/>
        <v>638721</v>
      </c>
      <c r="AT216" s="486">
        <f t="shared" si="274"/>
        <v>37794</v>
      </c>
      <c r="AU216" s="486">
        <f>O216+AE216</f>
        <v>11000</v>
      </c>
      <c r="AV216" s="501">
        <f>P216+AN216</f>
        <v>5.48</v>
      </c>
      <c r="AW216" s="501">
        <f t="shared" si="275"/>
        <v>5.48</v>
      </c>
      <c r="AX216" s="502">
        <f t="shared" si="275"/>
        <v>0</v>
      </c>
    </row>
    <row r="217" spans="1:50" ht="14.1" customHeight="1" x14ac:dyDescent="0.2">
      <c r="A217" s="585">
        <v>46</v>
      </c>
      <c r="B217" s="586">
        <v>2488</v>
      </c>
      <c r="C217" s="587">
        <v>600079902</v>
      </c>
      <c r="D217" s="586">
        <v>70884978</v>
      </c>
      <c r="E217" s="588" t="s">
        <v>666</v>
      </c>
      <c r="F217" s="585">
        <v>3141</v>
      </c>
      <c r="G217" s="588" t="s">
        <v>321</v>
      </c>
      <c r="H217" s="589" t="s">
        <v>284</v>
      </c>
      <c r="I217" s="495">
        <v>1750745</v>
      </c>
      <c r="J217" s="496">
        <v>1271165</v>
      </c>
      <c r="K217" s="475">
        <v>7000</v>
      </c>
      <c r="L217" s="475">
        <v>0</v>
      </c>
      <c r="M217" s="475">
        <v>432019</v>
      </c>
      <c r="N217" s="496">
        <v>25423</v>
      </c>
      <c r="O217" s="496">
        <v>15138</v>
      </c>
      <c r="P217" s="412">
        <v>4.3499999999999996</v>
      </c>
      <c r="Q217" s="497">
        <v>0</v>
      </c>
      <c r="R217" s="498">
        <v>4.3499999999999996</v>
      </c>
      <c r="S217" s="499">
        <v>0</v>
      </c>
      <c r="T217" s="486">
        <v>0</v>
      </c>
      <c r="U217" s="486">
        <v>0</v>
      </c>
      <c r="V217" s="486">
        <f>SUM(S217:U217)</f>
        <v>0</v>
      </c>
      <c r="W217" s="486">
        <v>0</v>
      </c>
      <c r="X217" s="486">
        <v>0</v>
      </c>
      <c r="Y217" s="486">
        <f>SUM(W217:X217)</f>
        <v>0</v>
      </c>
      <c r="Z217" s="486">
        <f>V217+Y217</f>
        <v>0</v>
      </c>
      <c r="AA217" s="178">
        <f t="shared" si="262"/>
        <v>0</v>
      </c>
      <c r="AB217" s="745">
        <f>ROUND(V217*2%,0)</f>
        <v>0</v>
      </c>
      <c r="AC217" s="486">
        <v>0</v>
      </c>
      <c r="AD217" s="486">
        <v>0</v>
      </c>
      <c r="AE217" s="486">
        <f t="shared" si="264"/>
        <v>0</v>
      </c>
      <c r="AF217" s="486">
        <f t="shared" si="265"/>
        <v>0</v>
      </c>
      <c r="AG217" s="501">
        <v>0</v>
      </c>
      <c r="AH217" s="501">
        <v>0</v>
      </c>
      <c r="AI217" s="501">
        <v>0</v>
      </c>
      <c r="AJ217" s="501">
        <v>0</v>
      </c>
      <c r="AK217" s="501">
        <v>0</v>
      </c>
      <c r="AL217" s="501">
        <f t="shared" si="272"/>
        <v>0</v>
      </c>
      <c r="AM217" s="501">
        <f t="shared" si="273"/>
        <v>0</v>
      </c>
      <c r="AN217" s="502">
        <f t="shared" si="268"/>
        <v>0</v>
      </c>
      <c r="AO217" s="499">
        <f>I217+AF217</f>
        <v>1750745</v>
      </c>
      <c r="AP217" s="486">
        <f>J217+V217</f>
        <v>1271165</v>
      </c>
      <c r="AQ217" s="486">
        <f>K217+Y217</f>
        <v>7000</v>
      </c>
      <c r="AR217" s="486">
        <f>L217</f>
        <v>0</v>
      </c>
      <c r="AS217" s="486">
        <f t="shared" si="274"/>
        <v>432019</v>
      </c>
      <c r="AT217" s="486">
        <f t="shared" si="274"/>
        <v>25423</v>
      </c>
      <c r="AU217" s="486">
        <f>O217+AE217</f>
        <v>15138</v>
      </c>
      <c r="AV217" s="501">
        <f>P217+AN217</f>
        <v>4.3499999999999996</v>
      </c>
      <c r="AW217" s="501">
        <f t="shared" si="275"/>
        <v>0</v>
      </c>
      <c r="AX217" s="502">
        <f t="shared" si="275"/>
        <v>4.3499999999999996</v>
      </c>
    </row>
    <row r="218" spans="1:50" ht="14.1" customHeight="1" x14ac:dyDescent="0.2">
      <c r="A218" s="585">
        <v>46</v>
      </c>
      <c r="B218" s="586">
        <v>2488</v>
      </c>
      <c r="C218" s="587">
        <v>600079902</v>
      </c>
      <c r="D218" s="586">
        <v>70884978</v>
      </c>
      <c r="E218" s="588" t="s">
        <v>666</v>
      </c>
      <c r="F218" s="585">
        <v>3143</v>
      </c>
      <c r="G218" s="208" t="s">
        <v>634</v>
      </c>
      <c r="H218" s="589" t="s">
        <v>283</v>
      </c>
      <c r="I218" s="495">
        <v>2041981</v>
      </c>
      <c r="J218" s="411">
        <v>1501697</v>
      </c>
      <c r="K218" s="520">
        <v>2000</v>
      </c>
      <c r="L218" s="520">
        <v>0</v>
      </c>
      <c r="M218" s="475">
        <v>508250</v>
      </c>
      <c r="N218" s="496">
        <v>30034</v>
      </c>
      <c r="O218" s="496">
        <v>0</v>
      </c>
      <c r="P218" s="412">
        <v>3.2858000000000001</v>
      </c>
      <c r="Q218" s="415">
        <v>3.2858000000000001</v>
      </c>
      <c r="R218" s="498">
        <v>0</v>
      </c>
      <c r="S218" s="499">
        <v>0</v>
      </c>
      <c r="T218" s="486">
        <v>0</v>
      </c>
      <c r="U218" s="486">
        <v>0</v>
      </c>
      <c r="V218" s="486">
        <f>SUM(S218:U218)</f>
        <v>0</v>
      </c>
      <c r="W218" s="486">
        <v>0</v>
      </c>
      <c r="X218" s="486">
        <v>0</v>
      </c>
      <c r="Y218" s="486">
        <f>SUM(W218:X218)</f>
        <v>0</v>
      </c>
      <c r="Z218" s="486">
        <f>V218+Y218</f>
        <v>0</v>
      </c>
      <c r="AA218" s="178">
        <f t="shared" si="262"/>
        <v>0</v>
      </c>
      <c r="AB218" s="745">
        <f>ROUND(V218*2%,0)</f>
        <v>0</v>
      </c>
      <c r="AC218" s="486">
        <v>0</v>
      </c>
      <c r="AD218" s="486">
        <v>0</v>
      </c>
      <c r="AE218" s="486">
        <f t="shared" si="264"/>
        <v>0</v>
      </c>
      <c r="AF218" s="486">
        <f t="shared" si="265"/>
        <v>0</v>
      </c>
      <c r="AG218" s="501">
        <v>0</v>
      </c>
      <c r="AH218" s="501">
        <v>0</v>
      </c>
      <c r="AI218" s="501">
        <v>0</v>
      </c>
      <c r="AJ218" s="501">
        <v>0</v>
      </c>
      <c r="AK218" s="501">
        <v>0</v>
      </c>
      <c r="AL218" s="501">
        <f t="shared" si="272"/>
        <v>0</v>
      </c>
      <c r="AM218" s="501">
        <f t="shared" si="273"/>
        <v>0</v>
      </c>
      <c r="AN218" s="502">
        <f t="shared" si="268"/>
        <v>0</v>
      </c>
      <c r="AO218" s="499">
        <f>I218+AF218</f>
        <v>2041981</v>
      </c>
      <c r="AP218" s="486">
        <f>J218+V218</f>
        <v>1501697</v>
      </c>
      <c r="AQ218" s="486">
        <f>K218+Y218</f>
        <v>2000</v>
      </c>
      <c r="AR218" s="486">
        <f>L218</f>
        <v>0</v>
      </c>
      <c r="AS218" s="486">
        <f t="shared" si="274"/>
        <v>508250</v>
      </c>
      <c r="AT218" s="486">
        <f t="shared" si="274"/>
        <v>30034</v>
      </c>
      <c r="AU218" s="486">
        <f>O218+AE218</f>
        <v>0</v>
      </c>
      <c r="AV218" s="501">
        <f>P218+AN218</f>
        <v>3.2858000000000001</v>
      </c>
      <c r="AW218" s="501">
        <f t="shared" si="275"/>
        <v>3.2858000000000001</v>
      </c>
      <c r="AX218" s="502">
        <f t="shared" si="275"/>
        <v>0</v>
      </c>
    </row>
    <row r="219" spans="1:50" ht="14.1" customHeight="1" x14ac:dyDescent="0.2">
      <c r="A219" s="585">
        <v>46</v>
      </c>
      <c r="B219" s="586">
        <v>2488</v>
      </c>
      <c r="C219" s="587">
        <v>600079902</v>
      </c>
      <c r="D219" s="586">
        <v>70884978</v>
      </c>
      <c r="E219" s="588" t="s">
        <v>666</v>
      </c>
      <c r="F219" s="585">
        <v>3143</v>
      </c>
      <c r="G219" s="208" t="s">
        <v>635</v>
      </c>
      <c r="H219" s="589" t="s">
        <v>284</v>
      </c>
      <c r="I219" s="495">
        <v>66710</v>
      </c>
      <c r="J219" s="496">
        <v>47025</v>
      </c>
      <c r="K219" s="475">
        <v>0</v>
      </c>
      <c r="L219" s="475">
        <v>0</v>
      </c>
      <c r="M219" s="475">
        <v>15894</v>
      </c>
      <c r="N219" s="496">
        <v>941</v>
      </c>
      <c r="O219" s="496">
        <v>2850</v>
      </c>
      <c r="P219" s="412">
        <v>0.2</v>
      </c>
      <c r="Q219" s="497">
        <v>0</v>
      </c>
      <c r="R219" s="498">
        <v>0.2</v>
      </c>
      <c r="S219" s="499">
        <v>0</v>
      </c>
      <c r="T219" s="486">
        <v>0</v>
      </c>
      <c r="U219" s="486">
        <v>0</v>
      </c>
      <c r="V219" s="486">
        <f>SUM(S219:U219)</f>
        <v>0</v>
      </c>
      <c r="W219" s="486">
        <v>0</v>
      </c>
      <c r="X219" s="486">
        <v>0</v>
      </c>
      <c r="Y219" s="486">
        <f>SUM(W219:X219)</f>
        <v>0</v>
      </c>
      <c r="Z219" s="486">
        <f>V219+Y219</f>
        <v>0</v>
      </c>
      <c r="AA219" s="178">
        <f t="shared" si="262"/>
        <v>0</v>
      </c>
      <c r="AB219" s="745">
        <f>ROUND(V219*2%,0)</f>
        <v>0</v>
      </c>
      <c r="AC219" s="486">
        <v>0</v>
      </c>
      <c r="AD219" s="486">
        <v>0</v>
      </c>
      <c r="AE219" s="486">
        <f t="shared" si="264"/>
        <v>0</v>
      </c>
      <c r="AF219" s="486">
        <f t="shared" si="265"/>
        <v>0</v>
      </c>
      <c r="AG219" s="501">
        <v>0</v>
      </c>
      <c r="AH219" s="501">
        <v>0</v>
      </c>
      <c r="AI219" s="501">
        <v>0</v>
      </c>
      <c r="AJ219" s="501">
        <v>0</v>
      </c>
      <c r="AK219" s="501">
        <v>0</v>
      </c>
      <c r="AL219" s="501">
        <f t="shared" si="272"/>
        <v>0</v>
      </c>
      <c r="AM219" s="501">
        <f t="shared" si="273"/>
        <v>0</v>
      </c>
      <c r="AN219" s="502">
        <f t="shared" si="268"/>
        <v>0</v>
      </c>
      <c r="AO219" s="499">
        <f>I219+AF219</f>
        <v>66710</v>
      </c>
      <c r="AP219" s="486">
        <f>J219+V219</f>
        <v>47025</v>
      </c>
      <c r="AQ219" s="486">
        <f>K219+Y219</f>
        <v>0</v>
      </c>
      <c r="AR219" s="486">
        <f>L219</f>
        <v>0</v>
      </c>
      <c r="AS219" s="486">
        <f t="shared" si="274"/>
        <v>15894</v>
      </c>
      <c r="AT219" s="486">
        <f t="shared" si="274"/>
        <v>941</v>
      </c>
      <c r="AU219" s="486">
        <f>O219+AE219</f>
        <v>2850</v>
      </c>
      <c r="AV219" s="501">
        <f>P219+AN219</f>
        <v>0.2</v>
      </c>
      <c r="AW219" s="501">
        <f t="shared" si="275"/>
        <v>0</v>
      </c>
      <c r="AX219" s="502">
        <f t="shared" si="275"/>
        <v>0.2</v>
      </c>
    </row>
    <row r="220" spans="1:50" ht="14.1" customHeight="1" x14ac:dyDescent="0.2">
      <c r="A220" s="181">
        <v>46</v>
      </c>
      <c r="B220" s="179">
        <v>2488</v>
      </c>
      <c r="C220" s="180">
        <v>600079902</v>
      </c>
      <c r="D220" s="179">
        <v>70884978</v>
      </c>
      <c r="E220" s="578" t="s">
        <v>667</v>
      </c>
      <c r="F220" s="181"/>
      <c r="G220" s="578"/>
      <c r="H220" s="579"/>
      <c r="I220" s="580">
        <v>28039806</v>
      </c>
      <c r="J220" s="581">
        <v>19995693</v>
      </c>
      <c r="K220" s="581">
        <v>79728</v>
      </c>
      <c r="L220" s="581">
        <v>49728</v>
      </c>
      <c r="M220" s="581">
        <v>6768683</v>
      </c>
      <c r="N220" s="581">
        <v>399914</v>
      </c>
      <c r="O220" s="581">
        <v>795788</v>
      </c>
      <c r="P220" s="582">
        <v>42.320700000000002</v>
      </c>
      <c r="Q220" s="582">
        <v>31.134500000000003</v>
      </c>
      <c r="R220" s="584">
        <v>11.186199999999999</v>
      </c>
      <c r="S220" s="583">
        <f t="shared" ref="S220:AX220" si="276">SUM(S215:S219)</f>
        <v>0</v>
      </c>
      <c r="T220" s="581">
        <f t="shared" si="276"/>
        <v>14150</v>
      </c>
      <c r="U220" s="581">
        <f t="shared" si="276"/>
        <v>0</v>
      </c>
      <c r="V220" s="581">
        <f t="shared" si="276"/>
        <v>14150</v>
      </c>
      <c r="W220" s="581">
        <f t="shared" si="276"/>
        <v>0</v>
      </c>
      <c r="X220" s="581">
        <f t="shared" si="276"/>
        <v>0</v>
      </c>
      <c r="Y220" s="581">
        <f t="shared" si="276"/>
        <v>0</v>
      </c>
      <c r="Z220" s="581">
        <f t="shared" si="276"/>
        <v>14150</v>
      </c>
      <c r="AA220" s="581">
        <f t="shared" si="276"/>
        <v>4783</v>
      </c>
      <c r="AB220" s="583">
        <f t="shared" si="276"/>
        <v>283</v>
      </c>
      <c r="AC220" s="581">
        <f t="shared" si="276"/>
        <v>0</v>
      </c>
      <c r="AD220" s="581">
        <f t="shared" si="276"/>
        <v>0</v>
      </c>
      <c r="AE220" s="581">
        <f t="shared" si="276"/>
        <v>0</v>
      </c>
      <c r="AF220" s="581">
        <f t="shared" si="276"/>
        <v>19216</v>
      </c>
      <c r="AG220" s="582">
        <f t="shared" si="276"/>
        <v>0</v>
      </c>
      <c r="AH220" s="582">
        <f t="shared" si="276"/>
        <v>0</v>
      </c>
      <c r="AI220" s="582">
        <f t="shared" si="276"/>
        <v>0.04</v>
      </c>
      <c r="AJ220" s="582">
        <f t="shared" si="276"/>
        <v>0</v>
      </c>
      <c r="AK220" s="582">
        <f t="shared" si="276"/>
        <v>0</v>
      </c>
      <c r="AL220" s="582">
        <f t="shared" si="276"/>
        <v>0.04</v>
      </c>
      <c r="AM220" s="582">
        <f t="shared" si="276"/>
        <v>0</v>
      </c>
      <c r="AN220" s="584">
        <f t="shared" si="276"/>
        <v>0.04</v>
      </c>
      <c r="AO220" s="583">
        <f t="shared" si="276"/>
        <v>28059022</v>
      </c>
      <c r="AP220" s="581">
        <f t="shared" si="276"/>
        <v>20009843</v>
      </c>
      <c r="AQ220" s="581">
        <f t="shared" si="276"/>
        <v>79728</v>
      </c>
      <c r="AR220" s="581">
        <f t="shared" si="276"/>
        <v>49728</v>
      </c>
      <c r="AS220" s="581">
        <f t="shared" si="276"/>
        <v>6773466</v>
      </c>
      <c r="AT220" s="581">
        <f t="shared" si="276"/>
        <v>400197</v>
      </c>
      <c r="AU220" s="581">
        <f t="shared" si="276"/>
        <v>795788</v>
      </c>
      <c r="AV220" s="582">
        <f t="shared" si="276"/>
        <v>42.360700000000008</v>
      </c>
      <c r="AW220" s="582">
        <f t="shared" si="276"/>
        <v>31.174500000000002</v>
      </c>
      <c r="AX220" s="584">
        <f t="shared" si="276"/>
        <v>11.186199999999999</v>
      </c>
    </row>
    <row r="221" spans="1:50" ht="14.1" customHeight="1" x14ac:dyDescent="0.2">
      <c r="A221" s="585">
        <v>47</v>
      </c>
      <c r="B221" s="586">
        <v>2472</v>
      </c>
      <c r="C221" s="587">
        <v>600080277</v>
      </c>
      <c r="D221" s="586">
        <v>72743131</v>
      </c>
      <c r="E221" s="588" t="s">
        <v>668</v>
      </c>
      <c r="F221" s="585">
        <v>3113</v>
      </c>
      <c r="G221" s="588" t="s">
        <v>320</v>
      </c>
      <c r="H221" s="589" t="s">
        <v>283</v>
      </c>
      <c r="I221" s="495">
        <v>26719492</v>
      </c>
      <c r="J221" s="411">
        <v>18804550</v>
      </c>
      <c r="K221" s="520">
        <v>365709</v>
      </c>
      <c r="L221" s="520">
        <v>184127</v>
      </c>
      <c r="M221" s="475">
        <v>6392442</v>
      </c>
      <c r="N221" s="496">
        <v>376091</v>
      </c>
      <c r="O221" s="411">
        <v>780700</v>
      </c>
      <c r="P221" s="412">
        <v>35.912399999999998</v>
      </c>
      <c r="Q221" s="415">
        <v>27.183</v>
      </c>
      <c r="R221" s="685">
        <v>8.7294000000000018</v>
      </c>
      <c r="S221" s="499">
        <v>0</v>
      </c>
      <c r="T221" s="486">
        <v>0</v>
      </c>
      <c r="U221" s="486">
        <v>0</v>
      </c>
      <c r="V221" s="486">
        <f>SUM(S221:U221)</f>
        <v>0</v>
      </c>
      <c r="W221" s="486">
        <v>0</v>
      </c>
      <c r="X221" s="486">
        <v>0</v>
      </c>
      <c r="Y221" s="486">
        <f>SUM(W221:X221)</f>
        <v>0</v>
      </c>
      <c r="Z221" s="486">
        <f>V221+Y221</f>
        <v>0</v>
      </c>
      <c r="AA221" s="178">
        <f t="shared" si="262"/>
        <v>0</v>
      </c>
      <c r="AB221" s="745">
        <f>ROUND(V221*2%,0)</f>
        <v>0</v>
      </c>
      <c r="AC221" s="486">
        <v>0</v>
      </c>
      <c r="AD221" s="486">
        <v>0</v>
      </c>
      <c r="AE221" s="486">
        <f t="shared" si="264"/>
        <v>0</v>
      </c>
      <c r="AF221" s="486">
        <f t="shared" si="265"/>
        <v>0</v>
      </c>
      <c r="AG221" s="501">
        <v>0</v>
      </c>
      <c r="AH221" s="501">
        <v>0</v>
      </c>
      <c r="AI221" s="501">
        <v>0</v>
      </c>
      <c r="AJ221" s="501">
        <v>0</v>
      </c>
      <c r="AK221" s="501">
        <v>0</v>
      </c>
      <c r="AL221" s="501">
        <f t="shared" ref="AL221:AL225" si="277">AG221+AI221+AJ221</f>
        <v>0</v>
      </c>
      <c r="AM221" s="501">
        <f t="shared" ref="AM221:AM225" si="278">AH221+AK221</f>
        <v>0</v>
      </c>
      <c r="AN221" s="502">
        <f t="shared" si="268"/>
        <v>0</v>
      </c>
      <c r="AO221" s="499">
        <f>I221+AF221</f>
        <v>26719492</v>
      </c>
      <c r="AP221" s="486">
        <f>J221+V221</f>
        <v>18804550</v>
      </c>
      <c r="AQ221" s="486">
        <f>K221+Y221</f>
        <v>365709</v>
      </c>
      <c r="AR221" s="486">
        <f>L221</f>
        <v>184127</v>
      </c>
      <c r="AS221" s="486">
        <f t="shared" ref="AS221:AT225" si="279">M221+AA221</f>
        <v>6392442</v>
      </c>
      <c r="AT221" s="486">
        <f t="shared" si="279"/>
        <v>376091</v>
      </c>
      <c r="AU221" s="486">
        <f>O221+AE221</f>
        <v>780700</v>
      </c>
      <c r="AV221" s="501">
        <f>P221+AN221</f>
        <v>35.912399999999998</v>
      </c>
      <c r="AW221" s="501">
        <f t="shared" ref="AW221:AX225" si="280">Q221+AL221</f>
        <v>27.183</v>
      </c>
      <c r="AX221" s="502">
        <f t="shared" si="280"/>
        <v>8.7294000000000018</v>
      </c>
    </row>
    <row r="222" spans="1:50" ht="14.1" customHeight="1" x14ac:dyDescent="0.2">
      <c r="A222" s="585">
        <v>47</v>
      </c>
      <c r="B222" s="586">
        <v>2472</v>
      </c>
      <c r="C222" s="587">
        <v>600080277</v>
      </c>
      <c r="D222" s="586">
        <v>72743131</v>
      </c>
      <c r="E222" s="588" t="s">
        <v>668</v>
      </c>
      <c r="F222" s="585">
        <v>3113</v>
      </c>
      <c r="G222" s="208" t="s">
        <v>318</v>
      </c>
      <c r="H222" s="589" t="s">
        <v>284</v>
      </c>
      <c r="I222" s="495">
        <v>3925103</v>
      </c>
      <c r="J222" s="496">
        <v>2885569</v>
      </c>
      <c r="K222" s="475">
        <v>0</v>
      </c>
      <c r="L222" s="475">
        <v>0</v>
      </c>
      <c r="M222" s="475">
        <v>975323</v>
      </c>
      <c r="N222" s="496">
        <v>57711</v>
      </c>
      <c r="O222" s="496">
        <v>6500</v>
      </c>
      <c r="P222" s="412">
        <v>8.19</v>
      </c>
      <c r="Q222" s="497">
        <v>8.19</v>
      </c>
      <c r="R222" s="498">
        <v>0</v>
      </c>
      <c r="S222" s="499">
        <v>0</v>
      </c>
      <c r="T222" s="486">
        <v>-27664</v>
      </c>
      <c r="U222" s="486">
        <v>0</v>
      </c>
      <c r="V222" s="486">
        <f>SUM(S222:U222)</f>
        <v>-27664</v>
      </c>
      <c r="W222" s="486">
        <v>0</v>
      </c>
      <c r="X222" s="486">
        <v>0</v>
      </c>
      <c r="Y222" s="486">
        <f>SUM(W222:X222)</f>
        <v>0</v>
      </c>
      <c r="Z222" s="486">
        <f>V222+Y222</f>
        <v>-27664</v>
      </c>
      <c r="AA222" s="178">
        <f t="shared" si="262"/>
        <v>-9350</v>
      </c>
      <c r="AB222" s="745">
        <f>ROUND(V222*2%,0)</f>
        <v>-553</v>
      </c>
      <c r="AC222" s="486">
        <v>0</v>
      </c>
      <c r="AD222" s="486">
        <v>0</v>
      </c>
      <c r="AE222" s="486">
        <f t="shared" si="264"/>
        <v>0</v>
      </c>
      <c r="AF222" s="486">
        <f t="shared" si="265"/>
        <v>-37567</v>
      </c>
      <c r="AG222" s="501">
        <v>0</v>
      </c>
      <c r="AH222" s="501">
        <v>0</v>
      </c>
      <c r="AI222" s="501">
        <v>-0.09</v>
      </c>
      <c r="AJ222" s="501">
        <v>0</v>
      </c>
      <c r="AK222" s="501">
        <v>0</v>
      </c>
      <c r="AL222" s="501">
        <f t="shared" si="277"/>
        <v>-0.09</v>
      </c>
      <c r="AM222" s="501">
        <f t="shared" si="278"/>
        <v>0</v>
      </c>
      <c r="AN222" s="502">
        <f t="shared" si="268"/>
        <v>-0.09</v>
      </c>
      <c r="AO222" s="499">
        <f>I222+AF222</f>
        <v>3887536</v>
      </c>
      <c r="AP222" s="486">
        <f>J222+V222</f>
        <v>2857905</v>
      </c>
      <c r="AQ222" s="486">
        <f>K222+Y222</f>
        <v>0</v>
      </c>
      <c r="AR222" s="486">
        <f>L222</f>
        <v>0</v>
      </c>
      <c r="AS222" s="486">
        <f t="shared" si="279"/>
        <v>965973</v>
      </c>
      <c r="AT222" s="486">
        <f t="shared" si="279"/>
        <v>57158</v>
      </c>
      <c r="AU222" s="486">
        <f>O222+AE222</f>
        <v>6500</v>
      </c>
      <c r="AV222" s="501">
        <f>P222+AN222</f>
        <v>8.1</v>
      </c>
      <c r="AW222" s="501">
        <f t="shared" si="280"/>
        <v>8.1</v>
      </c>
      <c r="AX222" s="502">
        <f t="shared" si="280"/>
        <v>0</v>
      </c>
    </row>
    <row r="223" spans="1:50" ht="14.1" customHeight="1" x14ac:dyDescent="0.2">
      <c r="A223" s="585">
        <v>47</v>
      </c>
      <c r="B223" s="586">
        <v>2472</v>
      </c>
      <c r="C223" s="587">
        <v>600080277</v>
      </c>
      <c r="D223" s="586">
        <v>72743131</v>
      </c>
      <c r="E223" s="588" t="s">
        <v>668</v>
      </c>
      <c r="F223" s="585">
        <v>3141</v>
      </c>
      <c r="G223" s="588" t="s">
        <v>321</v>
      </c>
      <c r="H223" s="589" t="s">
        <v>284</v>
      </c>
      <c r="I223" s="495">
        <v>1714166</v>
      </c>
      <c r="J223" s="496">
        <v>1244015</v>
      </c>
      <c r="K223" s="475">
        <v>7000</v>
      </c>
      <c r="L223" s="475">
        <v>0</v>
      </c>
      <c r="M223" s="475">
        <v>422843</v>
      </c>
      <c r="N223" s="496">
        <v>24880</v>
      </c>
      <c r="O223" s="496">
        <v>15428</v>
      </c>
      <c r="P223" s="412">
        <v>4.25</v>
      </c>
      <c r="Q223" s="497">
        <v>0</v>
      </c>
      <c r="R223" s="498">
        <v>4.25</v>
      </c>
      <c r="S223" s="499">
        <v>0</v>
      </c>
      <c r="T223" s="486">
        <v>0</v>
      </c>
      <c r="U223" s="486">
        <v>0</v>
      </c>
      <c r="V223" s="486">
        <f>SUM(S223:U223)</f>
        <v>0</v>
      </c>
      <c r="W223" s="486">
        <v>0</v>
      </c>
      <c r="X223" s="486">
        <v>0</v>
      </c>
      <c r="Y223" s="486">
        <f>SUM(W223:X223)</f>
        <v>0</v>
      </c>
      <c r="Z223" s="486">
        <f>V223+Y223</f>
        <v>0</v>
      </c>
      <c r="AA223" s="178">
        <f t="shared" si="262"/>
        <v>0</v>
      </c>
      <c r="AB223" s="745">
        <f>ROUND(V223*2%,0)</f>
        <v>0</v>
      </c>
      <c r="AC223" s="486">
        <v>0</v>
      </c>
      <c r="AD223" s="486">
        <v>0</v>
      </c>
      <c r="AE223" s="486">
        <f t="shared" si="264"/>
        <v>0</v>
      </c>
      <c r="AF223" s="486">
        <f t="shared" si="265"/>
        <v>0</v>
      </c>
      <c r="AG223" s="501">
        <v>0</v>
      </c>
      <c r="AH223" s="501">
        <v>0</v>
      </c>
      <c r="AI223" s="501">
        <v>0</v>
      </c>
      <c r="AJ223" s="501">
        <v>0</v>
      </c>
      <c r="AK223" s="501">
        <v>0</v>
      </c>
      <c r="AL223" s="501">
        <f t="shared" si="277"/>
        <v>0</v>
      </c>
      <c r="AM223" s="501">
        <f t="shared" si="278"/>
        <v>0</v>
      </c>
      <c r="AN223" s="502">
        <f t="shared" si="268"/>
        <v>0</v>
      </c>
      <c r="AO223" s="499">
        <f>I223+AF223</f>
        <v>1714166</v>
      </c>
      <c r="AP223" s="486">
        <f>J223+V223</f>
        <v>1244015</v>
      </c>
      <c r="AQ223" s="486">
        <f>K223+Y223</f>
        <v>7000</v>
      </c>
      <c r="AR223" s="486">
        <f>L223</f>
        <v>0</v>
      </c>
      <c r="AS223" s="486">
        <f t="shared" si="279"/>
        <v>422843</v>
      </c>
      <c r="AT223" s="486">
        <f t="shared" si="279"/>
        <v>24880</v>
      </c>
      <c r="AU223" s="486">
        <f>O223+AE223</f>
        <v>15428</v>
      </c>
      <c r="AV223" s="501">
        <f>P223+AN223</f>
        <v>4.25</v>
      </c>
      <c r="AW223" s="501">
        <f t="shared" si="280"/>
        <v>0</v>
      </c>
      <c r="AX223" s="502">
        <f t="shared" si="280"/>
        <v>4.25</v>
      </c>
    </row>
    <row r="224" spans="1:50" ht="14.1" customHeight="1" x14ac:dyDescent="0.2">
      <c r="A224" s="585">
        <v>47</v>
      </c>
      <c r="B224" s="586">
        <v>2472</v>
      </c>
      <c r="C224" s="587">
        <v>600080277</v>
      </c>
      <c r="D224" s="586">
        <v>72743131</v>
      </c>
      <c r="E224" s="588" t="s">
        <v>668</v>
      </c>
      <c r="F224" s="585">
        <v>3143</v>
      </c>
      <c r="G224" s="208" t="s">
        <v>634</v>
      </c>
      <c r="H224" s="589" t="s">
        <v>283</v>
      </c>
      <c r="I224" s="495">
        <v>2730347</v>
      </c>
      <c r="J224" s="411">
        <v>2000712</v>
      </c>
      <c r="K224" s="520">
        <v>10000</v>
      </c>
      <c r="L224" s="520">
        <v>0</v>
      </c>
      <c r="M224" s="475">
        <v>679621</v>
      </c>
      <c r="N224" s="496">
        <v>40014</v>
      </c>
      <c r="O224" s="496">
        <v>0</v>
      </c>
      <c r="P224" s="412">
        <v>4.4165999999999999</v>
      </c>
      <c r="Q224" s="415">
        <v>4.4165999999999999</v>
      </c>
      <c r="R224" s="498">
        <v>0</v>
      </c>
      <c r="S224" s="499">
        <v>0</v>
      </c>
      <c r="T224" s="486">
        <v>0</v>
      </c>
      <c r="U224" s="486">
        <v>0</v>
      </c>
      <c r="V224" s="486">
        <f>SUM(S224:U224)</f>
        <v>0</v>
      </c>
      <c r="W224" s="486">
        <v>0</v>
      </c>
      <c r="X224" s="486">
        <v>0</v>
      </c>
      <c r="Y224" s="486">
        <f>SUM(W224:X224)</f>
        <v>0</v>
      </c>
      <c r="Z224" s="486">
        <f>V224+Y224</f>
        <v>0</v>
      </c>
      <c r="AA224" s="178">
        <f t="shared" si="262"/>
        <v>0</v>
      </c>
      <c r="AB224" s="745">
        <f>ROUND(V224*2%,0)</f>
        <v>0</v>
      </c>
      <c r="AC224" s="486">
        <v>0</v>
      </c>
      <c r="AD224" s="486">
        <v>0</v>
      </c>
      <c r="AE224" s="486">
        <f t="shared" si="264"/>
        <v>0</v>
      </c>
      <c r="AF224" s="486">
        <f t="shared" si="265"/>
        <v>0</v>
      </c>
      <c r="AG224" s="501">
        <v>0</v>
      </c>
      <c r="AH224" s="501">
        <v>0</v>
      </c>
      <c r="AI224" s="501">
        <v>0</v>
      </c>
      <c r="AJ224" s="501">
        <v>0</v>
      </c>
      <c r="AK224" s="501">
        <v>0</v>
      </c>
      <c r="AL224" s="501">
        <f t="shared" si="277"/>
        <v>0</v>
      </c>
      <c r="AM224" s="501">
        <f t="shared" si="278"/>
        <v>0</v>
      </c>
      <c r="AN224" s="502">
        <f t="shared" si="268"/>
        <v>0</v>
      </c>
      <c r="AO224" s="499">
        <f>I224+AF224</f>
        <v>2730347</v>
      </c>
      <c r="AP224" s="486">
        <f>J224+V224</f>
        <v>2000712</v>
      </c>
      <c r="AQ224" s="486">
        <f>K224+Y224</f>
        <v>10000</v>
      </c>
      <c r="AR224" s="486">
        <f>L224</f>
        <v>0</v>
      </c>
      <c r="AS224" s="486">
        <f t="shared" si="279"/>
        <v>679621</v>
      </c>
      <c r="AT224" s="486">
        <f t="shared" si="279"/>
        <v>40014</v>
      </c>
      <c r="AU224" s="486">
        <f>O224+AE224</f>
        <v>0</v>
      </c>
      <c r="AV224" s="501">
        <f>P224+AN224</f>
        <v>4.4165999999999999</v>
      </c>
      <c r="AW224" s="501">
        <f t="shared" si="280"/>
        <v>4.4165999999999999</v>
      </c>
      <c r="AX224" s="502">
        <f t="shared" si="280"/>
        <v>0</v>
      </c>
    </row>
    <row r="225" spans="1:50" ht="14.1" customHeight="1" x14ac:dyDescent="0.2">
      <c r="A225" s="585">
        <v>47</v>
      </c>
      <c r="B225" s="586">
        <v>2472</v>
      </c>
      <c r="C225" s="587">
        <v>600080277</v>
      </c>
      <c r="D225" s="586">
        <v>72743131</v>
      </c>
      <c r="E225" s="588" t="s">
        <v>668</v>
      </c>
      <c r="F225" s="585">
        <v>3143</v>
      </c>
      <c r="G225" s="208" t="s">
        <v>635</v>
      </c>
      <c r="H225" s="589" t="s">
        <v>284</v>
      </c>
      <c r="I225" s="495">
        <v>66610</v>
      </c>
      <c r="J225" s="496">
        <v>42025</v>
      </c>
      <c r="K225" s="475">
        <v>5000</v>
      </c>
      <c r="L225" s="475">
        <v>0</v>
      </c>
      <c r="M225" s="475">
        <v>15894</v>
      </c>
      <c r="N225" s="496">
        <v>841</v>
      </c>
      <c r="O225" s="496">
        <v>2850</v>
      </c>
      <c r="P225" s="412">
        <v>0.2</v>
      </c>
      <c r="Q225" s="497">
        <v>0</v>
      </c>
      <c r="R225" s="498">
        <v>0.2</v>
      </c>
      <c r="S225" s="499">
        <v>0</v>
      </c>
      <c r="T225" s="486">
        <v>0</v>
      </c>
      <c r="U225" s="486">
        <v>0</v>
      </c>
      <c r="V225" s="486">
        <f>SUM(S225:U225)</f>
        <v>0</v>
      </c>
      <c r="W225" s="486">
        <v>0</v>
      </c>
      <c r="X225" s="486">
        <v>0</v>
      </c>
      <c r="Y225" s="486">
        <f>SUM(W225:X225)</f>
        <v>0</v>
      </c>
      <c r="Z225" s="486">
        <f>V225+Y225</f>
        <v>0</v>
      </c>
      <c r="AA225" s="178">
        <f t="shared" si="262"/>
        <v>0</v>
      </c>
      <c r="AB225" s="745">
        <f>ROUND(V225*2%,0)</f>
        <v>0</v>
      </c>
      <c r="AC225" s="486">
        <v>0</v>
      </c>
      <c r="AD225" s="486">
        <v>0</v>
      </c>
      <c r="AE225" s="486">
        <f t="shared" si="264"/>
        <v>0</v>
      </c>
      <c r="AF225" s="486">
        <f t="shared" si="265"/>
        <v>0</v>
      </c>
      <c r="AG225" s="501">
        <v>0</v>
      </c>
      <c r="AH225" s="501">
        <v>0</v>
      </c>
      <c r="AI225" s="501">
        <v>0</v>
      </c>
      <c r="AJ225" s="501">
        <v>0</v>
      </c>
      <c r="AK225" s="501">
        <v>0</v>
      </c>
      <c r="AL225" s="501">
        <f t="shared" si="277"/>
        <v>0</v>
      </c>
      <c r="AM225" s="501">
        <f t="shared" si="278"/>
        <v>0</v>
      </c>
      <c r="AN225" s="502">
        <f t="shared" si="268"/>
        <v>0</v>
      </c>
      <c r="AO225" s="499">
        <f>I225+AF225</f>
        <v>66610</v>
      </c>
      <c r="AP225" s="486">
        <f>J225+V225</f>
        <v>42025</v>
      </c>
      <c r="AQ225" s="486">
        <f>K225+Y225</f>
        <v>5000</v>
      </c>
      <c r="AR225" s="486">
        <f>L225</f>
        <v>0</v>
      </c>
      <c r="AS225" s="486">
        <f t="shared" si="279"/>
        <v>15894</v>
      </c>
      <c r="AT225" s="486">
        <f t="shared" si="279"/>
        <v>841</v>
      </c>
      <c r="AU225" s="486">
        <f>O225+AE225</f>
        <v>2850</v>
      </c>
      <c r="AV225" s="501">
        <f>P225+AN225</f>
        <v>0.2</v>
      </c>
      <c r="AW225" s="501">
        <f t="shared" si="280"/>
        <v>0</v>
      </c>
      <c r="AX225" s="502">
        <f t="shared" si="280"/>
        <v>0.2</v>
      </c>
    </row>
    <row r="226" spans="1:50" ht="14.1" customHeight="1" x14ac:dyDescent="0.2">
      <c r="A226" s="181">
        <v>47</v>
      </c>
      <c r="B226" s="179">
        <v>2472</v>
      </c>
      <c r="C226" s="180">
        <v>600080277</v>
      </c>
      <c r="D226" s="179">
        <v>72743131</v>
      </c>
      <c r="E226" s="578" t="s">
        <v>669</v>
      </c>
      <c r="F226" s="181"/>
      <c r="G226" s="578"/>
      <c r="H226" s="579"/>
      <c r="I226" s="580">
        <v>35155718</v>
      </c>
      <c r="J226" s="581">
        <v>24976871</v>
      </c>
      <c r="K226" s="581">
        <v>387709</v>
      </c>
      <c r="L226" s="581">
        <v>184127</v>
      </c>
      <c r="M226" s="581">
        <v>8486123</v>
      </c>
      <c r="N226" s="581">
        <v>499537</v>
      </c>
      <c r="O226" s="581">
        <v>805478</v>
      </c>
      <c r="P226" s="582">
        <v>52.969000000000001</v>
      </c>
      <c r="Q226" s="582">
        <v>39.7896</v>
      </c>
      <c r="R226" s="584">
        <v>13.179400000000001</v>
      </c>
      <c r="S226" s="583">
        <f t="shared" ref="S226:AX226" si="281">SUM(S221:S225)</f>
        <v>0</v>
      </c>
      <c r="T226" s="581">
        <f t="shared" si="281"/>
        <v>-27664</v>
      </c>
      <c r="U226" s="581">
        <f t="shared" si="281"/>
        <v>0</v>
      </c>
      <c r="V226" s="581">
        <f t="shared" si="281"/>
        <v>-27664</v>
      </c>
      <c r="W226" s="581">
        <f t="shared" si="281"/>
        <v>0</v>
      </c>
      <c r="X226" s="581">
        <f t="shared" si="281"/>
        <v>0</v>
      </c>
      <c r="Y226" s="581">
        <f t="shared" si="281"/>
        <v>0</v>
      </c>
      <c r="Z226" s="581">
        <f t="shared" si="281"/>
        <v>-27664</v>
      </c>
      <c r="AA226" s="581">
        <f t="shared" si="281"/>
        <v>-9350</v>
      </c>
      <c r="AB226" s="583">
        <f t="shared" si="281"/>
        <v>-553</v>
      </c>
      <c r="AC226" s="581">
        <f t="shared" si="281"/>
        <v>0</v>
      </c>
      <c r="AD226" s="581">
        <f t="shared" si="281"/>
        <v>0</v>
      </c>
      <c r="AE226" s="581">
        <f t="shared" si="281"/>
        <v>0</v>
      </c>
      <c r="AF226" s="581">
        <f t="shared" si="281"/>
        <v>-37567</v>
      </c>
      <c r="AG226" s="582">
        <f t="shared" si="281"/>
        <v>0</v>
      </c>
      <c r="AH226" s="582">
        <f t="shared" si="281"/>
        <v>0</v>
      </c>
      <c r="AI226" s="582">
        <f t="shared" si="281"/>
        <v>-0.09</v>
      </c>
      <c r="AJ226" s="582">
        <f t="shared" si="281"/>
        <v>0</v>
      </c>
      <c r="AK226" s="582">
        <f t="shared" si="281"/>
        <v>0</v>
      </c>
      <c r="AL226" s="582">
        <f t="shared" si="281"/>
        <v>-0.09</v>
      </c>
      <c r="AM226" s="582">
        <f t="shared" si="281"/>
        <v>0</v>
      </c>
      <c r="AN226" s="584">
        <f t="shared" si="281"/>
        <v>-0.09</v>
      </c>
      <c r="AO226" s="583">
        <f t="shared" si="281"/>
        <v>35118151</v>
      </c>
      <c r="AP226" s="581">
        <f t="shared" si="281"/>
        <v>24949207</v>
      </c>
      <c r="AQ226" s="581">
        <f t="shared" si="281"/>
        <v>387709</v>
      </c>
      <c r="AR226" s="581">
        <f t="shared" si="281"/>
        <v>184127</v>
      </c>
      <c r="AS226" s="581">
        <f t="shared" si="281"/>
        <v>8476773</v>
      </c>
      <c r="AT226" s="581">
        <f t="shared" si="281"/>
        <v>498984</v>
      </c>
      <c r="AU226" s="581">
        <f t="shared" si="281"/>
        <v>805478</v>
      </c>
      <c r="AV226" s="582">
        <f t="shared" si="281"/>
        <v>52.879000000000005</v>
      </c>
      <c r="AW226" s="582">
        <f t="shared" si="281"/>
        <v>39.699600000000004</v>
      </c>
      <c r="AX226" s="584">
        <f t="shared" si="281"/>
        <v>13.179400000000001</v>
      </c>
    </row>
    <row r="227" spans="1:50" ht="14.1" customHeight="1" x14ac:dyDescent="0.2">
      <c r="A227" s="585">
        <v>48</v>
      </c>
      <c r="B227" s="586">
        <v>2489</v>
      </c>
      <c r="C227" s="587">
        <v>600080188</v>
      </c>
      <c r="D227" s="586">
        <v>64040402</v>
      </c>
      <c r="E227" s="588" t="s">
        <v>670</v>
      </c>
      <c r="F227" s="585">
        <v>3113</v>
      </c>
      <c r="G227" s="588" t="s">
        <v>320</v>
      </c>
      <c r="H227" s="589" t="s">
        <v>283</v>
      </c>
      <c r="I227" s="495">
        <v>28624057</v>
      </c>
      <c r="J227" s="411">
        <v>19983662</v>
      </c>
      <c r="K227" s="520">
        <v>391284</v>
      </c>
      <c r="L227" s="520">
        <v>271284</v>
      </c>
      <c r="M227" s="475">
        <v>6795038</v>
      </c>
      <c r="N227" s="496">
        <v>399673</v>
      </c>
      <c r="O227" s="411">
        <v>1054400</v>
      </c>
      <c r="P227" s="412">
        <v>38.235799999999998</v>
      </c>
      <c r="Q227" s="415">
        <v>29.0764</v>
      </c>
      <c r="R227" s="685">
        <v>9.1593999999999998</v>
      </c>
      <c r="S227" s="499">
        <v>0</v>
      </c>
      <c r="T227" s="486">
        <v>0</v>
      </c>
      <c r="U227" s="486">
        <v>0</v>
      </c>
      <c r="V227" s="486">
        <f>SUM(S227:U227)</f>
        <v>0</v>
      </c>
      <c r="W227" s="486">
        <v>0</v>
      </c>
      <c r="X227" s="486">
        <v>0</v>
      </c>
      <c r="Y227" s="486">
        <f>SUM(W227:X227)</f>
        <v>0</v>
      </c>
      <c r="Z227" s="486">
        <f>V227+Y227</f>
        <v>0</v>
      </c>
      <c r="AA227" s="178">
        <f t="shared" si="262"/>
        <v>0</v>
      </c>
      <c r="AB227" s="745">
        <f>ROUND(V227*2%,0)</f>
        <v>0</v>
      </c>
      <c r="AC227" s="486">
        <v>0</v>
      </c>
      <c r="AD227" s="486">
        <v>0</v>
      </c>
      <c r="AE227" s="486">
        <f t="shared" si="264"/>
        <v>0</v>
      </c>
      <c r="AF227" s="486">
        <f t="shared" si="265"/>
        <v>0</v>
      </c>
      <c r="AG227" s="501">
        <v>0</v>
      </c>
      <c r="AH227" s="501">
        <v>0</v>
      </c>
      <c r="AI227" s="501">
        <v>0</v>
      </c>
      <c r="AJ227" s="501">
        <v>0</v>
      </c>
      <c r="AK227" s="501">
        <v>0</v>
      </c>
      <c r="AL227" s="501">
        <f t="shared" ref="AL227:AL231" si="282">AG227+AI227+AJ227</f>
        <v>0</v>
      </c>
      <c r="AM227" s="501">
        <f t="shared" ref="AM227:AM231" si="283">AH227+AK227</f>
        <v>0</v>
      </c>
      <c r="AN227" s="502">
        <f t="shared" si="268"/>
        <v>0</v>
      </c>
      <c r="AO227" s="499">
        <f>I227+AF227</f>
        <v>28624057</v>
      </c>
      <c r="AP227" s="486">
        <f>J227+V227</f>
        <v>19983662</v>
      </c>
      <c r="AQ227" s="486">
        <f>K227+Y227</f>
        <v>391284</v>
      </c>
      <c r="AR227" s="486">
        <f>L227</f>
        <v>271284</v>
      </c>
      <c r="AS227" s="486">
        <f t="shared" ref="AS227:AT231" si="284">M227+AA227</f>
        <v>6795038</v>
      </c>
      <c r="AT227" s="486">
        <f t="shared" si="284"/>
        <v>399673</v>
      </c>
      <c r="AU227" s="486">
        <f>O227+AE227</f>
        <v>1054400</v>
      </c>
      <c r="AV227" s="501">
        <f>P227+AN227</f>
        <v>38.235799999999998</v>
      </c>
      <c r="AW227" s="501">
        <f t="shared" ref="AW227:AX231" si="285">Q227+AL227</f>
        <v>29.0764</v>
      </c>
      <c r="AX227" s="502">
        <f t="shared" si="285"/>
        <v>9.1593999999999998</v>
      </c>
    </row>
    <row r="228" spans="1:50" ht="14.1" customHeight="1" x14ac:dyDescent="0.2">
      <c r="A228" s="585">
        <v>48</v>
      </c>
      <c r="B228" s="586">
        <v>2489</v>
      </c>
      <c r="C228" s="587">
        <v>600080188</v>
      </c>
      <c r="D228" s="586">
        <v>64040402</v>
      </c>
      <c r="E228" s="588" t="s">
        <v>670</v>
      </c>
      <c r="F228" s="585">
        <v>3113</v>
      </c>
      <c r="G228" s="208" t="s">
        <v>318</v>
      </c>
      <c r="H228" s="589" t="s">
        <v>284</v>
      </c>
      <c r="I228" s="495">
        <v>1865422</v>
      </c>
      <c r="J228" s="496">
        <v>1371629</v>
      </c>
      <c r="K228" s="475">
        <v>0</v>
      </c>
      <c r="L228" s="475">
        <v>0</v>
      </c>
      <c r="M228" s="475">
        <v>463610</v>
      </c>
      <c r="N228" s="496">
        <v>27433</v>
      </c>
      <c r="O228" s="496">
        <v>2750</v>
      </c>
      <c r="P228" s="412">
        <v>3.97</v>
      </c>
      <c r="Q228" s="497">
        <v>3.97</v>
      </c>
      <c r="R228" s="498">
        <v>0</v>
      </c>
      <c r="S228" s="499">
        <v>0</v>
      </c>
      <c r="T228" s="486">
        <v>0</v>
      </c>
      <c r="U228" s="486">
        <v>0</v>
      </c>
      <c r="V228" s="486">
        <f>SUM(S228:U228)</f>
        <v>0</v>
      </c>
      <c r="W228" s="486">
        <v>0</v>
      </c>
      <c r="X228" s="486">
        <v>0</v>
      </c>
      <c r="Y228" s="486">
        <f>SUM(W228:X228)</f>
        <v>0</v>
      </c>
      <c r="Z228" s="486">
        <f>V228+Y228</f>
        <v>0</v>
      </c>
      <c r="AA228" s="178">
        <f t="shared" si="262"/>
        <v>0</v>
      </c>
      <c r="AB228" s="745">
        <f>ROUND(V228*2%,0)</f>
        <v>0</v>
      </c>
      <c r="AC228" s="486">
        <v>0</v>
      </c>
      <c r="AD228" s="486">
        <v>0</v>
      </c>
      <c r="AE228" s="486">
        <f t="shared" si="264"/>
        <v>0</v>
      </c>
      <c r="AF228" s="486">
        <f t="shared" si="265"/>
        <v>0</v>
      </c>
      <c r="AG228" s="501">
        <v>0</v>
      </c>
      <c r="AH228" s="501">
        <v>0</v>
      </c>
      <c r="AI228" s="501">
        <v>0</v>
      </c>
      <c r="AJ228" s="501">
        <v>0</v>
      </c>
      <c r="AK228" s="501">
        <v>0</v>
      </c>
      <c r="AL228" s="501">
        <f t="shared" si="282"/>
        <v>0</v>
      </c>
      <c r="AM228" s="501">
        <f t="shared" si="283"/>
        <v>0</v>
      </c>
      <c r="AN228" s="502">
        <f t="shared" si="268"/>
        <v>0</v>
      </c>
      <c r="AO228" s="499">
        <f>I228+AF228</f>
        <v>1865422</v>
      </c>
      <c r="AP228" s="486">
        <f>J228+V228</f>
        <v>1371629</v>
      </c>
      <c r="AQ228" s="486">
        <f>K228+Y228</f>
        <v>0</v>
      </c>
      <c r="AR228" s="486">
        <f>L228</f>
        <v>0</v>
      </c>
      <c r="AS228" s="486">
        <f t="shared" si="284"/>
        <v>463610</v>
      </c>
      <c r="AT228" s="486">
        <f t="shared" si="284"/>
        <v>27433</v>
      </c>
      <c r="AU228" s="486">
        <f>O228+AE228</f>
        <v>2750</v>
      </c>
      <c r="AV228" s="501">
        <f>P228+AN228</f>
        <v>3.97</v>
      </c>
      <c r="AW228" s="501">
        <f t="shared" si="285"/>
        <v>3.97</v>
      </c>
      <c r="AX228" s="502">
        <f t="shared" si="285"/>
        <v>0</v>
      </c>
    </row>
    <row r="229" spans="1:50" ht="14.1" customHeight="1" x14ac:dyDescent="0.2">
      <c r="A229" s="585">
        <v>48</v>
      </c>
      <c r="B229" s="586">
        <v>2489</v>
      </c>
      <c r="C229" s="587">
        <v>600080188</v>
      </c>
      <c r="D229" s="586">
        <v>64040402</v>
      </c>
      <c r="E229" s="588" t="s">
        <v>670</v>
      </c>
      <c r="F229" s="585">
        <v>3141</v>
      </c>
      <c r="G229" s="588" t="s">
        <v>321</v>
      </c>
      <c r="H229" s="589" t="s">
        <v>284</v>
      </c>
      <c r="I229" s="495">
        <v>2577166</v>
      </c>
      <c r="J229" s="496">
        <v>1879487</v>
      </c>
      <c r="K229" s="475">
        <v>0</v>
      </c>
      <c r="L229" s="475">
        <v>0</v>
      </c>
      <c r="M229" s="475">
        <v>635266</v>
      </c>
      <c r="N229" s="496">
        <v>37589</v>
      </c>
      <c r="O229" s="496">
        <v>24824</v>
      </c>
      <c r="P229" s="412">
        <v>6.39</v>
      </c>
      <c r="Q229" s="497">
        <v>0</v>
      </c>
      <c r="R229" s="498">
        <v>6.39</v>
      </c>
      <c r="S229" s="499">
        <v>0</v>
      </c>
      <c r="T229" s="486">
        <v>0</v>
      </c>
      <c r="U229" s="486">
        <v>0</v>
      </c>
      <c r="V229" s="486">
        <f>SUM(S229:U229)</f>
        <v>0</v>
      </c>
      <c r="W229" s="486">
        <v>0</v>
      </c>
      <c r="X229" s="486">
        <v>0</v>
      </c>
      <c r="Y229" s="486">
        <f>SUM(W229:X229)</f>
        <v>0</v>
      </c>
      <c r="Z229" s="486">
        <f>V229+Y229</f>
        <v>0</v>
      </c>
      <c r="AA229" s="178">
        <f t="shared" si="262"/>
        <v>0</v>
      </c>
      <c r="AB229" s="745">
        <f>ROUND(V229*2%,0)</f>
        <v>0</v>
      </c>
      <c r="AC229" s="486">
        <v>0</v>
      </c>
      <c r="AD229" s="486">
        <v>0</v>
      </c>
      <c r="AE229" s="486">
        <f t="shared" si="264"/>
        <v>0</v>
      </c>
      <c r="AF229" s="486">
        <f t="shared" si="265"/>
        <v>0</v>
      </c>
      <c r="AG229" s="501">
        <v>0</v>
      </c>
      <c r="AH229" s="501">
        <v>0</v>
      </c>
      <c r="AI229" s="501">
        <v>0</v>
      </c>
      <c r="AJ229" s="501">
        <v>0</v>
      </c>
      <c r="AK229" s="501">
        <v>0</v>
      </c>
      <c r="AL229" s="501">
        <f t="shared" si="282"/>
        <v>0</v>
      </c>
      <c r="AM229" s="501">
        <f t="shared" si="283"/>
        <v>0</v>
      </c>
      <c r="AN229" s="502">
        <f t="shared" si="268"/>
        <v>0</v>
      </c>
      <c r="AO229" s="499">
        <f>I229+AF229</f>
        <v>2577166</v>
      </c>
      <c r="AP229" s="486">
        <f>J229+V229</f>
        <v>1879487</v>
      </c>
      <c r="AQ229" s="486">
        <f>K229+Y229</f>
        <v>0</v>
      </c>
      <c r="AR229" s="486">
        <f>L229</f>
        <v>0</v>
      </c>
      <c r="AS229" s="486">
        <f t="shared" si="284"/>
        <v>635266</v>
      </c>
      <c r="AT229" s="486">
        <f t="shared" si="284"/>
        <v>37589</v>
      </c>
      <c r="AU229" s="486">
        <f>O229+AE229</f>
        <v>24824</v>
      </c>
      <c r="AV229" s="501">
        <f>P229+AN229</f>
        <v>6.39</v>
      </c>
      <c r="AW229" s="501">
        <f t="shared" si="285"/>
        <v>0</v>
      </c>
      <c r="AX229" s="502">
        <f t="shared" si="285"/>
        <v>6.39</v>
      </c>
    </row>
    <row r="230" spans="1:50" ht="14.1" customHeight="1" x14ac:dyDescent="0.2">
      <c r="A230" s="585">
        <v>48</v>
      </c>
      <c r="B230" s="586">
        <v>2489</v>
      </c>
      <c r="C230" s="587">
        <v>600080188</v>
      </c>
      <c r="D230" s="586">
        <v>64040402</v>
      </c>
      <c r="E230" s="588" t="s">
        <v>670</v>
      </c>
      <c r="F230" s="585">
        <v>3143</v>
      </c>
      <c r="G230" s="208" t="s">
        <v>634</v>
      </c>
      <c r="H230" s="589" t="s">
        <v>283</v>
      </c>
      <c r="I230" s="495">
        <v>2470346</v>
      </c>
      <c r="J230" s="411">
        <v>1819106</v>
      </c>
      <c r="K230" s="520">
        <v>0</v>
      </c>
      <c r="L230" s="520">
        <v>0</v>
      </c>
      <c r="M230" s="475">
        <v>614858</v>
      </c>
      <c r="N230" s="496">
        <v>36382</v>
      </c>
      <c r="O230" s="496">
        <v>0</v>
      </c>
      <c r="P230" s="412">
        <v>3.9666000000000001</v>
      </c>
      <c r="Q230" s="415">
        <v>3.9666000000000001</v>
      </c>
      <c r="R230" s="498">
        <v>0</v>
      </c>
      <c r="S230" s="499">
        <v>0</v>
      </c>
      <c r="T230" s="486">
        <v>0</v>
      </c>
      <c r="U230" s="486">
        <v>0</v>
      </c>
      <c r="V230" s="486">
        <f>SUM(S230:U230)</f>
        <v>0</v>
      </c>
      <c r="W230" s="486">
        <v>0</v>
      </c>
      <c r="X230" s="486">
        <v>0</v>
      </c>
      <c r="Y230" s="486">
        <f>SUM(W230:X230)</f>
        <v>0</v>
      </c>
      <c r="Z230" s="486">
        <f>V230+Y230</f>
        <v>0</v>
      </c>
      <c r="AA230" s="178">
        <f t="shared" si="262"/>
        <v>0</v>
      </c>
      <c r="AB230" s="745">
        <f>ROUND(V230*2%,0)</f>
        <v>0</v>
      </c>
      <c r="AC230" s="486">
        <v>0</v>
      </c>
      <c r="AD230" s="486">
        <v>0</v>
      </c>
      <c r="AE230" s="486">
        <f t="shared" si="264"/>
        <v>0</v>
      </c>
      <c r="AF230" s="486">
        <f t="shared" si="265"/>
        <v>0</v>
      </c>
      <c r="AG230" s="501">
        <v>0</v>
      </c>
      <c r="AH230" s="501">
        <v>0</v>
      </c>
      <c r="AI230" s="501">
        <v>0</v>
      </c>
      <c r="AJ230" s="501">
        <v>0</v>
      </c>
      <c r="AK230" s="501">
        <v>0</v>
      </c>
      <c r="AL230" s="501">
        <f t="shared" si="282"/>
        <v>0</v>
      </c>
      <c r="AM230" s="501">
        <f t="shared" si="283"/>
        <v>0</v>
      </c>
      <c r="AN230" s="502">
        <f t="shared" si="268"/>
        <v>0</v>
      </c>
      <c r="AO230" s="499">
        <f>I230+AF230</f>
        <v>2470346</v>
      </c>
      <c r="AP230" s="486">
        <f>J230+V230</f>
        <v>1819106</v>
      </c>
      <c r="AQ230" s="486">
        <f>K230+Y230</f>
        <v>0</v>
      </c>
      <c r="AR230" s="486">
        <f>L230</f>
        <v>0</v>
      </c>
      <c r="AS230" s="486">
        <f t="shared" si="284"/>
        <v>614858</v>
      </c>
      <c r="AT230" s="486">
        <f t="shared" si="284"/>
        <v>36382</v>
      </c>
      <c r="AU230" s="486">
        <f>O230+AE230</f>
        <v>0</v>
      </c>
      <c r="AV230" s="501">
        <f>P230+AN230</f>
        <v>3.9666000000000001</v>
      </c>
      <c r="AW230" s="501">
        <f t="shared" si="285"/>
        <v>3.9666000000000001</v>
      </c>
      <c r="AX230" s="502">
        <f t="shared" si="285"/>
        <v>0</v>
      </c>
    </row>
    <row r="231" spans="1:50" ht="14.1" customHeight="1" x14ac:dyDescent="0.2">
      <c r="A231" s="585">
        <v>48</v>
      </c>
      <c r="B231" s="586">
        <v>2489</v>
      </c>
      <c r="C231" s="587">
        <v>600080188</v>
      </c>
      <c r="D231" s="586">
        <v>64040402</v>
      </c>
      <c r="E231" s="588" t="s">
        <v>670</v>
      </c>
      <c r="F231" s="585">
        <v>3143</v>
      </c>
      <c r="G231" s="208" t="s">
        <v>635</v>
      </c>
      <c r="H231" s="589" t="s">
        <v>284</v>
      </c>
      <c r="I231" s="495">
        <v>95500</v>
      </c>
      <c r="J231" s="496">
        <v>67320</v>
      </c>
      <c r="K231" s="475">
        <v>0</v>
      </c>
      <c r="L231" s="475">
        <v>0</v>
      </c>
      <c r="M231" s="475">
        <v>22754</v>
      </c>
      <c r="N231" s="496">
        <v>1346</v>
      </c>
      <c r="O231" s="496">
        <v>4080</v>
      </c>
      <c r="P231" s="412">
        <v>0.28000000000000003</v>
      </c>
      <c r="Q231" s="497">
        <v>0</v>
      </c>
      <c r="R231" s="498">
        <v>0.28000000000000003</v>
      </c>
      <c r="S231" s="499">
        <v>0</v>
      </c>
      <c r="T231" s="486">
        <v>0</v>
      </c>
      <c r="U231" s="486">
        <v>0</v>
      </c>
      <c r="V231" s="486">
        <f>SUM(S231:U231)</f>
        <v>0</v>
      </c>
      <c r="W231" s="486">
        <v>0</v>
      </c>
      <c r="X231" s="486">
        <v>0</v>
      </c>
      <c r="Y231" s="486">
        <f>SUM(W231:X231)</f>
        <v>0</v>
      </c>
      <c r="Z231" s="486">
        <f>V231+Y231</f>
        <v>0</v>
      </c>
      <c r="AA231" s="178">
        <f t="shared" si="262"/>
        <v>0</v>
      </c>
      <c r="AB231" s="745">
        <f>ROUND(V231*2%,0)</f>
        <v>0</v>
      </c>
      <c r="AC231" s="486">
        <v>0</v>
      </c>
      <c r="AD231" s="486">
        <v>0</v>
      </c>
      <c r="AE231" s="486">
        <f t="shared" si="264"/>
        <v>0</v>
      </c>
      <c r="AF231" s="486">
        <f t="shared" si="265"/>
        <v>0</v>
      </c>
      <c r="AG231" s="501">
        <v>0</v>
      </c>
      <c r="AH231" s="501">
        <v>0</v>
      </c>
      <c r="AI231" s="501">
        <v>0</v>
      </c>
      <c r="AJ231" s="501">
        <v>0</v>
      </c>
      <c r="AK231" s="501">
        <v>0</v>
      </c>
      <c r="AL231" s="501">
        <f t="shared" si="282"/>
        <v>0</v>
      </c>
      <c r="AM231" s="501">
        <f t="shared" si="283"/>
        <v>0</v>
      </c>
      <c r="AN231" s="502">
        <f t="shared" si="268"/>
        <v>0</v>
      </c>
      <c r="AO231" s="499">
        <f>I231+AF231</f>
        <v>95500</v>
      </c>
      <c r="AP231" s="486">
        <f>J231+V231</f>
        <v>67320</v>
      </c>
      <c r="AQ231" s="486">
        <f>K231+Y231</f>
        <v>0</v>
      </c>
      <c r="AR231" s="486">
        <f>L231</f>
        <v>0</v>
      </c>
      <c r="AS231" s="486">
        <f t="shared" si="284"/>
        <v>22754</v>
      </c>
      <c r="AT231" s="486">
        <f t="shared" si="284"/>
        <v>1346</v>
      </c>
      <c r="AU231" s="486">
        <f>O231+AE231</f>
        <v>4080</v>
      </c>
      <c r="AV231" s="501">
        <f>P231+AN231</f>
        <v>0.28000000000000003</v>
      </c>
      <c r="AW231" s="501">
        <f t="shared" si="285"/>
        <v>0</v>
      </c>
      <c r="AX231" s="502">
        <f t="shared" si="285"/>
        <v>0.28000000000000003</v>
      </c>
    </row>
    <row r="232" spans="1:50" ht="14.1" customHeight="1" x14ac:dyDescent="0.2">
      <c r="A232" s="181">
        <v>48</v>
      </c>
      <c r="B232" s="179">
        <v>2489</v>
      </c>
      <c r="C232" s="180">
        <v>600080188</v>
      </c>
      <c r="D232" s="179">
        <v>64040402</v>
      </c>
      <c r="E232" s="578" t="s">
        <v>671</v>
      </c>
      <c r="F232" s="181"/>
      <c r="G232" s="578"/>
      <c r="H232" s="579"/>
      <c r="I232" s="580">
        <v>35632491</v>
      </c>
      <c r="J232" s="581">
        <v>25121204</v>
      </c>
      <c r="K232" s="581">
        <v>391284</v>
      </c>
      <c r="L232" s="581">
        <v>271284</v>
      </c>
      <c r="M232" s="581">
        <v>8531526</v>
      </c>
      <c r="N232" s="581">
        <v>502423</v>
      </c>
      <c r="O232" s="581">
        <v>1086054</v>
      </c>
      <c r="P232" s="582">
        <v>52.842399999999998</v>
      </c>
      <c r="Q232" s="582">
        <v>37.012999999999998</v>
      </c>
      <c r="R232" s="584">
        <v>15.829399999999998</v>
      </c>
      <c r="S232" s="583">
        <f t="shared" ref="S232:AX232" si="286">SUM(S227:S231)</f>
        <v>0</v>
      </c>
      <c r="T232" s="581">
        <f t="shared" si="286"/>
        <v>0</v>
      </c>
      <c r="U232" s="581">
        <f t="shared" si="286"/>
        <v>0</v>
      </c>
      <c r="V232" s="581">
        <f t="shared" si="286"/>
        <v>0</v>
      </c>
      <c r="W232" s="581">
        <f t="shared" si="286"/>
        <v>0</v>
      </c>
      <c r="X232" s="581">
        <f t="shared" si="286"/>
        <v>0</v>
      </c>
      <c r="Y232" s="581">
        <f t="shared" si="286"/>
        <v>0</v>
      </c>
      <c r="Z232" s="581">
        <f t="shared" si="286"/>
        <v>0</v>
      </c>
      <c r="AA232" s="581">
        <f t="shared" si="286"/>
        <v>0</v>
      </c>
      <c r="AB232" s="583">
        <f t="shared" si="286"/>
        <v>0</v>
      </c>
      <c r="AC232" s="581">
        <f t="shared" si="286"/>
        <v>0</v>
      </c>
      <c r="AD232" s="581">
        <f t="shared" si="286"/>
        <v>0</v>
      </c>
      <c r="AE232" s="581">
        <f t="shared" si="286"/>
        <v>0</v>
      </c>
      <c r="AF232" s="581">
        <f t="shared" si="286"/>
        <v>0</v>
      </c>
      <c r="AG232" s="582">
        <f t="shared" si="286"/>
        <v>0</v>
      </c>
      <c r="AH232" s="582">
        <f t="shared" si="286"/>
        <v>0</v>
      </c>
      <c r="AI232" s="582">
        <f t="shared" si="286"/>
        <v>0</v>
      </c>
      <c r="AJ232" s="582">
        <f t="shared" si="286"/>
        <v>0</v>
      </c>
      <c r="AK232" s="582">
        <f t="shared" si="286"/>
        <v>0</v>
      </c>
      <c r="AL232" s="582">
        <f t="shared" si="286"/>
        <v>0</v>
      </c>
      <c r="AM232" s="582">
        <f t="shared" si="286"/>
        <v>0</v>
      </c>
      <c r="AN232" s="584">
        <f t="shared" si="286"/>
        <v>0</v>
      </c>
      <c r="AO232" s="583">
        <f t="shared" si="286"/>
        <v>35632491</v>
      </c>
      <c r="AP232" s="581">
        <f t="shared" si="286"/>
        <v>25121204</v>
      </c>
      <c r="AQ232" s="581">
        <f t="shared" si="286"/>
        <v>391284</v>
      </c>
      <c r="AR232" s="581">
        <f t="shared" si="286"/>
        <v>271284</v>
      </c>
      <c r="AS232" s="581">
        <f t="shared" si="286"/>
        <v>8531526</v>
      </c>
      <c r="AT232" s="581">
        <f t="shared" si="286"/>
        <v>502423</v>
      </c>
      <c r="AU232" s="581">
        <f t="shared" si="286"/>
        <v>1086054</v>
      </c>
      <c r="AV232" s="582">
        <f t="shared" si="286"/>
        <v>52.842399999999998</v>
      </c>
      <c r="AW232" s="582">
        <f t="shared" si="286"/>
        <v>37.012999999999998</v>
      </c>
      <c r="AX232" s="584">
        <f t="shared" si="286"/>
        <v>15.829399999999998</v>
      </c>
    </row>
    <row r="233" spans="1:50" ht="14.1" customHeight="1" x14ac:dyDescent="0.2">
      <c r="A233" s="585">
        <v>49</v>
      </c>
      <c r="B233" s="586">
        <v>2473</v>
      </c>
      <c r="C233" s="587">
        <v>600080285</v>
      </c>
      <c r="D233" s="586">
        <v>65642376</v>
      </c>
      <c r="E233" s="588" t="s">
        <v>672</v>
      </c>
      <c r="F233" s="585">
        <v>3113</v>
      </c>
      <c r="G233" s="588" t="s">
        <v>320</v>
      </c>
      <c r="H233" s="589" t="s">
        <v>283</v>
      </c>
      <c r="I233" s="495">
        <v>36231742</v>
      </c>
      <c r="J233" s="411">
        <v>25443384</v>
      </c>
      <c r="K233" s="520">
        <v>352467</v>
      </c>
      <c r="L233" s="520">
        <v>332467</v>
      </c>
      <c r="M233" s="475">
        <v>8606623</v>
      </c>
      <c r="N233" s="496">
        <v>508868</v>
      </c>
      <c r="O233" s="411">
        <v>1320400</v>
      </c>
      <c r="P233" s="412">
        <v>48.891700000000007</v>
      </c>
      <c r="Q233" s="415">
        <v>38.618600000000001</v>
      </c>
      <c r="R233" s="685">
        <v>10.273100000000001</v>
      </c>
      <c r="S233" s="499">
        <v>0</v>
      </c>
      <c r="T233" s="486">
        <v>0</v>
      </c>
      <c r="U233" s="486">
        <v>0</v>
      </c>
      <c r="V233" s="486">
        <f>SUM(S233:U233)</f>
        <v>0</v>
      </c>
      <c r="W233" s="486">
        <v>0</v>
      </c>
      <c r="X233" s="486">
        <v>0</v>
      </c>
      <c r="Y233" s="486">
        <f>SUM(W233:X233)</f>
        <v>0</v>
      </c>
      <c r="Z233" s="486">
        <f>V233+Y233</f>
        <v>0</v>
      </c>
      <c r="AA233" s="178">
        <f t="shared" si="262"/>
        <v>0</v>
      </c>
      <c r="AB233" s="745">
        <f>ROUND(V233*2%,0)</f>
        <v>0</v>
      </c>
      <c r="AC233" s="486">
        <v>0</v>
      </c>
      <c r="AD233" s="486">
        <v>0</v>
      </c>
      <c r="AE233" s="486">
        <f t="shared" si="264"/>
        <v>0</v>
      </c>
      <c r="AF233" s="486">
        <f t="shared" si="265"/>
        <v>0</v>
      </c>
      <c r="AG233" s="501">
        <v>0</v>
      </c>
      <c r="AH233" s="501">
        <v>0</v>
      </c>
      <c r="AI233" s="501">
        <v>0</v>
      </c>
      <c r="AJ233" s="501">
        <v>0</v>
      </c>
      <c r="AK233" s="501">
        <v>0</v>
      </c>
      <c r="AL233" s="501">
        <f t="shared" ref="AL233:AL237" si="287">AG233+AI233+AJ233</f>
        <v>0</v>
      </c>
      <c r="AM233" s="501">
        <f t="shared" ref="AM233:AM237" si="288">AH233+AK233</f>
        <v>0</v>
      </c>
      <c r="AN233" s="502">
        <f t="shared" si="268"/>
        <v>0</v>
      </c>
      <c r="AO233" s="499">
        <f>I233+AF233</f>
        <v>36231742</v>
      </c>
      <c r="AP233" s="486">
        <f>J233+V233</f>
        <v>25443384</v>
      </c>
      <c r="AQ233" s="486">
        <f>K233+Y233</f>
        <v>352467</v>
      </c>
      <c r="AR233" s="486">
        <f>L233</f>
        <v>332467</v>
      </c>
      <c r="AS233" s="486">
        <f t="shared" ref="AS233:AT237" si="289">M233+AA233</f>
        <v>8606623</v>
      </c>
      <c r="AT233" s="486">
        <f t="shared" si="289"/>
        <v>508868</v>
      </c>
      <c r="AU233" s="486">
        <f>O233+AE233</f>
        <v>1320400</v>
      </c>
      <c r="AV233" s="501">
        <f>P233+AN233</f>
        <v>48.891700000000007</v>
      </c>
      <c r="AW233" s="501">
        <f t="shared" ref="AW233:AX237" si="290">Q233+AL233</f>
        <v>38.618600000000001</v>
      </c>
      <c r="AX233" s="502">
        <f t="shared" si="290"/>
        <v>10.273100000000001</v>
      </c>
    </row>
    <row r="234" spans="1:50" ht="14.1" customHeight="1" x14ac:dyDescent="0.2">
      <c r="A234" s="585">
        <v>49</v>
      </c>
      <c r="B234" s="586">
        <v>2473</v>
      </c>
      <c r="C234" s="587">
        <v>600080285</v>
      </c>
      <c r="D234" s="586">
        <v>65642376</v>
      </c>
      <c r="E234" s="588" t="s">
        <v>672</v>
      </c>
      <c r="F234" s="585">
        <v>3113</v>
      </c>
      <c r="G234" s="208" t="s">
        <v>318</v>
      </c>
      <c r="H234" s="589" t="s">
        <v>284</v>
      </c>
      <c r="I234" s="495">
        <v>7980416</v>
      </c>
      <c r="J234" s="496">
        <v>5864445</v>
      </c>
      <c r="K234" s="475">
        <v>0</v>
      </c>
      <c r="L234" s="475">
        <v>0</v>
      </c>
      <c r="M234" s="475">
        <v>1982181</v>
      </c>
      <c r="N234" s="496">
        <v>117290</v>
      </c>
      <c r="O234" s="496">
        <v>16500</v>
      </c>
      <c r="P234" s="412">
        <v>16.91</v>
      </c>
      <c r="Q234" s="497">
        <v>16.91</v>
      </c>
      <c r="R234" s="498">
        <v>0</v>
      </c>
      <c r="S234" s="499">
        <v>0</v>
      </c>
      <c r="T234" s="486">
        <v>0</v>
      </c>
      <c r="U234" s="486">
        <v>0</v>
      </c>
      <c r="V234" s="486">
        <f>SUM(S234:U234)</f>
        <v>0</v>
      </c>
      <c r="W234" s="486">
        <v>0</v>
      </c>
      <c r="X234" s="486">
        <v>0</v>
      </c>
      <c r="Y234" s="486">
        <f>SUM(W234:X234)</f>
        <v>0</v>
      </c>
      <c r="Z234" s="486">
        <f>V234+Y234</f>
        <v>0</v>
      </c>
      <c r="AA234" s="178">
        <f t="shared" si="262"/>
        <v>0</v>
      </c>
      <c r="AB234" s="745">
        <f>ROUND(V234*2%,0)</f>
        <v>0</v>
      </c>
      <c r="AC234" s="486">
        <v>0</v>
      </c>
      <c r="AD234" s="486">
        <v>0</v>
      </c>
      <c r="AE234" s="486">
        <f t="shared" si="264"/>
        <v>0</v>
      </c>
      <c r="AF234" s="486">
        <f t="shared" si="265"/>
        <v>0</v>
      </c>
      <c r="AG234" s="501">
        <v>0</v>
      </c>
      <c r="AH234" s="501">
        <v>0</v>
      </c>
      <c r="AI234" s="501">
        <v>0</v>
      </c>
      <c r="AJ234" s="501">
        <v>0</v>
      </c>
      <c r="AK234" s="501">
        <v>0</v>
      </c>
      <c r="AL234" s="501">
        <f t="shared" si="287"/>
        <v>0</v>
      </c>
      <c r="AM234" s="501">
        <f t="shared" si="288"/>
        <v>0</v>
      </c>
      <c r="AN234" s="502">
        <f t="shared" si="268"/>
        <v>0</v>
      </c>
      <c r="AO234" s="499">
        <f>I234+AF234</f>
        <v>7980416</v>
      </c>
      <c r="AP234" s="486">
        <f>J234+V234</f>
        <v>5864445</v>
      </c>
      <c r="AQ234" s="486">
        <f>K234+Y234</f>
        <v>0</v>
      </c>
      <c r="AR234" s="486">
        <f>L234</f>
        <v>0</v>
      </c>
      <c r="AS234" s="486">
        <f t="shared" si="289"/>
        <v>1982181</v>
      </c>
      <c r="AT234" s="486">
        <f t="shared" si="289"/>
        <v>117290</v>
      </c>
      <c r="AU234" s="486">
        <f>O234+AE234</f>
        <v>16500</v>
      </c>
      <c r="AV234" s="501">
        <f>P234+AN234</f>
        <v>16.91</v>
      </c>
      <c r="AW234" s="501">
        <f t="shared" si="290"/>
        <v>16.91</v>
      </c>
      <c r="AX234" s="502">
        <f t="shared" si="290"/>
        <v>0</v>
      </c>
    </row>
    <row r="235" spans="1:50" ht="14.1" customHeight="1" x14ac:dyDescent="0.2">
      <c r="A235" s="585">
        <v>49</v>
      </c>
      <c r="B235" s="586">
        <v>2473</v>
      </c>
      <c r="C235" s="587">
        <v>600080285</v>
      </c>
      <c r="D235" s="586">
        <v>65642376</v>
      </c>
      <c r="E235" s="588" t="s">
        <v>672</v>
      </c>
      <c r="F235" s="585">
        <v>3141</v>
      </c>
      <c r="G235" s="588" t="s">
        <v>321</v>
      </c>
      <c r="H235" s="589" t="s">
        <v>284</v>
      </c>
      <c r="I235" s="495">
        <v>1183176</v>
      </c>
      <c r="J235" s="496">
        <v>856608</v>
      </c>
      <c r="K235" s="475">
        <v>0</v>
      </c>
      <c r="L235" s="475">
        <v>0</v>
      </c>
      <c r="M235" s="475">
        <v>289534</v>
      </c>
      <c r="N235" s="496">
        <v>17132</v>
      </c>
      <c r="O235" s="496">
        <v>19902</v>
      </c>
      <c r="P235" s="412">
        <v>2.9099999999999997</v>
      </c>
      <c r="Q235" s="497">
        <v>0</v>
      </c>
      <c r="R235" s="498">
        <v>2.9099999999999997</v>
      </c>
      <c r="S235" s="499">
        <v>0</v>
      </c>
      <c r="T235" s="486">
        <v>0</v>
      </c>
      <c r="U235" s="486">
        <v>0</v>
      </c>
      <c r="V235" s="486">
        <f>SUM(S235:U235)</f>
        <v>0</v>
      </c>
      <c r="W235" s="486">
        <v>0</v>
      </c>
      <c r="X235" s="486">
        <v>0</v>
      </c>
      <c r="Y235" s="486">
        <f>SUM(W235:X235)</f>
        <v>0</v>
      </c>
      <c r="Z235" s="486">
        <f>V235+Y235</f>
        <v>0</v>
      </c>
      <c r="AA235" s="178">
        <f t="shared" si="262"/>
        <v>0</v>
      </c>
      <c r="AB235" s="745">
        <f>ROUND(V235*2%,0)</f>
        <v>0</v>
      </c>
      <c r="AC235" s="486">
        <v>0</v>
      </c>
      <c r="AD235" s="486">
        <v>0</v>
      </c>
      <c r="AE235" s="486">
        <f t="shared" si="264"/>
        <v>0</v>
      </c>
      <c r="AF235" s="486">
        <f t="shared" si="265"/>
        <v>0</v>
      </c>
      <c r="AG235" s="501">
        <v>0</v>
      </c>
      <c r="AH235" s="501">
        <v>0</v>
      </c>
      <c r="AI235" s="501">
        <v>0</v>
      </c>
      <c r="AJ235" s="501">
        <v>0</v>
      </c>
      <c r="AK235" s="501">
        <v>0</v>
      </c>
      <c r="AL235" s="501">
        <f t="shared" si="287"/>
        <v>0</v>
      </c>
      <c r="AM235" s="501">
        <f t="shared" si="288"/>
        <v>0</v>
      </c>
      <c r="AN235" s="502">
        <f t="shared" si="268"/>
        <v>0</v>
      </c>
      <c r="AO235" s="499">
        <f>I235+AF235</f>
        <v>1183176</v>
      </c>
      <c r="AP235" s="486">
        <f>J235+V235</f>
        <v>856608</v>
      </c>
      <c r="AQ235" s="486">
        <f>K235+Y235</f>
        <v>0</v>
      </c>
      <c r="AR235" s="486">
        <f>L235</f>
        <v>0</v>
      </c>
      <c r="AS235" s="486">
        <f t="shared" si="289"/>
        <v>289534</v>
      </c>
      <c r="AT235" s="486">
        <f t="shared" si="289"/>
        <v>17132</v>
      </c>
      <c r="AU235" s="486">
        <f>O235+AE235</f>
        <v>19902</v>
      </c>
      <c r="AV235" s="501">
        <f>P235+AN235</f>
        <v>2.9099999999999997</v>
      </c>
      <c r="AW235" s="501">
        <f t="shared" si="290"/>
        <v>0</v>
      </c>
      <c r="AX235" s="502">
        <f t="shared" si="290"/>
        <v>2.9099999999999997</v>
      </c>
    </row>
    <row r="236" spans="1:50" ht="14.1" customHeight="1" x14ac:dyDescent="0.2">
      <c r="A236" s="585">
        <v>49</v>
      </c>
      <c r="B236" s="586">
        <v>2473</v>
      </c>
      <c r="C236" s="587">
        <v>600080285</v>
      </c>
      <c r="D236" s="586">
        <v>65642376</v>
      </c>
      <c r="E236" s="588" t="s">
        <v>672</v>
      </c>
      <c r="F236" s="585">
        <v>3143</v>
      </c>
      <c r="G236" s="208" t="s">
        <v>634</v>
      </c>
      <c r="H236" s="589" t="s">
        <v>283</v>
      </c>
      <c r="I236" s="495">
        <v>3348106</v>
      </c>
      <c r="J236" s="411">
        <v>2465468</v>
      </c>
      <c r="K236" s="520">
        <v>0</v>
      </c>
      <c r="L236" s="520">
        <v>0</v>
      </c>
      <c r="M236" s="475">
        <v>833328</v>
      </c>
      <c r="N236" s="496">
        <v>49310</v>
      </c>
      <c r="O236" s="496">
        <v>0</v>
      </c>
      <c r="P236" s="412">
        <v>5.4630000000000001</v>
      </c>
      <c r="Q236" s="415">
        <v>5.4630000000000001</v>
      </c>
      <c r="R236" s="498">
        <v>0</v>
      </c>
      <c r="S236" s="499">
        <v>0</v>
      </c>
      <c r="T236" s="486">
        <v>0</v>
      </c>
      <c r="U236" s="486">
        <v>0</v>
      </c>
      <c r="V236" s="486">
        <f>SUM(S236:U236)</f>
        <v>0</v>
      </c>
      <c r="W236" s="486">
        <v>0</v>
      </c>
      <c r="X236" s="486">
        <v>0</v>
      </c>
      <c r="Y236" s="486">
        <f>SUM(W236:X236)</f>
        <v>0</v>
      </c>
      <c r="Z236" s="486">
        <f>V236+Y236</f>
        <v>0</v>
      </c>
      <c r="AA236" s="178">
        <f t="shared" si="262"/>
        <v>0</v>
      </c>
      <c r="AB236" s="745">
        <f>ROUND(V236*2%,0)</f>
        <v>0</v>
      </c>
      <c r="AC236" s="486">
        <v>0</v>
      </c>
      <c r="AD236" s="486">
        <v>0</v>
      </c>
      <c r="AE236" s="486">
        <f t="shared" si="264"/>
        <v>0</v>
      </c>
      <c r="AF236" s="486">
        <f t="shared" si="265"/>
        <v>0</v>
      </c>
      <c r="AG236" s="501">
        <v>0</v>
      </c>
      <c r="AH236" s="501">
        <v>0</v>
      </c>
      <c r="AI236" s="501">
        <v>0</v>
      </c>
      <c r="AJ236" s="501">
        <v>0</v>
      </c>
      <c r="AK236" s="501">
        <v>0</v>
      </c>
      <c r="AL236" s="501">
        <f t="shared" si="287"/>
        <v>0</v>
      </c>
      <c r="AM236" s="501">
        <f t="shared" si="288"/>
        <v>0</v>
      </c>
      <c r="AN236" s="502">
        <f t="shared" si="268"/>
        <v>0</v>
      </c>
      <c r="AO236" s="499">
        <f>I236+AF236</f>
        <v>3348106</v>
      </c>
      <c r="AP236" s="486">
        <f>J236+V236</f>
        <v>2465468</v>
      </c>
      <c r="AQ236" s="486">
        <f>K236+Y236</f>
        <v>0</v>
      </c>
      <c r="AR236" s="486">
        <f>L236</f>
        <v>0</v>
      </c>
      <c r="AS236" s="486">
        <f t="shared" si="289"/>
        <v>833328</v>
      </c>
      <c r="AT236" s="486">
        <f t="shared" si="289"/>
        <v>49310</v>
      </c>
      <c r="AU236" s="486">
        <f>O236+AE236</f>
        <v>0</v>
      </c>
      <c r="AV236" s="501">
        <f>P236+AN236</f>
        <v>5.4630000000000001</v>
      </c>
      <c r="AW236" s="501">
        <f t="shared" si="290"/>
        <v>5.4630000000000001</v>
      </c>
      <c r="AX236" s="502">
        <f t="shared" si="290"/>
        <v>0</v>
      </c>
    </row>
    <row r="237" spans="1:50" ht="14.1" customHeight="1" x14ac:dyDescent="0.2">
      <c r="A237" s="585">
        <v>49</v>
      </c>
      <c r="B237" s="586">
        <v>2473</v>
      </c>
      <c r="C237" s="587">
        <v>600080285</v>
      </c>
      <c r="D237" s="586">
        <v>65642376</v>
      </c>
      <c r="E237" s="588" t="s">
        <v>672</v>
      </c>
      <c r="F237" s="585">
        <v>3143</v>
      </c>
      <c r="G237" s="208" t="s">
        <v>635</v>
      </c>
      <c r="H237" s="589" t="s">
        <v>284</v>
      </c>
      <c r="I237" s="495">
        <v>147464</v>
      </c>
      <c r="J237" s="496">
        <v>103950</v>
      </c>
      <c r="K237" s="475">
        <v>0</v>
      </c>
      <c r="L237" s="475">
        <v>0</v>
      </c>
      <c r="M237" s="475">
        <v>35135</v>
      </c>
      <c r="N237" s="496">
        <v>2079</v>
      </c>
      <c r="O237" s="496">
        <v>6300</v>
      </c>
      <c r="P237" s="412">
        <v>0.44</v>
      </c>
      <c r="Q237" s="497">
        <v>0</v>
      </c>
      <c r="R237" s="498">
        <v>0.44</v>
      </c>
      <c r="S237" s="499">
        <v>0</v>
      </c>
      <c r="T237" s="486">
        <v>0</v>
      </c>
      <c r="U237" s="486">
        <v>0</v>
      </c>
      <c r="V237" s="486">
        <f>SUM(S237:U237)</f>
        <v>0</v>
      </c>
      <c r="W237" s="486">
        <v>0</v>
      </c>
      <c r="X237" s="486">
        <v>0</v>
      </c>
      <c r="Y237" s="486">
        <f>SUM(W237:X237)</f>
        <v>0</v>
      </c>
      <c r="Z237" s="486">
        <f>V237+Y237</f>
        <v>0</v>
      </c>
      <c r="AA237" s="178">
        <f t="shared" si="262"/>
        <v>0</v>
      </c>
      <c r="AB237" s="745">
        <f>ROUND(V237*2%,0)</f>
        <v>0</v>
      </c>
      <c r="AC237" s="486">
        <v>0</v>
      </c>
      <c r="AD237" s="486">
        <v>0</v>
      </c>
      <c r="AE237" s="486">
        <f t="shared" si="264"/>
        <v>0</v>
      </c>
      <c r="AF237" s="486">
        <f t="shared" si="265"/>
        <v>0</v>
      </c>
      <c r="AG237" s="501">
        <v>0</v>
      </c>
      <c r="AH237" s="501">
        <v>0</v>
      </c>
      <c r="AI237" s="501">
        <v>0</v>
      </c>
      <c r="AJ237" s="501">
        <v>0</v>
      </c>
      <c r="AK237" s="501">
        <v>0</v>
      </c>
      <c r="AL237" s="501">
        <f t="shared" si="287"/>
        <v>0</v>
      </c>
      <c r="AM237" s="501">
        <f t="shared" si="288"/>
        <v>0</v>
      </c>
      <c r="AN237" s="502">
        <f t="shared" si="268"/>
        <v>0</v>
      </c>
      <c r="AO237" s="499">
        <f>I237+AF237</f>
        <v>147464</v>
      </c>
      <c r="AP237" s="486">
        <f>J237+V237</f>
        <v>103950</v>
      </c>
      <c r="AQ237" s="486">
        <f>K237+Y237</f>
        <v>0</v>
      </c>
      <c r="AR237" s="486">
        <f>L237</f>
        <v>0</v>
      </c>
      <c r="AS237" s="486">
        <f t="shared" si="289"/>
        <v>35135</v>
      </c>
      <c r="AT237" s="486">
        <f t="shared" si="289"/>
        <v>2079</v>
      </c>
      <c r="AU237" s="486">
        <f>O237+AE237</f>
        <v>6300</v>
      </c>
      <c r="AV237" s="501">
        <f>P237+AN237</f>
        <v>0.44</v>
      </c>
      <c r="AW237" s="501">
        <f t="shared" si="290"/>
        <v>0</v>
      </c>
      <c r="AX237" s="502">
        <f t="shared" si="290"/>
        <v>0.44</v>
      </c>
    </row>
    <row r="238" spans="1:50" ht="14.1" customHeight="1" x14ac:dyDescent="0.2">
      <c r="A238" s="181">
        <v>49</v>
      </c>
      <c r="B238" s="179">
        <v>2473</v>
      </c>
      <c r="C238" s="180">
        <v>600080285</v>
      </c>
      <c r="D238" s="179">
        <v>65642376</v>
      </c>
      <c r="E238" s="578" t="s">
        <v>673</v>
      </c>
      <c r="F238" s="181"/>
      <c r="G238" s="578"/>
      <c r="H238" s="579"/>
      <c r="I238" s="580">
        <v>48890904</v>
      </c>
      <c r="J238" s="581">
        <v>34733855</v>
      </c>
      <c r="K238" s="581">
        <v>352467</v>
      </c>
      <c r="L238" s="581">
        <v>332467</v>
      </c>
      <c r="M238" s="581">
        <v>11746801</v>
      </c>
      <c r="N238" s="581">
        <v>694679</v>
      </c>
      <c r="O238" s="581">
        <v>1363102</v>
      </c>
      <c r="P238" s="582">
        <v>74.614699999999999</v>
      </c>
      <c r="Q238" s="582">
        <v>60.991599999999998</v>
      </c>
      <c r="R238" s="584">
        <v>13.623100000000001</v>
      </c>
      <c r="S238" s="583">
        <f t="shared" ref="S238:AX238" si="291">SUM(S233:S237)</f>
        <v>0</v>
      </c>
      <c r="T238" s="581">
        <f t="shared" si="291"/>
        <v>0</v>
      </c>
      <c r="U238" s="581">
        <f t="shared" si="291"/>
        <v>0</v>
      </c>
      <c r="V238" s="581">
        <f t="shared" si="291"/>
        <v>0</v>
      </c>
      <c r="W238" s="581">
        <f t="shared" si="291"/>
        <v>0</v>
      </c>
      <c r="X238" s="581">
        <f t="shared" si="291"/>
        <v>0</v>
      </c>
      <c r="Y238" s="581">
        <f t="shared" si="291"/>
        <v>0</v>
      </c>
      <c r="Z238" s="581">
        <f t="shared" si="291"/>
        <v>0</v>
      </c>
      <c r="AA238" s="581">
        <f t="shared" si="291"/>
        <v>0</v>
      </c>
      <c r="AB238" s="583">
        <f t="shared" si="291"/>
        <v>0</v>
      </c>
      <c r="AC238" s="581">
        <f t="shared" si="291"/>
        <v>0</v>
      </c>
      <c r="AD238" s="581">
        <f t="shared" si="291"/>
        <v>0</v>
      </c>
      <c r="AE238" s="581">
        <f t="shared" si="291"/>
        <v>0</v>
      </c>
      <c r="AF238" s="581">
        <f t="shared" si="291"/>
        <v>0</v>
      </c>
      <c r="AG238" s="582">
        <f t="shared" si="291"/>
        <v>0</v>
      </c>
      <c r="AH238" s="582">
        <f t="shared" si="291"/>
        <v>0</v>
      </c>
      <c r="AI238" s="582">
        <f t="shared" si="291"/>
        <v>0</v>
      </c>
      <c r="AJ238" s="582">
        <f t="shared" si="291"/>
        <v>0</v>
      </c>
      <c r="AK238" s="582">
        <f t="shared" si="291"/>
        <v>0</v>
      </c>
      <c r="AL238" s="582">
        <f t="shared" si="291"/>
        <v>0</v>
      </c>
      <c r="AM238" s="582">
        <f t="shared" si="291"/>
        <v>0</v>
      </c>
      <c r="AN238" s="584">
        <f t="shared" si="291"/>
        <v>0</v>
      </c>
      <c r="AO238" s="583">
        <f t="shared" si="291"/>
        <v>48890904</v>
      </c>
      <c r="AP238" s="581">
        <f t="shared" si="291"/>
        <v>34733855</v>
      </c>
      <c r="AQ238" s="581">
        <f t="shared" si="291"/>
        <v>352467</v>
      </c>
      <c r="AR238" s="581">
        <f t="shared" si="291"/>
        <v>332467</v>
      </c>
      <c r="AS238" s="581">
        <f t="shared" si="291"/>
        <v>11746801</v>
      </c>
      <c r="AT238" s="581">
        <f t="shared" si="291"/>
        <v>694679</v>
      </c>
      <c r="AU238" s="581">
        <f t="shared" si="291"/>
        <v>1363102</v>
      </c>
      <c r="AV238" s="582">
        <f t="shared" si="291"/>
        <v>74.614699999999999</v>
      </c>
      <c r="AW238" s="582">
        <f t="shared" si="291"/>
        <v>60.991599999999998</v>
      </c>
      <c r="AX238" s="584">
        <f t="shared" si="291"/>
        <v>13.623100000000001</v>
      </c>
    </row>
    <row r="239" spans="1:50" ht="14.1" customHeight="1" x14ac:dyDescent="0.2">
      <c r="A239" s="585">
        <v>50</v>
      </c>
      <c r="B239" s="586">
        <v>2490</v>
      </c>
      <c r="C239" s="587">
        <v>600080005</v>
      </c>
      <c r="D239" s="586">
        <v>46746757</v>
      </c>
      <c r="E239" s="588" t="s">
        <v>674</v>
      </c>
      <c r="F239" s="585">
        <v>3113</v>
      </c>
      <c r="G239" s="588" t="s">
        <v>320</v>
      </c>
      <c r="H239" s="589" t="s">
        <v>283</v>
      </c>
      <c r="I239" s="495">
        <v>24015062</v>
      </c>
      <c r="J239" s="411">
        <v>16930496</v>
      </c>
      <c r="K239" s="520">
        <v>244329</v>
      </c>
      <c r="L239" s="520">
        <v>204329</v>
      </c>
      <c r="M239" s="475">
        <v>5736027</v>
      </c>
      <c r="N239" s="496">
        <v>338610</v>
      </c>
      <c r="O239" s="411">
        <v>765600</v>
      </c>
      <c r="P239" s="412">
        <v>31.286999999999999</v>
      </c>
      <c r="Q239" s="415">
        <v>24.330399999999997</v>
      </c>
      <c r="R239" s="685">
        <v>6.9565999999999999</v>
      </c>
      <c r="S239" s="499">
        <v>0</v>
      </c>
      <c r="T239" s="486">
        <v>0</v>
      </c>
      <c r="U239" s="486">
        <v>0</v>
      </c>
      <c r="V239" s="486">
        <f>SUM(S239:U239)</f>
        <v>0</v>
      </c>
      <c r="W239" s="486">
        <v>0</v>
      </c>
      <c r="X239" s="486">
        <v>0</v>
      </c>
      <c r="Y239" s="486">
        <f>SUM(W239:X239)</f>
        <v>0</v>
      </c>
      <c r="Z239" s="486">
        <f>V239+Y239</f>
        <v>0</v>
      </c>
      <c r="AA239" s="178">
        <f t="shared" si="262"/>
        <v>0</v>
      </c>
      <c r="AB239" s="745">
        <f>ROUND(V239*2%,0)</f>
        <v>0</v>
      </c>
      <c r="AC239" s="486">
        <v>0</v>
      </c>
      <c r="AD239" s="486">
        <v>0</v>
      </c>
      <c r="AE239" s="486">
        <f t="shared" si="264"/>
        <v>0</v>
      </c>
      <c r="AF239" s="486">
        <f t="shared" si="265"/>
        <v>0</v>
      </c>
      <c r="AG239" s="501">
        <v>0</v>
      </c>
      <c r="AH239" s="501">
        <v>0</v>
      </c>
      <c r="AI239" s="501">
        <v>0</v>
      </c>
      <c r="AJ239" s="501">
        <v>0</v>
      </c>
      <c r="AK239" s="501">
        <v>0</v>
      </c>
      <c r="AL239" s="501">
        <f t="shared" ref="AL239:AL243" si="292">AG239+AI239+AJ239</f>
        <v>0</v>
      </c>
      <c r="AM239" s="501">
        <f t="shared" ref="AM239:AM243" si="293">AH239+AK239</f>
        <v>0</v>
      </c>
      <c r="AN239" s="502">
        <f t="shared" si="268"/>
        <v>0</v>
      </c>
      <c r="AO239" s="499">
        <f>I239+AF239</f>
        <v>24015062</v>
      </c>
      <c r="AP239" s="486">
        <f>J239+V239</f>
        <v>16930496</v>
      </c>
      <c r="AQ239" s="486">
        <f>K239+Y239</f>
        <v>244329</v>
      </c>
      <c r="AR239" s="486">
        <f>L239</f>
        <v>204329</v>
      </c>
      <c r="AS239" s="486">
        <f t="shared" ref="AS239:AT243" si="294">M239+AA239</f>
        <v>5736027</v>
      </c>
      <c r="AT239" s="486">
        <f t="shared" si="294"/>
        <v>338610</v>
      </c>
      <c r="AU239" s="486">
        <f>O239+AE239</f>
        <v>765600</v>
      </c>
      <c r="AV239" s="501">
        <f>P239+AN239</f>
        <v>31.286999999999999</v>
      </c>
      <c r="AW239" s="501">
        <f t="shared" ref="AW239:AX243" si="295">Q239+AL239</f>
        <v>24.330399999999997</v>
      </c>
      <c r="AX239" s="502">
        <f t="shared" si="295"/>
        <v>6.9565999999999999</v>
      </c>
    </row>
    <row r="240" spans="1:50" ht="14.1" customHeight="1" x14ac:dyDescent="0.2">
      <c r="A240" s="585">
        <v>50</v>
      </c>
      <c r="B240" s="586">
        <v>2490</v>
      </c>
      <c r="C240" s="587">
        <v>600080005</v>
      </c>
      <c r="D240" s="586">
        <v>46746757</v>
      </c>
      <c r="E240" s="588" t="s">
        <v>674</v>
      </c>
      <c r="F240" s="585">
        <v>3113</v>
      </c>
      <c r="G240" s="208" t="s">
        <v>318</v>
      </c>
      <c r="H240" s="589" t="s">
        <v>284</v>
      </c>
      <c r="I240" s="495">
        <v>1238059</v>
      </c>
      <c r="J240" s="496">
        <v>909468</v>
      </c>
      <c r="K240" s="475">
        <v>0</v>
      </c>
      <c r="L240" s="475">
        <v>0</v>
      </c>
      <c r="M240" s="475">
        <v>307401</v>
      </c>
      <c r="N240" s="496">
        <v>18190</v>
      </c>
      <c r="O240" s="496">
        <v>3000</v>
      </c>
      <c r="P240" s="412">
        <v>2.42</v>
      </c>
      <c r="Q240" s="497">
        <v>2.42</v>
      </c>
      <c r="R240" s="498">
        <v>0</v>
      </c>
      <c r="S240" s="499">
        <v>0</v>
      </c>
      <c r="T240" s="486">
        <v>0</v>
      </c>
      <c r="U240" s="486">
        <v>0</v>
      </c>
      <c r="V240" s="486">
        <f>SUM(S240:U240)</f>
        <v>0</v>
      </c>
      <c r="W240" s="486">
        <v>0</v>
      </c>
      <c r="X240" s="486">
        <v>0</v>
      </c>
      <c r="Y240" s="486">
        <f>SUM(W240:X240)</f>
        <v>0</v>
      </c>
      <c r="Z240" s="486">
        <f>V240+Y240</f>
        <v>0</v>
      </c>
      <c r="AA240" s="178">
        <f t="shared" si="262"/>
        <v>0</v>
      </c>
      <c r="AB240" s="745">
        <f>ROUND(V240*2%,0)</f>
        <v>0</v>
      </c>
      <c r="AC240" s="486">
        <v>0</v>
      </c>
      <c r="AD240" s="486">
        <v>0</v>
      </c>
      <c r="AE240" s="486">
        <f t="shared" si="264"/>
        <v>0</v>
      </c>
      <c r="AF240" s="486">
        <f t="shared" si="265"/>
        <v>0</v>
      </c>
      <c r="AG240" s="501">
        <v>0</v>
      </c>
      <c r="AH240" s="501">
        <v>0</v>
      </c>
      <c r="AI240" s="501">
        <v>0</v>
      </c>
      <c r="AJ240" s="501">
        <v>0</v>
      </c>
      <c r="AK240" s="501">
        <v>0</v>
      </c>
      <c r="AL240" s="501">
        <f t="shared" si="292"/>
        <v>0</v>
      </c>
      <c r="AM240" s="501">
        <f t="shared" si="293"/>
        <v>0</v>
      </c>
      <c r="AN240" s="502">
        <f t="shared" si="268"/>
        <v>0</v>
      </c>
      <c r="AO240" s="499">
        <f>I240+AF240</f>
        <v>1238059</v>
      </c>
      <c r="AP240" s="486">
        <f>J240+V240</f>
        <v>909468</v>
      </c>
      <c r="AQ240" s="486">
        <f>K240+Y240</f>
        <v>0</v>
      </c>
      <c r="AR240" s="486">
        <f>L240</f>
        <v>0</v>
      </c>
      <c r="AS240" s="486">
        <f t="shared" si="294"/>
        <v>307401</v>
      </c>
      <c r="AT240" s="486">
        <f t="shared" si="294"/>
        <v>18190</v>
      </c>
      <c r="AU240" s="486">
        <f>O240+AE240</f>
        <v>3000</v>
      </c>
      <c r="AV240" s="501">
        <f>P240+AN240</f>
        <v>2.42</v>
      </c>
      <c r="AW240" s="501">
        <f t="shared" si="295"/>
        <v>2.42</v>
      </c>
      <c r="AX240" s="502">
        <f t="shared" si="295"/>
        <v>0</v>
      </c>
    </row>
    <row r="241" spans="1:50" ht="14.1" customHeight="1" x14ac:dyDescent="0.2">
      <c r="A241" s="585">
        <v>50</v>
      </c>
      <c r="B241" s="586">
        <v>2490</v>
      </c>
      <c r="C241" s="587">
        <v>600080005</v>
      </c>
      <c r="D241" s="586">
        <v>46746757</v>
      </c>
      <c r="E241" s="588" t="s">
        <v>674</v>
      </c>
      <c r="F241" s="585">
        <v>3141</v>
      </c>
      <c r="G241" s="588" t="s">
        <v>321</v>
      </c>
      <c r="H241" s="589" t="s">
        <v>284</v>
      </c>
      <c r="I241" s="495">
        <v>1927160</v>
      </c>
      <c r="J241" s="496">
        <v>1406047</v>
      </c>
      <c r="K241" s="475">
        <v>0</v>
      </c>
      <c r="L241" s="475">
        <v>0</v>
      </c>
      <c r="M241" s="475">
        <v>475244</v>
      </c>
      <c r="N241" s="496">
        <v>28121</v>
      </c>
      <c r="O241" s="496">
        <v>17748</v>
      </c>
      <c r="P241" s="412">
        <v>4.79</v>
      </c>
      <c r="Q241" s="497">
        <v>0</v>
      </c>
      <c r="R241" s="498">
        <v>4.79</v>
      </c>
      <c r="S241" s="499">
        <v>0</v>
      </c>
      <c r="T241" s="486">
        <v>0</v>
      </c>
      <c r="U241" s="486">
        <v>0</v>
      </c>
      <c r="V241" s="486">
        <f>SUM(S241:U241)</f>
        <v>0</v>
      </c>
      <c r="W241" s="486">
        <v>0</v>
      </c>
      <c r="X241" s="486">
        <v>0</v>
      </c>
      <c r="Y241" s="486">
        <f>SUM(W241:X241)</f>
        <v>0</v>
      </c>
      <c r="Z241" s="486">
        <f>V241+Y241</f>
        <v>0</v>
      </c>
      <c r="AA241" s="178">
        <f t="shared" si="262"/>
        <v>0</v>
      </c>
      <c r="AB241" s="745">
        <f>ROUND(V241*2%,0)</f>
        <v>0</v>
      </c>
      <c r="AC241" s="486">
        <v>0</v>
      </c>
      <c r="AD241" s="486">
        <v>0</v>
      </c>
      <c r="AE241" s="486">
        <f t="shared" si="264"/>
        <v>0</v>
      </c>
      <c r="AF241" s="486">
        <f t="shared" si="265"/>
        <v>0</v>
      </c>
      <c r="AG241" s="501">
        <v>0</v>
      </c>
      <c r="AH241" s="501">
        <v>0</v>
      </c>
      <c r="AI241" s="501">
        <v>0</v>
      </c>
      <c r="AJ241" s="501">
        <v>0</v>
      </c>
      <c r="AK241" s="501">
        <v>0</v>
      </c>
      <c r="AL241" s="501">
        <f t="shared" si="292"/>
        <v>0</v>
      </c>
      <c r="AM241" s="501">
        <f t="shared" si="293"/>
        <v>0</v>
      </c>
      <c r="AN241" s="502">
        <f t="shared" si="268"/>
        <v>0</v>
      </c>
      <c r="AO241" s="499">
        <f>I241+AF241</f>
        <v>1927160</v>
      </c>
      <c r="AP241" s="486">
        <f>J241+V241</f>
        <v>1406047</v>
      </c>
      <c r="AQ241" s="486">
        <f>K241+Y241</f>
        <v>0</v>
      </c>
      <c r="AR241" s="486">
        <f>L241</f>
        <v>0</v>
      </c>
      <c r="AS241" s="486">
        <f t="shared" si="294"/>
        <v>475244</v>
      </c>
      <c r="AT241" s="486">
        <f t="shared" si="294"/>
        <v>28121</v>
      </c>
      <c r="AU241" s="486">
        <f>O241+AE241</f>
        <v>17748</v>
      </c>
      <c r="AV241" s="501">
        <f>P241+AN241</f>
        <v>4.79</v>
      </c>
      <c r="AW241" s="501">
        <f t="shared" si="295"/>
        <v>0</v>
      </c>
      <c r="AX241" s="502">
        <f t="shared" si="295"/>
        <v>4.79</v>
      </c>
    </row>
    <row r="242" spans="1:50" ht="14.1" customHeight="1" x14ac:dyDescent="0.2">
      <c r="A242" s="585">
        <v>50</v>
      </c>
      <c r="B242" s="586">
        <v>2490</v>
      </c>
      <c r="C242" s="587">
        <v>600080005</v>
      </c>
      <c r="D242" s="586">
        <v>46746757</v>
      </c>
      <c r="E242" s="588" t="s">
        <v>674</v>
      </c>
      <c r="F242" s="585">
        <v>3143</v>
      </c>
      <c r="G242" s="208" t="s">
        <v>634</v>
      </c>
      <c r="H242" s="589" t="s">
        <v>283</v>
      </c>
      <c r="I242" s="495">
        <v>2106045</v>
      </c>
      <c r="J242" s="411">
        <v>1536064</v>
      </c>
      <c r="K242" s="520">
        <v>15000</v>
      </c>
      <c r="L242" s="520">
        <v>0</v>
      </c>
      <c r="M242" s="475">
        <v>524260</v>
      </c>
      <c r="N242" s="496">
        <v>30721</v>
      </c>
      <c r="O242" s="496">
        <v>0</v>
      </c>
      <c r="P242" s="412">
        <v>3.4721000000000002</v>
      </c>
      <c r="Q242" s="415">
        <v>3.4721000000000002</v>
      </c>
      <c r="R242" s="498">
        <v>0</v>
      </c>
      <c r="S242" s="499">
        <v>0</v>
      </c>
      <c r="T242" s="486">
        <v>0</v>
      </c>
      <c r="U242" s="486">
        <v>0</v>
      </c>
      <c r="V242" s="486">
        <f>SUM(S242:U242)</f>
        <v>0</v>
      </c>
      <c r="W242" s="486">
        <v>0</v>
      </c>
      <c r="X242" s="486">
        <v>0</v>
      </c>
      <c r="Y242" s="486">
        <f>SUM(W242:X242)</f>
        <v>0</v>
      </c>
      <c r="Z242" s="486">
        <f>V242+Y242</f>
        <v>0</v>
      </c>
      <c r="AA242" s="178">
        <f t="shared" si="262"/>
        <v>0</v>
      </c>
      <c r="AB242" s="745">
        <f>ROUND(V242*2%,0)</f>
        <v>0</v>
      </c>
      <c r="AC242" s="486">
        <v>0</v>
      </c>
      <c r="AD242" s="486">
        <v>0</v>
      </c>
      <c r="AE242" s="486">
        <f t="shared" si="264"/>
        <v>0</v>
      </c>
      <c r="AF242" s="486">
        <f t="shared" si="265"/>
        <v>0</v>
      </c>
      <c r="AG242" s="501">
        <v>0</v>
      </c>
      <c r="AH242" s="501">
        <v>0</v>
      </c>
      <c r="AI242" s="501">
        <v>0</v>
      </c>
      <c r="AJ242" s="501">
        <v>0</v>
      </c>
      <c r="AK242" s="501">
        <v>0</v>
      </c>
      <c r="AL242" s="501">
        <f t="shared" si="292"/>
        <v>0</v>
      </c>
      <c r="AM242" s="501">
        <f t="shared" si="293"/>
        <v>0</v>
      </c>
      <c r="AN242" s="502">
        <f t="shared" si="268"/>
        <v>0</v>
      </c>
      <c r="AO242" s="499">
        <f>I242+AF242</f>
        <v>2106045</v>
      </c>
      <c r="AP242" s="486">
        <f>J242+V242</f>
        <v>1536064</v>
      </c>
      <c r="AQ242" s="486">
        <f>K242+Y242</f>
        <v>15000</v>
      </c>
      <c r="AR242" s="486">
        <f>L242</f>
        <v>0</v>
      </c>
      <c r="AS242" s="486">
        <f t="shared" si="294"/>
        <v>524260</v>
      </c>
      <c r="AT242" s="486">
        <f t="shared" si="294"/>
        <v>30721</v>
      </c>
      <c r="AU242" s="486">
        <f>O242+AE242</f>
        <v>0</v>
      </c>
      <c r="AV242" s="501">
        <f>P242+AN242</f>
        <v>3.4721000000000002</v>
      </c>
      <c r="AW242" s="501">
        <f t="shared" si="295"/>
        <v>3.4721000000000002</v>
      </c>
      <c r="AX242" s="502">
        <f t="shared" si="295"/>
        <v>0</v>
      </c>
    </row>
    <row r="243" spans="1:50" ht="14.1" customHeight="1" x14ac:dyDescent="0.2">
      <c r="A243" s="585">
        <v>50</v>
      </c>
      <c r="B243" s="586">
        <v>2490</v>
      </c>
      <c r="C243" s="587">
        <v>600080005</v>
      </c>
      <c r="D243" s="586">
        <v>46746757</v>
      </c>
      <c r="E243" s="588" t="s">
        <v>674</v>
      </c>
      <c r="F243" s="585">
        <v>3143</v>
      </c>
      <c r="G243" s="208" t="s">
        <v>635</v>
      </c>
      <c r="H243" s="589" t="s">
        <v>284</v>
      </c>
      <c r="I243" s="495">
        <v>66008</v>
      </c>
      <c r="J243" s="496">
        <v>46530</v>
      </c>
      <c r="K243" s="475">
        <v>0</v>
      </c>
      <c r="L243" s="475">
        <v>0</v>
      </c>
      <c r="M243" s="475">
        <v>15727</v>
      </c>
      <c r="N243" s="496">
        <v>931</v>
      </c>
      <c r="O243" s="496">
        <v>2820</v>
      </c>
      <c r="P243" s="412">
        <v>0.2</v>
      </c>
      <c r="Q243" s="497">
        <v>0</v>
      </c>
      <c r="R243" s="498">
        <v>0.2</v>
      </c>
      <c r="S243" s="499">
        <v>0</v>
      </c>
      <c r="T243" s="486">
        <v>0</v>
      </c>
      <c r="U243" s="486">
        <v>0</v>
      </c>
      <c r="V243" s="486">
        <f>SUM(S243:U243)</f>
        <v>0</v>
      </c>
      <c r="W243" s="486">
        <v>0</v>
      </c>
      <c r="X243" s="486">
        <v>0</v>
      </c>
      <c r="Y243" s="486">
        <f>SUM(W243:X243)</f>
        <v>0</v>
      </c>
      <c r="Z243" s="486">
        <f>V243+Y243</f>
        <v>0</v>
      </c>
      <c r="AA243" s="178">
        <f t="shared" si="262"/>
        <v>0</v>
      </c>
      <c r="AB243" s="745">
        <f>ROUND(V243*2%,0)</f>
        <v>0</v>
      </c>
      <c r="AC243" s="486">
        <v>0</v>
      </c>
      <c r="AD243" s="486">
        <v>0</v>
      </c>
      <c r="AE243" s="486">
        <f t="shared" si="264"/>
        <v>0</v>
      </c>
      <c r="AF243" s="486">
        <f t="shared" si="265"/>
        <v>0</v>
      </c>
      <c r="AG243" s="501">
        <v>0</v>
      </c>
      <c r="AH243" s="501">
        <v>0</v>
      </c>
      <c r="AI243" s="501">
        <v>0</v>
      </c>
      <c r="AJ243" s="501">
        <v>0</v>
      </c>
      <c r="AK243" s="501">
        <v>0</v>
      </c>
      <c r="AL243" s="501">
        <f t="shared" si="292"/>
        <v>0</v>
      </c>
      <c r="AM243" s="501">
        <f t="shared" si="293"/>
        <v>0</v>
      </c>
      <c r="AN243" s="502">
        <f t="shared" si="268"/>
        <v>0</v>
      </c>
      <c r="AO243" s="499">
        <f>I243+AF243</f>
        <v>66008</v>
      </c>
      <c r="AP243" s="486">
        <f>J243+V243</f>
        <v>46530</v>
      </c>
      <c r="AQ243" s="486">
        <f>K243+Y243</f>
        <v>0</v>
      </c>
      <c r="AR243" s="486">
        <f>L243</f>
        <v>0</v>
      </c>
      <c r="AS243" s="486">
        <f t="shared" si="294"/>
        <v>15727</v>
      </c>
      <c r="AT243" s="486">
        <f t="shared" si="294"/>
        <v>931</v>
      </c>
      <c r="AU243" s="486">
        <f>O243+AE243</f>
        <v>2820</v>
      </c>
      <c r="AV243" s="501">
        <f>P243+AN243</f>
        <v>0.2</v>
      </c>
      <c r="AW243" s="501">
        <f t="shared" si="295"/>
        <v>0</v>
      </c>
      <c r="AX243" s="502">
        <f t="shared" si="295"/>
        <v>0.2</v>
      </c>
    </row>
    <row r="244" spans="1:50" ht="14.1" customHeight="1" x14ac:dyDescent="0.2">
      <c r="A244" s="181">
        <v>50</v>
      </c>
      <c r="B244" s="179">
        <v>2490</v>
      </c>
      <c r="C244" s="180">
        <v>600080005</v>
      </c>
      <c r="D244" s="179">
        <v>46746757</v>
      </c>
      <c r="E244" s="578" t="s">
        <v>675</v>
      </c>
      <c r="F244" s="181"/>
      <c r="G244" s="578"/>
      <c r="H244" s="579"/>
      <c r="I244" s="580">
        <v>29352334</v>
      </c>
      <c r="J244" s="581">
        <v>20828605</v>
      </c>
      <c r="K244" s="581">
        <v>259329</v>
      </c>
      <c r="L244" s="581">
        <v>204329</v>
      </c>
      <c r="M244" s="581">
        <v>7058659</v>
      </c>
      <c r="N244" s="581">
        <v>416573</v>
      </c>
      <c r="O244" s="581">
        <v>789168</v>
      </c>
      <c r="P244" s="582">
        <v>42.1691</v>
      </c>
      <c r="Q244" s="582">
        <v>30.2225</v>
      </c>
      <c r="R244" s="584">
        <v>11.9466</v>
      </c>
      <c r="S244" s="583">
        <f t="shared" ref="S244:AX244" si="296">SUM(S239:S243)</f>
        <v>0</v>
      </c>
      <c r="T244" s="581">
        <f t="shared" si="296"/>
        <v>0</v>
      </c>
      <c r="U244" s="581">
        <f t="shared" si="296"/>
        <v>0</v>
      </c>
      <c r="V244" s="581">
        <f t="shared" si="296"/>
        <v>0</v>
      </c>
      <c r="W244" s="581">
        <f t="shared" si="296"/>
        <v>0</v>
      </c>
      <c r="X244" s="581">
        <f t="shared" si="296"/>
        <v>0</v>
      </c>
      <c r="Y244" s="581">
        <f t="shared" si="296"/>
        <v>0</v>
      </c>
      <c r="Z244" s="581">
        <f t="shared" si="296"/>
        <v>0</v>
      </c>
      <c r="AA244" s="581">
        <f t="shared" si="296"/>
        <v>0</v>
      </c>
      <c r="AB244" s="583">
        <f t="shared" si="296"/>
        <v>0</v>
      </c>
      <c r="AC244" s="581">
        <f t="shared" si="296"/>
        <v>0</v>
      </c>
      <c r="AD244" s="581">
        <f t="shared" si="296"/>
        <v>0</v>
      </c>
      <c r="AE244" s="581">
        <f t="shared" si="296"/>
        <v>0</v>
      </c>
      <c r="AF244" s="581">
        <f t="shared" si="296"/>
        <v>0</v>
      </c>
      <c r="AG244" s="582">
        <f t="shared" si="296"/>
        <v>0</v>
      </c>
      <c r="AH244" s="582">
        <f t="shared" si="296"/>
        <v>0</v>
      </c>
      <c r="AI244" s="582">
        <f t="shared" si="296"/>
        <v>0</v>
      </c>
      <c r="AJ244" s="582">
        <f t="shared" si="296"/>
        <v>0</v>
      </c>
      <c r="AK244" s="582">
        <f t="shared" si="296"/>
        <v>0</v>
      </c>
      <c r="AL244" s="582">
        <f t="shared" si="296"/>
        <v>0</v>
      </c>
      <c r="AM244" s="582">
        <f t="shared" si="296"/>
        <v>0</v>
      </c>
      <c r="AN244" s="584">
        <f t="shared" si="296"/>
        <v>0</v>
      </c>
      <c r="AO244" s="583">
        <f t="shared" si="296"/>
        <v>29352334</v>
      </c>
      <c r="AP244" s="581">
        <f t="shared" si="296"/>
        <v>20828605</v>
      </c>
      <c r="AQ244" s="581">
        <f t="shared" si="296"/>
        <v>259329</v>
      </c>
      <c r="AR244" s="581">
        <f t="shared" si="296"/>
        <v>204329</v>
      </c>
      <c r="AS244" s="581">
        <f t="shared" si="296"/>
        <v>7058659</v>
      </c>
      <c r="AT244" s="581">
        <f t="shared" si="296"/>
        <v>416573</v>
      </c>
      <c r="AU244" s="581">
        <f t="shared" si="296"/>
        <v>789168</v>
      </c>
      <c r="AV244" s="582">
        <f t="shared" si="296"/>
        <v>42.1691</v>
      </c>
      <c r="AW244" s="582">
        <f t="shared" si="296"/>
        <v>30.2225</v>
      </c>
      <c r="AX244" s="584">
        <f t="shared" si="296"/>
        <v>11.9466</v>
      </c>
    </row>
    <row r="245" spans="1:50" ht="14.1" customHeight="1" x14ac:dyDescent="0.2">
      <c r="A245" s="585">
        <v>51</v>
      </c>
      <c r="B245" s="586">
        <v>2310</v>
      </c>
      <c r="C245" s="587">
        <v>600080412</v>
      </c>
      <c r="D245" s="586">
        <v>72742038</v>
      </c>
      <c r="E245" s="588" t="s">
        <v>676</v>
      </c>
      <c r="F245" s="585">
        <v>3114</v>
      </c>
      <c r="G245" s="588" t="s">
        <v>320</v>
      </c>
      <c r="H245" s="589" t="s">
        <v>283</v>
      </c>
      <c r="I245" s="495">
        <v>23840310</v>
      </c>
      <c r="J245" s="411">
        <v>17235514</v>
      </c>
      <c r="K245" s="520">
        <v>40424</v>
      </c>
      <c r="L245" s="520">
        <v>20424</v>
      </c>
      <c r="M245" s="475">
        <v>5832363</v>
      </c>
      <c r="N245" s="496">
        <v>344709</v>
      </c>
      <c r="O245" s="411">
        <v>387300</v>
      </c>
      <c r="P245" s="412">
        <v>31.21</v>
      </c>
      <c r="Q245" s="415">
        <v>23.4482</v>
      </c>
      <c r="R245" s="685">
        <v>7.7618</v>
      </c>
      <c r="S245" s="499">
        <v>0</v>
      </c>
      <c r="T245" s="486">
        <v>0</v>
      </c>
      <c r="U245" s="486">
        <v>0</v>
      </c>
      <c r="V245" s="486">
        <f t="shared" ref="V245:V250" si="297">SUM(S245:U245)</f>
        <v>0</v>
      </c>
      <c r="W245" s="486">
        <v>0</v>
      </c>
      <c r="X245" s="486">
        <v>0</v>
      </c>
      <c r="Y245" s="486">
        <f t="shared" ref="Y245:Y250" si="298">SUM(W245:X245)</f>
        <v>0</v>
      </c>
      <c r="Z245" s="486">
        <f t="shared" ref="Z245:Z250" si="299">V245+Y245</f>
        <v>0</v>
      </c>
      <c r="AA245" s="178">
        <f t="shared" si="262"/>
        <v>0</v>
      </c>
      <c r="AB245" s="745">
        <f t="shared" ref="AB245:AB250" si="300">ROUND(V245*2%,0)</f>
        <v>0</v>
      </c>
      <c r="AC245" s="486">
        <v>0</v>
      </c>
      <c r="AD245" s="486">
        <v>0</v>
      </c>
      <c r="AE245" s="486">
        <f t="shared" si="264"/>
        <v>0</v>
      </c>
      <c r="AF245" s="486">
        <f t="shared" si="265"/>
        <v>0</v>
      </c>
      <c r="AG245" s="501">
        <v>0</v>
      </c>
      <c r="AH245" s="501">
        <v>0</v>
      </c>
      <c r="AI245" s="501">
        <v>0</v>
      </c>
      <c r="AJ245" s="501">
        <v>0</v>
      </c>
      <c r="AK245" s="501">
        <v>0</v>
      </c>
      <c r="AL245" s="501">
        <f t="shared" ref="AL245:AL250" si="301">AG245+AI245+AJ245</f>
        <v>0</v>
      </c>
      <c r="AM245" s="501">
        <f t="shared" ref="AM245:AM250" si="302">AH245+AK245</f>
        <v>0</v>
      </c>
      <c r="AN245" s="502">
        <f t="shared" si="268"/>
        <v>0</v>
      </c>
      <c r="AO245" s="499">
        <f t="shared" ref="AO245:AO250" si="303">I245+AF245</f>
        <v>23840310</v>
      </c>
      <c r="AP245" s="486">
        <f t="shared" ref="AP245:AP250" si="304">J245+V245</f>
        <v>17235514</v>
      </c>
      <c r="AQ245" s="486">
        <f t="shared" ref="AQ245:AQ250" si="305">K245+Y245</f>
        <v>40424</v>
      </c>
      <c r="AR245" s="486">
        <f t="shared" ref="AR245:AR250" si="306">L245</f>
        <v>20424</v>
      </c>
      <c r="AS245" s="486">
        <f t="shared" ref="AS245:AT250" si="307">M245+AA245</f>
        <v>5832363</v>
      </c>
      <c r="AT245" s="486">
        <f t="shared" si="307"/>
        <v>344709</v>
      </c>
      <c r="AU245" s="486">
        <f t="shared" ref="AU245:AU250" si="308">O245+AE245</f>
        <v>387300</v>
      </c>
      <c r="AV245" s="501">
        <f t="shared" ref="AV245:AV250" si="309">P245+AN245</f>
        <v>31.21</v>
      </c>
      <c r="AW245" s="501">
        <f t="shared" ref="AW245:AX250" si="310">Q245+AL245</f>
        <v>23.4482</v>
      </c>
      <c r="AX245" s="502">
        <f t="shared" si="310"/>
        <v>7.7618</v>
      </c>
    </row>
    <row r="246" spans="1:50" ht="14.1" customHeight="1" x14ac:dyDescent="0.2">
      <c r="A246" s="585">
        <v>51</v>
      </c>
      <c r="B246" s="586">
        <v>2310</v>
      </c>
      <c r="C246" s="587">
        <v>600080412</v>
      </c>
      <c r="D246" s="586">
        <v>72742038</v>
      </c>
      <c r="E246" s="588" t="s">
        <v>676</v>
      </c>
      <c r="F246" s="585">
        <v>3114</v>
      </c>
      <c r="G246" s="503" t="s">
        <v>319</v>
      </c>
      <c r="H246" s="589" t="s">
        <v>283</v>
      </c>
      <c r="I246" s="495">
        <v>6941805</v>
      </c>
      <c r="J246" s="411">
        <v>5111786</v>
      </c>
      <c r="K246" s="520">
        <v>0</v>
      </c>
      <c r="L246" s="520">
        <v>0</v>
      </c>
      <c r="M246" s="475">
        <v>1727783</v>
      </c>
      <c r="N246" s="496">
        <v>102236</v>
      </c>
      <c r="O246" s="496">
        <v>0</v>
      </c>
      <c r="P246" s="412">
        <v>13.3437</v>
      </c>
      <c r="Q246" s="415">
        <v>13.3437</v>
      </c>
      <c r="R246" s="498">
        <v>0</v>
      </c>
      <c r="S246" s="499">
        <v>0</v>
      </c>
      <c r="T246" s="486">
        <v>0</v>
      </c>
      <c r="U246" s="486">
        <v>0</v>
      </c>
      <c r="V246" s="486">
        <f t="shared" si="297"/>
        <v>0</v>
      </c>
      <c r="W246" s="486">
        <v>0</v>
      </c>
      <c r="X246" s="486">
        <v>0</v>
      </c>
      <c r="Y246" s="486">
        <f t="shared" si="298"/>
        <v>0</v>
      </c>
      <c r="Z246" s="486">
        <f t="shared" si="299"/>
        <v>0</v>
      </c>
      <c r="AA246" s="178">
        <f t="shared" si="262"/>
        <v>0</v>
      </c>
      <c r="AB246" s="745">
        <f t="shared" si="300"/>
        <v>0</v>
      </c>
      <c r="AC246" s="486">
        <v>0</v>
      </c>
      <c r="AD246" s="486">
        <v>0</v>
      </c>
      <c r="AE246" s="486">
        <f t="shared" si="264"/>
        <v>0</v>
      </c>
      <c r="AF246" s="486">
        <f t="shared" si="265"/>
        <v>0</v>
      </c>
      <c r="AG246" s="501">
        <v>0</v>
      </c>
      <c r="AH246" s="501">
        <v>0</v>
      </c>
      <c r="AI246" s="501">
        <v>0</v>
      </c>
      <c r="AJ246" s="501">
        <v>0</v>
      </c>
      <c r="AK246" s="501">
        <v>0</v>
      </c>
      <c r="AL246" s="501">
        <f t="shared" si="301"/>
        <v>0</v>
      </c>
      <c r="AM246" s="501">
        <f t="shared" si="302"/>
        <v>0</v>
      </c>
      <c r="AN246" s="502">
        <f t="shared" si="268"/>
        <v>0</v>
      </c>
      <c r="AO246" s="499">
        <f t="shared" si="303"/>
        <v>6941805</v>
      </c>
      <c r="AP246" s="486">
        <f t="shared" si="304"/>
        <v>5111786</v>
      </c>
      <c r="AQ246" s="486">
        <f t="shared" si="305"/>
        <v>0</v>
      </c>
      <c r="AR246" s="486">
        <f t="shared" si="306"/>
        <v>0</v>
      </c>
      <c r="AS246" s="486">
        <f t="shared" si="307"/>
        <v>1727783</v>
      </c>
      <c r="AT246" s="486">
        <f t="shared" si="307"/>
        <v>102236</v>
      </c>
      <c r="AU246" s="486">
        <f t="shared" si="308"/>
        <v>0</v>
      </c>
      <c r="AV246" s="501">
        <f t="shared" si="309"/>
        <v>13.3437</v>
      </c>
      <c r="AW246" s="501">
        <f t="shared" si="310"/>
        <v>13.3437</v>
      </c>
      <c r="AX246" s="502">
        <f t="shared" si="310"/>
        <v>0</v>
      </c>
    </row>
    <row r="247" spans="1:50" ht="14.1" customHeight="1" x14ac:dyDescent="0.2">
      <c r="A247" s="585">
        <v>51</v>
      </c>
      <c r="B247" s="586">
        <v>2310</v>
      </c>
      <c r="C247" s="587">
        <v>600080412</v>
      </c>
      <c r="D247" s="586">
        <v>72742038</v>
      </c>
      <c r="E247" s="588" t="s">
        <v>676</v>
      </c>
      <c r="F247" s="585">
        <v>3114</v>
      </c>
      <c r="G247" s="208" t="s">
        <v>318</v>
      </c>
      <c r="H247" s="589" t="s">
        <v>284</v>
      </c>
      <c r="I247" s="495">
        <v>0</v>
      </c>
      <c r="J247" s="496">
        <v>0</v>
      </c>
      <c r="K247" s="475">
        <v>0</v>
      </c>
      <c r="L247" s="475">
        <v>0</v>
      </c>
      <c r="M247" s="475">
        <v>0</v>
      </c>
      <c r="N247" s="496">
        <v>0</v>
      </c>
      <c r="O247" s="496">
        <v>0</v>
      </c>
      <c r="P247" s="412">
        <v>0</v>
      </c>
      <c r="Q247" s="497">
        <v>0</v>
      </c>
      <c r="R247" s="498">
        <v>0</v>
      </c>
      <c r="S247" s="499">
        <v>0</v>
      </c>
      <c r="T247" s="486">
        <v>0</v>
      </c>
      <c r="U247" s="486">
        <v>0</v>
      </c>
      <c r="V247" s="486">
        <f t="shared" si="297"/>
        <v>0</v>
      </c>
      <c r="W247" s="486">
        <v>0</v>
      </c>
      <c r="X247" s="486">
        <v>0</v>
      </c>
      <c r="Y247" s="486">
        <f t="shared" si="298"/>
        <v>0</v>
      </c>
      <c r="Z247" s="486">
        <f t="shared" si="299"/>
        <v>0</v>
      </c>
      <c r="AA247" s="178">
        <f t="shared" si="262"/>
        <v>0</v>
      </c>
      <c r="AB247" s="745">
        <f t="shared" si="300"/>
        <v>0</v>
      </c>
      <c r="AC247" s="486">
        <v>0</v>
      </c>
      <c r="AD247" s="486">
        <v>0</v>
      </c>
      <c r="AE247" s="486">
        <f t="shared" si="264"/>
        <v>0</v>
      </c>
      <c r="AF247" s="486">
        <f t="shared" si="265"/>
        <v>0</v>
      </c>
      <c r="AG247" s="501">
        <v>0</v>
      </c>
      <c r="AH247" s="501">
        <v>0</v>
      </c>
      <c r="AI247" s="501">
        <v>0</v>
      </c>
      <c r="AJ247" s="501">
        <v>0</v>
      </c>
      <c r="AK247" s="501">
        <v>0</v>
      </c>
      <c r="AL247" s="501">
        <f t="shared" si="301"/>
        <v>0</v>
      </c>
      <c r="AM247" s="501">
        <f t="shared" si="302"/>
        <v>0</v>
      </c>
      <c r="AN247" s="502">
        <f t="shared" si="268"/>
        <v>0</v>
      </c>
      <c r="AO247" s="499">
        <f t="shared" si="303"/>
        <v>0</v>
      </c>
      <c r="AP247" s="486">
        <f t="shared" si="304"/>
        <v>0</v>
      </c>
      <c r="AQ247" s="486">
        <f t="shared" si="305"/>
        <v>0</v>
      </c>
      <c r="AR247" s="486">
        <f t="shared" si="306"/>
        <v>0</v>
      </c>
      <c r="AS247" s="486">
        <f t="shared" si="307"/>
        <v>0</v>
      </c>
      <c r="AT247" s="486">
        <f t="shared" si="307"/>
        <v>0</v>
      </c>
      <c r="AU247" s="486">
        <f t="shared" si="308"/>
        <v>0</v>
      </c>
      <c r="AV247" s="501">
        <f t="shared" si="309"/>
        <v>0</v>
      </c>
      <c r="AW247" s="501">
        <f t="shared" si="310"/>
        <v>0</v>
      </c>
      <c r="AX247" s="502">
        <f t="shared" si="310"/>
        <v>0</v>
      </c>
    </row>
    <row r="248" spans="1:50" ht="14.1" customHeight="1" x14ac:dyDescent="0.2">
      <c r="A248" s="585">
        <v>51</v>
      </c>
      <c r="B248" s="586">
        <v>2310</v>
      </c>
      <c r="C248" s="587">
        <v>600080412</v>
      </c>
      <c r="D248" s="586">
        <v>72742038</v>
      </c>
      <c r="E248" s="588" t="s">
        <v>676</v>
      </c>
      <c r="F248" s="585">
        <v>3141</v>
      </c>
      <c r="G248" s="588" t="s">
        <v>321</v>
      </c>
      <c r="H248" s="589" t="s">
        <v>284</v>
      </c>
      <c r="I248" s="495">
        <v>77927</v>
      </c>
      <c r="J248" s="496">
        <v>56964</v>
      </c>
      <c r="K248" s="475">
        <v>0</v>
      </c>
      <c r="L248" s="475">
        <v>0</v>
      </c>
      <c r="M248" s="475">
        <v>19254</v>
      </c>
      <c r="N248" s="496">
        <v>1139</v>
      </c>
      <c r="O248" s="496">
        <v>570</v>
      </c>
      <c r="P248" s="412">
        <v>0.19</v>
      </c>
      <c r="Q248" s="497">
        <v>0</v>
      </c>
      <c r="R248" s="498">
        <v>0.19</v>
      </c>
      <c r="S248" s="499">
        <v>0</v>
      </c>
      <c r="T248" s="486">
        <v>0</v>
      </c>
      <c r="U248" s="486">
        <v>0</v>
      </c>
      <c r="V248" s="486">
        <f t="shared" si="297"/>
        <v>0</v>
      </c>
      <c r="W248" s="486">
        <v>0</v>
      </c>
      <c r="X248" s="486">
        <v>0</v>
      </c>
      <c r="Y248" s="486">
        <f t="shared" si="298"/>
        <v>0</v>
      </c>
      <c r="Z248" s="486">
        <f t="shared" si="299"/>
        <v>0</v>
      </c>
      <c r="AA248" s="178">
        <f t="shared" si="262"/>
        <v>0</v>
      </c>
      <c r="AB248" s="745">
        <f t="shared" si="300"/>
        <v>0</v>
      </c>
      <c r="AC248" s="486">
        <v>0</v>
      </c>
      <c r="AD248" s="486">
        <v>0</v>
      </c>
      <c r="AE248" s="486">
        <f t="shared" si="264"/>
        <v>0</v>
      </c>
      <c r="AF248" s="486">
        <f t="shared" si="265"/>
        <v>0</v>
      </c>
      <c r="AG248" s="501">
        <v>0</v>
      </c>
      <c r="AH248" s="501">
        <v>0</v>
      </c>
      <c r="AI248" s="501">
        <v>0</v>
      </c>
      <c r="AJ248" s="501">
        <v>0</v>
      </c>
      <c r="AK248" s="501">
        <v>0</v>
      </c>
      <c r="AL248" s="501">
        <f t="shared" si="301"/>
        <v>0</v>
      </c>
      <c r="AM248" s="501">
        <f t="shared" si="302"/>
        <v>0</v>
      </c>
      <c r="AN248" s="502">
        <f t="shared" si="268"/>
        <v>0</v>
      </c>
      <c r="AO248" s="499">
        <f t="shared" si="303"/>
        <v>77927</v>
      </c>
      <c r="AP248" s="486">
        <f t="shared" si="304"/>
        <v>56964</v>
      </c>
      <c r="AQ248" s="486">
        <f t="shared" si="305"/>
        <v>0</v>
      </c>
      <c r="AR248" s="486">
        <f t="shared" si="306"/>
        <v>0</v>
      </c>
      <c r="AS248" s="486">
        <f t="shared" si="307"/>
        <v>19254</v>
      </c>
      <c r="AT248" s="486">
        <f t="shared" si="307"/>
        <v>1139</v>
      </c>
      <c r="AU248" s="486">
        <f t="shared" si="308"/>
        <v>570</v>
      </c>
      <c r="AV248" s="501">
        <f t="shared" si="309"/>
        <v>0.19</v>
      </c>
      <c r="AW248" s="501">
        <f t="shared" si="310"/>
        <v>0</v>
      </c>
      <c r="AX248" s="502">
        <f t="shared" si="310"/>
        <v>0.19</v>
      </c>
    </row>
    <row r="249" spans="1:50" ht="14.1" customHeight="1" x14ac:dyDescent="0.2">
      <c r="A249" s="585">
        <v>51</v>
      </c>
      <c r="B249" s="586">
        <v>2310</v>
      </c>
      <c r="C249" s="587">
        <v>600080412</v>
      </c>
      <c r="D249" s="586">
        <v>72742038</v>
      </c>
      <c r="E249" s="588" t="s">
        <v>676</v>
      </c>
      <c r="F249" s="585">
        <v>3143</v>
      </c>
      <c r="G249" s="208" t="s">
        <v>634</v>
      </c>
      <c r="H249" s="589" t="s">
        <v>283</v>
      </c>
      <c r="I249" s="495">
        <v>1342853</v>
      </c>
      <c r="J249" s="411">
        <v>988846</v>
      </c>
      <c r="K249" s="520">
        <v>0</v>
      </c>
      <c r="L249" s="520">
        <v>0</v>
      </c>
      <c r="M249" s="475">
        <v>334230</v>
      </c>
      <c r="N249" s="496">
        <v>19777</v>
      </c>
      <c r="O249" s="496">
        <v>0</v>
      </c>
      <c r="P249" s="412">
        <v>2.17</v>
      </c>
      <c r="Q249" s="415">
        <v>2.17</v>
      </c>
      <c r="R249" s="498">
        <v>0</v>
      </c>
      <c r="S249" s="499">
        <v>0</v>
      </c>
      <c r="T249" s="486">
        <v>0</v>
      </c>
      <c r="U249" s="486">
        <v>0</v>
      </c>
      <c r="V249" s="486">
        <f t="shared" si="297"/>
        <v>0</v>
      </c>
      <c r="W249" s="486">
        <v>0</v>
      </c>
      <c r="X249" s="486">
        <v>0</v>
      </c>
      <c r="Y249" s="486">
        <f t="shared" si="298"/>
        <v>0</v>
      </c>
      <c r="Z249" s="486">
        <f t="shared" si="299"/>
        <v>0</v>
      </c>
      <c r="AA249" s="178">
        <f t="shared" si="262"/>
        <v>0</v>
      </c>
      <c r="AB249" s="745">
        <f t="shared" si="300"/>
        <v>0</v>
      </c>
      <c r="AC249" s="486">
        <v>0</v>
      </c>
      <c r="AD249" s="486">
        <v>0</v>
      </c>
      <c r="AE249" s="486">
        <f t="shared" si="264"/>
        <v>0</v>
      </c>
      <c r="AF249" s="486">
        <f t="shared" si="265"/>
        <v>0</v>
      </c>
      <c r="AG249" s="501">
        <v>0</v>
      </c>
      <c r="AH249" s="501">
        <v>0</v>
      </c>
      <c r="AI249" s="501">
        <v>0</v>
      </c>
      <c r="AJ249" s="501">
        <v>0</v>
      </c>
      <c r="AK249" s="501">
        <v>0</v>
      </c>
      <c r="AL249" s="501">
        <f t="shared" si="301"/>
        <v>0</v>
      </c>
      <c r="AM249" s="501">
        <f t="shared" si="302"/>
        <v>0</v>
      </c>
      <c r="AN249" s="502">
        <f t="shared" si="268"/>
        <v>0</v>
      </c>
      <c r="AO249" s="499">
        <f t="shared" si="303"/>
        <v>1342853</v>
      </c>
      <c r="AP249" s="486">
        <f t="shared" si="304"/>
        <v>988846</v>
      </c>
      <c r="AQ249" s="486">
        <f t="shared" si="305"/>
        <v>0</v>
      </c>
      <c r="AR249" s="486">
        <f t="shared" si="306"/>
        <v>0</v>
      </c>
      <c r="AS249" s="486">
        <f t="shared" si="307"/>
        <v>334230</v>
      </c>
      <c r="AT249" s="486">
        <f t="shared" si="307"/>
        <v>19777</v>
      </c>
      <c r="AU249" s="486">
        <f t="shared" si="308"/>
        <v>0</v>
      </c>
      <c r="AV249" s="501">
        <f t="shared" si="309"/>
        <v>2.17</v>
      </c>
      <c r="AW249" s="501">
        <f t="shared" si="310"/>
        <v>2.17</v>
      </c>
      <c r="AX249" s="502">
        <f t="shared" si="310"/>
        <v>0</v>
      </c>
    </row>
    <row r="250" spans="1:50" ht="14.1" customHeight="1" x14ac:dyDescent="0.2">
      <c r="A250" s="585">
        <v>51</v>
      </c>
      <c r="B250" s="586">
        <v>2310</v>
      </c>
      <c r="C250" s="587">
        <v>600080412</v>
      </c>
      <c r="D250" s="586">
        <v>72742038</v>
      </c>
      <c r="E250" s="588" t="s">
        <v>676</v>
      </c>
      <c r="F250" s="585">
        <v>3143</v>
      </c>
      <c r="G250" s="208" t="s">
        <v>635</v>
      </c>
      <c r="H250" s="589" t="s">
        <v>284</v>
      </c>
      <c r="I250" s="495">
        <v>21066</v>
      </c>
      <c r="J250" s="496">
        <v>14850</v>
      </c>
      <c r="K250" s="475">
        <v>0</v>
      </c>
      <c r="L250" s="475">
        <v>0</v>
      </c>
      <c r="M250" s="475">
        <v>5019</v>
      </c>
      <c r="N250" s="496">
        <v>297</v>
      </c>
      <c r="O250" s="496">
        <v>900</v>
      </c>
      <c r="P250" s="412">
        <v>0.06</v>
      </c>
      <c r="Q250" s="497">
        <v>0</v>
      </c>
      <c r="R250" s="498">
        <v>0.06</v>
      </c>
      <c r="S250" s="499">
        <v>0</v>
      </c>
      <c r="T250" s="486">
        <v>0</v>
      </c>
      <c r="U250" s="486">
        <v>0</v>
      </c>
      <c r="V250" s="486">
        <f t="shared" si="297"/>
        <v>0</v>
      </c>
      <c r="W250" s="486">
        <v>0</v>
      </c>
      <c r="X250" s="486">
        <v>0</v>
      </c>
      <c r="Y250" s="486">
        <f t="shared" si="298"/>
        <v>0</v>
      </c>
      <c r="Z250" s="486">
        <f t="shared" si="299"/>
        <v>0</v>
      </c>
      <c r="AA250" s="178">
        <f t="shared" si="262"/>
        <v>0</v>
      </c>
      <c r="AB250" s="745">
        <f t="shared" si="300"/>
        <v>0</v>
      </c>
      <c r="AC250" s="486">
        <v>0</v>
      </c>
      <c r="AD250" s="486">
        <v>0</v>
      </c>
      <c r="AE250" s="486">
        <f t="shared" si="264"/>
        <v>0</v>
      </c>
      <c r="AF250" s="486">
        <f t="shared" si="265"/>
        <v>0</v>
      </c>
      <c r="AG250" s="501">
        <v>0</v>
      </c>
      <c r="AH250" s="501">
        <v>0</v>
      </c>
      <c r="AI250" s="501">
        <v>0</v>
      </c>
      <c r="AJ250" s="501">
        <v>0</v>
      </c>
      <c r="AK250" s="501">
        <v>0</v>
      </c>
      <c r="AL250" s="501">
        <f t="shared" si="301"/>
        <v>0</v>
      </c>
      <c r="AM250" s="501">
        <f t="shared" si="302"/>
        <v>0</v>
      </c>
      <c r="AN250" s="502">
        <f t="shared" si="268"/>
        <v>0</v>
      </c>
      <c r="AO250" s="499">
        <f t="shared" si="303"/>
        <v>21066</v>
      </c>
      <c r="AP250" s="486">
        <f t="shared" si="304"/>
        <v>14850</v>
      </c>
      <c r="AQ250" s="486">
        <f t="shared" si="305"/>
        <v>0</v>
      </c>
      <c r="AR250" s="486">
        <f t="shared" si="306"/>
        <v>0</v>
      </c>
      <c r="AS250" s="486">
        <f t="shared" si="307"/>
        <v>5019</v>
      </c>
      <c r="AT250" s="486">
        <f t="shared" si="307"/>
        <v>297</v>
      </c>
      <c r="AU250" s="486">
        <f t="shared" si="308"/>
        <v>900</v>
      </c>
      <c r="AV250" s="501">
        <f t="shared" si="309"/>
        <v>0.06</v>
      </c>
      <c r="AW250" s="501">
        <f t="shared" si="310"/>
        <v>0</v>
      </c>
      <c r="AX250" s="502">
        <f t="shared" si="310"/>
        <v>0.06</v>
      </c>
    </row>
    <row r="251" spans="1:50" ht="14.1" customHeight="1" x14ac:dyDescent="0.2">
      <c r="A251" s="181">
        <v>51</v>
      </c>
      <c r="B251" s="179">
        <v>2310</v>
      </c>
      <c r="C251" s="180">
        <v>600080412</v>
      </c>
      <c r="D251" s="179">
        <v>72742038</v>
      </c>
      <c r="E251" s="578" t="s">
        <v>677</v>
      </c>
      <c r="F251" s="181"/>
      <c r="G251" s="578"/>
      <c r="H251" s="579"/>
      <c r="I251" s="580">
        <v>32223961</v>
      </c>
      <c r="J251" s="581">
        <v>23407960</v>
      </c>
      <c r="K251" s="581">
        <v>40424</v>
      </c>
      <c r="L251" s="581">
        <v>20424</v>
      </c>
      <c r="M251" s="581">
        <v>7918649</v>
      </c>
      <c r="N251" s="581">
        <v>468158</v>
      </c>
      <c r="O251" s="581">
        <v>388770</v>
      </c>
      <c r="P251" s="582">
        <v>46.973700000000001</v>
      </c>
      <c r="Q251" s="582">
        <v>38.9619</v>
      </c>
      <c r="R251" s="584">
        <v>8.0118000000000009</v>
      </c>
      <c r="S251" s="583">
        <f t="shared" ref="S251:AX251" si="311">SUM(S245:S250)</f>
        <v>0</v>
      </c>
      <c r="T251" s="581">
        <f t="shared" si="311"/>
        <v>0</v>
      </c>
      <c r="U251" s="581">
        <f t="shared" si="311"/>
        <v>0</v>
      </c>
      <c r="V251" s="581">
        <f t="shared" si="311"/>
        <v>0</v>
      </c>
      <c r="W251" s="581">
        <f t="shared" si="311"/>
        <v>0</v>
      </c>
      <c r="X251" s="581">
        <f t="shared" si="311"/>
        <v>0</v>
      </c>
      <c r="Y251" s="581">
        <f t="shared" si="311"/>
        <v>0</v>
      </c>
      <c r="Z251" s="581">
        <f t="shared" si="311"/>
        <v>0</v>
      </c>
      <c r="AA251" s="581">
        <f t="shared" si="311"/>
        <v>0</v>
      </c>
      <c r="AB251" s="583">
        <f t="shared" si="311"/>
        <v>0</v>
      </c>
      <c r="AC251" s="581">
        <f t="shared" si="311"/>
        <v>0</v>
      </c>
      <c r="AD251" s="581">
        <f t="shared" si="311"/>
        <v>0</v>
      </c>
      <c r="AE251" s="581">
        <f t="shared" si="311"/>
        <v>0</v>
      </c>
      <c r="AF251" s="581">
        <f t="shared" si="311"/>
        <v>0</v>
      </c>
      <c r="AG251" s="582">
        <f t="shared" si="311"/>
        <v>0</v>
      </c>
      <c r="AH251" s="582">
        <f t="shared" si="311"/>
        <v>0</v>
      </c>
      <c r="AI251" s="582">
        <f t="shared" si="311"/>
        <v>0</v>
      </c>
      <c r="AJ251" s="582">
        <f t="shared" si="311"/>
        <v>0</v>
      </c>
      <c r="AK251" s="582">
        <f t="shared" si="311"/>
        <v>0</v>
      </c>
      <c r="AL251" s="582">
        <f t="shared" si="311"/>
        <v>0</v>
      </c>
      <c r="AM251" s="582">
        <f t="shared" si="311"/>
        <v>0</v>
      </c>
      <c r="AN251" s="584">
        <f t="shared" si="311"/>
        <v>0</v>
      </c>
      <c r="AO251" s="583">
        <f t="shared" si="311"/>
        <v>32223961</v>
      </c>
      <c r="AP251" s="581">
        <f t="shared" si="311"/>
        <v>23407960</v>
      </c>
      <c r="AQ251" s="581">
        <f t="shared" si="311"/>
        <v>40424</v>
      </c>
      <c r="AR251" s="581">
        <f t="shared" si="311"/>
        <v>20424</v>
      </c>
      <c r="AS251" s="581">
        <f t="shared" si="311"/>
        <v>7918649</v>
      </c>
      <c r="AT251" s="581">
        <f t="shared" si="311"/>
        <v>468158</v>
      </c>
      <c r="AU251" s="581">
        <f t="shared" si="311"/>
        <v>388770</v>
      </c>
      <c r="AV251" s="582">
        <f t="shared" si="311"/>
        <v>46.973700000000001</v>
      </c>
      <c r="AW251" s="582">
        <f t="shared" si="311"/>
        <v>38.9619</v>
      </c>
      <c r="AX251" s="584">
        <f t="shared" si="311"/>
        <v>8.0118000000000009</v>
      </c>
    </row>
    <row r="252" spans="1:50" ht="14.1" customHeight="1" x14ac:dyDescent="0.2">
      <c r="A252" s="585">
        <v>52</v>
      </c>
      <c r="B252" s="586">
        <v>2313</v>
      </c>
      <c r="C252" s="587">
        <v>600080323</v>
      </c>
      <c r="D252" s="586">
        <v>64040445</v>
      </c>
      <c r="E252" s="588" t="s">
        <v>678</v>
      </c>
      <c r="F252" s="585">
        <v>3231</v>
      </c>
      <c r="G252" s="588" t="s">
        <v>322</v>
      </c>
      <c r="H252" s="589" t="s">
        <v>283</v>
      </c>
      <c r="I252" s="495">
        <v>49221836</v>
      </c>
      <c r="J252" s="496">
        <v>35891933</v>
      </c>
      <c r="K252" s="475">
        <v>254838</v>
      </c>
      <c r="L252" s="475">
        <v>0</v>
      </c>
      <c r="M252" s="475">
        <v>12189271</v>
      </c>
      <c r="N252" s="496">
        <v>717839</v>
      </c>
      <c r="O252" s="496">
        <v>167955</v>
      </c>
      <c r="P252" s="412">
        <v>70.514899999999997</v>
      </c>
      <c r="Q252" s="590">
        <v>62.685900000000004</v>
      </c>
      <c r="R252" s="689">
        <v>7.8289999999999997</v>
      </c>
      <c r="S252" s="499">
        <v>0</v>
      </c>
      <c r="T252" s="486">
        <v>0</v>
      </c>
      <c r="U252" s="486">
        <v>0</v>
      </c>
      <c r="V252" s="486">
        <f>SUM(S252:U252)</f>
        <v>0</v>
      </c>
      <c r="W252" s="486">
        <v>0</v>
      </c>
      <c r="X252" s="486">
        <v>0</v>
      </c>
      <c r="Y252" s="486">
        <f>SUM(W252:X252)</f>
        <v>0</v>
      </c>
      <c r="Z252" s="486">
        <f>V252+Y252</f>
        <v>0</v>
      </c>
      <c r="AA252" s="178">
        <f t="shared" si="262"/>
        <v>0</v>
      </c>
      <c r="AB252" s="745">
        <f>ROUND(V252*2%,0)</f>
        <v>0</v>
      </c>
      <c r="AC252" s="486">
        <v>0</v>
      </c>
      <c r="AD252" s="486">
        <v>0</v>
      </c>
      <c r="AE252" s="486">
        <f t="shared" si="264"/>
        <v>0</v>
      </c>
      <c r="AF252" s="486">
        <f t="shared" si="265"/>
        <v>0</v>
      </c>
      <c r="AG252" s="501">
        <v>0</v>
      </c>
      <c r="AH252" s="501">
        <v>0</v>
      </c>
      <c r="AI252" s="501">
        <v>0</v>
      </c>
      <c r="AJ252" s="501">
        <v>0</v>
      </c>
      <c r="AK252" s="501">
        <v>0</v>
      </c>
      <c r="AL252" s="501">
        <f>AG252+AI252+AJ252</f>
        <v>0</v>
      </c>
      <c r="AM252" s="501">
        <f>AH252+AK252</f>
        <v>0</v>
      </c>
      <c r="AN252" s="502">
        <f t="shared" si="268"/>
        <v>0</v>
      </c>
      <c r="AO252" s="499">
        <f>I252+AF252</f>
        <v>49221836</v>
      </c>
      <c r="AP252" s="486">
        <f>J252+V252</f>
        <v>35891933</v>
      </c>
      <c r="AQ252" s="486">
        <f>K252+Y252</f>
        <v>254838</v>
      </c>
      <c r="AR252" s="486">
        <f>L252</f>
        <v>0</v>
      </c>
      <c r="AS252" s="486">
        <f>M252+AA252</f>
        <v>12189271</v>
      </c>
      <c r="AT252" s="486">
        <f>N252+AB252</f>
        <v>717839</v>
      </c>
      <c r="AU252" s="486">
        <f>O252+AE252</f>
        <v>167955</v>
      </c>
      <c r="AV252" s="501">
        <f>P252+AN252</f>
        <v>70.514899999999997</v>
      </c>
      <c r="AW252" s="501">
        <f>Q252+AL252</f>
        <v>62.685900000000004</v>
      </c>
      <c r="AX252" s="502">
        <f>R252+AM252</f>
        <v>7.8289999999999997</v>
      </c>
    </row>
    <row r="253" spans="1:50" ht="14.1" customHeight="1" x14ac:dyDescent="0.2">
      <c r="A253" s="181">
        <v>52</v>
      </c>
      <c r="B253" s="179">
        <v>2313</v>
      </c>
      <c r="C253" s="180">
        <v>600080323</v>
      </c>
      <c r="D253" s="179">
        <v>64040445</v>
      </c>
      <c r="E253" s="578" t="s">
        <v>679</v>
      </c>
      <c r="F253" s="181"/>
      <c r="G253" s="578"/>
      <c r="H253" s="579"/>
      <c r="I253" s="182">
        <v>49221836</v>
      </c>
      <c r="J253" s="183">
        <v>35891933</v>
      </c>
      <c r="K253" s="183">
        <v>254838</v>
      </c>
      <c r="L253" s="183">
        <v>0</v>
      </c>
      <c r="M253" s="183">
        <v>12189271</v>
      </c>
      <c r="N253" s="183">
        <v>717839</v>
      </c>
      <c r="O253" s="183">
        <v>167955</v>
      </c>
      <c r="P253" s="184">
        <v>70.514899999999997</v>
      </c>
      <c r="Q253" s="184">
        <v>62.685900000000004</v>
      </c>
      <c r="R253" s="185">
        <v>7.8289999999999997</v>
      </c>
      <c r="S253" s="345">
        <f t="shared" ref="S253:AX253" si="312">SUM(S252)</f>
        <v>0</v>
      </c>
      <c r="T253" s="183">
        <f t="shared" si="312"/>
        <v>0</v>
      </c>
      <c r="U253" s="183">
        <f t="shared" si="312"/>
        <v>0</v>
      </c>
      <c r="V253" s="183">
        <f t="shared" si="312"/>
        <v>0</v>
      </c>
      <c r="W253" s="183">
        <f t="shared" si="312"/>
        <v>0</v>
      </c>
      <c r="X253" s="183">
        <f t="shared" si="312"/>
        <v>0</v>
      </c>
      <c r="Y253" s="183">
        <f t="shared" si="312"/>
        <v>0</v>
      </c>
      <c r="Z253" s="183">
        <f t="shared" si="312"/>
        <v>0</v>
      </c>
      <c r="AA253" s="183">
        <f t="shared" si="312"/>
        <v>0</v>
      </c>
      <c r="AB253" s="345">
        <f t="shared" si="312"/>
        <v>0</v>
      </c>
      <c r="AC253" s="183">
        <f t="shared" si="312"/>
        <v>0</v>
      </c>
      <c r="AD253" s="183">
        <f t="shared" si="312"/>
        <v>0</v>
      </c>
      <c r="AE253" s="183">
        <f t="shared" si="312"/>
        <v>0</v>
      </c>
      <c r="AF253" s="183">
        <f t="shared" si="312"/>
        <v>0</v>
      </c>
      <c r="AG253" s="184">
        <f t="shared" si="312"/>
        <v>0</v>
      </c>
      <c r="AH253" s="184">
        <f t="shared" si="312"/>
        <v>0</v>
      </c>
      <c r="AI253" s="184">
        <f t="shared" si="312"/>
        <v>0</v>
      </c>
      <c r="AJ253" s="184">
        <f t="shared" si="312"/>
        <v>0</v>
      </c>
      <c r="AK253" s="184">
        <f t="shared" si="312"/>
        <v>0</v>
      </c>
      <c r="AL253" s="184">
        <f t="shared" si="312"/>
        <v>0</v>
      </c>
      <c r="AM253" s="184">
        <f t="shared" si="312"/>
        <v>0</v>
      </c>
      <c r="AN253" s="185">
        <f t="shared" si="312"/>
        <v>0</v>
      </c>
      <c r="AO253" s="345">
        <f t="shared" si="312"/>
        <v>49221836</v>
      </c>
      <c r="AP253" s="183">
        <f t="shared" si="312"/>
        <v>35891933</v>
      </c>
      <c r="AQ253" s="183">
        <f t="shared" si="312"/>
        <v>254838</v>
      </c>
      <c r="AR253" s="183">
        <f t="shared" si="312"/>
        <v>0</v>
      </c>
      <c r="AS253" s="183">
        <f t="shared" si="312"/>
        <v>12189271</v>
      </c>
      <c r="AT253" s="183">
        <f t="shared" si="312"/>
        <v>717839</v>
      </c>
      <c r="AU253" s="183">
        <f t="shared" si="312"/>
        <v>167955</v>
      </c>
      <c r="AV253" s="184">
        <f t="shared" si="312"/>
        <v>70.514899999999997</v>
      </c>
      <c r="AW253" s="184">
        <f t="shared" si="312"/>
        <v>62.685900000000004</v>
      </c>
      <c r="AX253" s="185">
        <f t="shared" si="312"/>
        <v>7.8289999999999997</v>
      </c>
    </row>
    <row r="254" spans="1:50" ht="14.1" customHeight="1" x14ac:dyDescent="0.2">
      <c r="A254" s="585">
        <v>53</v>
      </c>
      <c r="B254" s="586">
        <v>2431</v>
      </c>
      <c r="C254" s="587">
        <v>600079228</v>
      </c>
      <c r="D254" s="586">
        <v>46746234</v>
      </c>
      <c r="E254" s="588" t="s">
        <v>680</v>
      </c>
      <c r="F254" s="585">
        <v>3111</v>
      </c>
      <c r="G254" s="588" t="s">
        <v>317</v>
      </c>
      <c r="H254" s="589" t="s">
        <v>283</v>
      </c>
      <c r="I254" s="495">
        <v>6846659</v>
      </c>
      <c r="J254" s="411">
        <v>4925599</v>
      </c>
      <c r="K254" s="520">
        <v>67635</v>
      </c>
      <c r="L254" s="520">
        <v>0</v>
      </c>
      <c r="M254" s="475">
        <v>1687713</v>
      </c>
      <c r="N254" s="496">
        <v>98512</v>
      </c>
      <c r="O254" s="411">
        <v>67200</v>
      </c>
      <c r="P254" s="412">
        <v>11.089700000000001</v>
      </c>
      <c r="Q254" s="415">
        <v>8.3414999999999999</v>
      </c>
      <c r="R254" s="685">
        <v>2.7481999999999998</v>
      </c>
      <c r="S254" s="499">
        <v>0</v>
      </c>
      <c r="T254" s="486">
        <v>0</v>
      </c>
      <c r="U254" s="486">
        <v>0</v>
      </c>
      <c r="V254" s="486">
        <f>SUM(S254:U254)</f>
        <v>0</v>
      </c>
      <c r="W254" s="486">
        <v>0</v>
      </c>
      <c r="X254" s="486">
        <v>0</v>
      </c>
      <c r="Y254" s="486">
        <f>SUM(W254:X254)</f>
        <v>0</v>
      </c>
      <c r="Z254" s="486">
        <f>V254+Y254</f>
        <v>0</v>
      </c>
      <c r="AA254" s="178">
        <f t="shared" si="262"/>
        <v>0</v>
      </c>
      <c r="AB254" s="745">
        <f>ROUND(V254*2%,0)</f>
        <v>0</v>
      </c>
      <c r="AC254" s="486">
        <v>0</v>
      </c>
      <c r="AD254" s="486">
        <v>0</v>
      </c>
      <c r="AE254" s="486">
        <f t="shared" si="264"/>
        <v>0</v>
      </c>
      <c r="AF254" s="486">
        <f t="shared" si="265"/>
        <v>0</v>
      </c>
      <c r="AG254" s="501">
        <v>0</v>
      </c>
      <c r="AH254" s="501">
        <v>0</v>
      </c>
      <c r="AI254" s="501">
        <v>0</v>
      </c>
      <c r="AJ254" s="501">
        <v>0</v>
      </c>
      <c r="AK254" s="501">
        <v>0</v>
      </c>
      <c r="AL254" s="501">
        <f t="shared" ref="AL254:AL256" si="313">AG254+AI254+AJ254</f>
        <v>0</v>
      </c>
      <c r="AM254" s="501">
        <f t="shared" ref="AM254:AM256" si="314">AH254+AK254</f>
        <v>0</v>
      </c>
      <c r="AN254" s="502">
        <f t="shared" si="268"/>
        <v>0</v>
      </c>
      <c r="AO254" s="499">
        <f>I254+AF254</f>
        <v>6846659</v>
      </c>
      <c r="AP254" s="486">
        <f>J254+V254</f>
        <v>4925599</v>
      </c>
      <c r="AQ254" s="486">
        <f>K254+Y254</f>
        <v>67635</v>
      </c>
      <c r="AR254" s="486">
        <f>L254</f>
        <v>0</v>
      </c>
      <c r="AS254" s="486">
        <f t="shared" ref="AS254:AT256" si="315">M254+AA254</f>
        <v>1687713</v>
      </c>
      <c r="AT254" s="486">
        <f t="shared" si="315"/>
        <v>98512</v>
      </c>
      <c r="AU254" s="486">
        <f>O254+AE254</f>
        <v>67200</v>
      </c>
      <c r="AV254" s="501">
        <f>P254+AN254</f>
        <v>11.089700000000001</v>
      </c>
      <c r="AW254" s="501">
        <f t="shared" ref="AW254:AX256" si="316">Q254+AL254</f>
        <v>8.3414999999999999</v>
      </c>
      <c r="AX254" s="502">
        <f t="shared" si="316"/>
        <v>2.7481999999999998</v>
      </c>
    </row>
    <row r="255" spans="1:50" ht="14.1" customHeight="1" x14ac:dyDescent="0.2">
      <c r="A255" s="585">
        <v>53</v>
      </c>
      <c r="B255" s="586">
        <v>2431</v>
      </c>
      <c r="C255" s="587">
        <v>600079228</v>
      </c>
      <c r="D255" s="586">
        <v>46746234</v>
      </c>
      <c r="E255" s="588" t="s">
        <v>680</v>
      </c>
      <c r="F255" s="585">
        <v>3111</v>
      </c>
      <c r="G255" s="208" t="s">
        <v>318</v>
      </c>
      <c r="H255" s="589" t="s">
        <v>284</v>
      </c>
      <c r="I255" s="495">
        <v>61599</v>
      </c>
      <c r="J255" s="496">
        <v>45360</v>
      </c>
      <c r="K255" s="475">
        <v>0</v>
      </c>
      <c r="L255" s="475">
        <v>0</v>
      </c>
      <c r="M255" s="475">
        <v>15332</v>
      </c>
      <c r="N255" s="496">
        <v>907</v>
      </c>
      <c r="O255" s="496">
        <v>0</v>
      </c>
      <c r="P255" s="412">
        <v>9.9999999999999992E-2</v>
      </c>
      <c r="Q255" s="497">
        <v>9.9999999999999992E-2</v>
      </c>
      <c r="R255" s="498">
        <v>0</v>
      </c>
      <c r="S255" s="499">
        <v>0</v>
      </c>
      <c r="T255" s="486">
        <v>0</v>
      </c>
      <c r="U255" s="486">
        <v>0</v>
      </c>
      <c r="V255" s="486">
        <f>SUM(S255:U255)</f>
        <v>0</v>
      </c>
      <c r="W255" s="486">
        <v>0</v>
      </c>
      <c r="X255" s="486">
        <v>0</v>
      </c>
      <c r="Y255" s="486">
        <f>SUM(W255:X255)</f>
        <v>0</v>
      </c>
      <c r="Z255" s="486">
        <f>V255+Y255</f>
        <v>0</v>
      </c>
      <c r="AA255" s="178">
        <f t="shared" si="262"/>
        <v>0</v>
      </c>
      <c r="AB255" s="745">
        <f>ROUND(V255*2%,0)</f>
        <v>0</v>
      </c>
      <c r="AC255" s="486">
        <v>0</v>
      </c>
      <c r="AD255" s="486">
        <v>0</v>
      </c>
      <c r="AE255" s="486">
        <f t="shared" si="264"/>
        <v>0</v>
      </c>
      <c r="AF255" s="486">
        <f t="shared" si="265"/>
        <v>0</v>
      </c>
      <c r="AG255" s="501">
        <v>0</v>
      </c>
      <c r="AH255" s="501">
        <v>0</v>
      </c>
      <c r="AI255" s="501">
        <v>0</v>
      </c>
      <c r="AJ255" s="501">
        <v>0</v>
      </c>
      <c r="AK255" s="501">
        <v>0</v>
      </c>
      <c r="AL255" s="501">
        <f t="shared" si="313"/>
        <v>0</v>
      </c>
      <c r="AM255" s="501">
        <f t="shared" si="314"/>
        <v>0</v>
      </c>
      <c r="AN255" s="502">
        <f t="shared" si="268"/>
        <v>0</v>
      </c>
      <c r="AO255" s="499">
        <f>I255+AF255</f>
        <v>61599</v>
      </c>
      <c r="AP255" s="486">
        <f>J255+V255</f>
        <v>45360</v>
      </c>
      <c r="AQ255" s="486">
        <f>K255+Y255</f>
        <v>0</v>
      </c>
      <c r="AR255" s="486">
        <f>L255</f>
        <v>0</v>
      </c>
      <c r="AS255" s="486">
        <f t="shared" si="315"/>
        <v>15332</v>
      </c>
      <c r="AT255" s="486">
        <f t="shared" si="315"/>
        <v>907</v>
      </c>
      <c r="AU255" s="486">
        <f>O255+AE255</f>
        <v>0</v>
      </c>
      <c r="AV255" s="501">
        <f>P255+AN255</f>
        <v>9.9999999999999992E-2</v>
      </c>
      <c r="AW255" s="501">
        <f t="shared" si="316"/>
        <v>9.9999999999999992E-2</v>
      </c>
      <c r="AX255" s="502">
        <f t="shared" si="316"/>
        <v>0</v>
      </c>
    </row>
    <row r="256" spans="1:50" ht="14.1" customHeight="1" x14ac:dyDescent="0.2">
      <c r="A256" s="585">
        <v>53</v>
      </c>
      <c r="B256" s="586">
        <v>2431</v>
      </c>
      <c r="C256" s="587">
        <v>600079228</v>
      </c>
      <c r="D256" s="586">
        <v>46746234</v>
      </c>
      <c r="E256" s="588" t="s">
        <v>680</v>
      </c>
      <c r="F256" s="585">
        <v>3141</v>
      </c>
      <c r="G256" s="588" t="s">
        <v>321</v>
      </c>
      <c r="H256" s="589" t="s">
        <v>284</v>
      </c>
      <c r="I256" s="495">
        <v>1014331</v>
      </c>
      <c r="J256" s="496">
        <v>742830</v>
      </c>
      <c r="K256" s="475">
        <v>0</v>
      </c>
      <c r="L256" s="475">
        <v>0</v>
      </c>
      <c r="M256" s="475">
        <v>251077</v>
      </c>
      <c r="N256" s="496">
        <v>14856</v>
      </c>
      <c r="O256" s="496">
        <v>5568</v>
      </c>
      <c r="P256" s="412">
        <v>2.5299999999999998</v>
      </c>
      <c r="Q256" s="497">
        <v>0</v>
      </c>
      <c r="R256" s="498">
        <v>2.5299999999999998</v>
      </c>
      <c r="S256" s="499">
        <v>0</v>
      </c>
      <c r="T256" s="486">
        <v>0</v>
      </c>
      <c r="U256" s="486">
        <v>0</v>
      </c>
      <c r="V256" s="486">
        <f>SUM(S256:U256)</f>
        <v>0</v>
      </c>
      <c r="W256" s="486">
        <v>0</v>
      </c>
      <c r="X256" s="486">
        <v>0</v>
      </c>
      <c r="Y256" s="486">
        <f>SUM(W256:X256)</f>
        <v>0</v>
      </c>
      <c r="Z256" s="486">
        <f>V256+Y256</f>
        <v>0</v>
      </c>
      <c r="AA256" s="178">
        <f t="shared" si="262"/>
        <v>0</v>
      </c>
      <c r="AB256" s="745">
        <f>ROUND(V256*2%,0)</f>
        <v>0</v>
      </c>
      <c r="AC256" s="486">
        <v>0</v>
      </c>
      <c r="AD256" s="486">
        <v>0</v>
      </c>
      <c r="AE256" s="486">
        <f t="shared" si="264"/>
        <v>0</v>
      </c>
      <c r="AF256" s="486">
        <f t="shared" si="265"/>
        <v>0</v>
      </c>
      <c r="AG256" s="501">
        <v>0</v>
      </c>
      <c r="AH256" s="501">
        <v>0</v>
      </c>
      <c r="AI256" s="501">
        <v>0</v>
      </c>
      <c r="AJ256" s="501">
        <v>0</v>
      </c>
      <c r="AK256" s="501">
        <v>0</v>
      </c>
      <c r="AL256" s="501">
        <f t="shared" si="313"/>
        <v>0</v>
      </c>
      <c r="AM256" s="501">
        <f t="shared" si="314"/>
        <v>0</v>
      </c>
      <c r="AN256" s="502">
        <f t="shared" si="268"/>
        <v>0</v>
      </c>
      <c r="AO256" s="499">
        <f>I256+AF256</f>
        <v>1014331</v>
      </c>
      <c r="AP256" s="486">
        <f>J256+V256</f>
        <v>742830</v>
      </c>
      <c r="AQ256" s="486">
        <f>K256+Y256</f>
        <v>0</v>
      </c>
      <c r="AR256" s="486">
        <f>L256</f>
        <v>0</v>
      </c>
      <c r="AS256" s="486">
        <f t="shared" si="315"/>
        <v>251077</v>
      </c>
      <c r="AT256" s="486">
        <f t="shared" si="315"/>
        <v>14856</v>
      </c>
      <c r="AU256" s="486">
        <f>O256+AE256</f>
        <v>5568</v>
      </c>
      <c r="AV256" s="501">
        <f>P256+AN256</f>
        <v>2.5299999999999998</v>
      </c>
      <c r="AW256" s="501">
        <f t="shared" si="316"/>
        <v>0</v>
      </c>
      <c r="AX256" s="502">
        <f t="shared" si="316"/>
        <v>2.5299999999999998</v>
      </c>
    </row>
    <row r="257" spans="1:50" ht="14.1" customHeight="1" x14ac:dyDescent="0.2">
      <c r="A257" s="181">
        <v>53</v>
      </c>
      <c r="B257" s="179">
        <v>2431</v>
      </c>
      <c r="C257" s="180">
        <v>600079228</v>
      </c>
      <c r="D257" s="179">
        <v>46746234</v>
      </c>
      <c r="E257" s="578" t="s">
        <v>681</v>
      </c>
      <c r="F257" s="181"/>
      <c r="G257" s="578"/>
      <c r="H257" s="579"/>
      <c r="I257" s="580">
        <v>7922589</v>
      </c>
      <c r="J257" s="581">
        <v>5713789</v>
      </c>
      <c r="K257" s="581">
        <v>67635</v>
      </c>
      <c r="L257" s="581">
        <v>0</v>
      </c>
      <c r="M257" s="581">
        <v>1954122</v>
      </c>
      <c r="N257" s="581">
        <v>114275</v>
      </c>
      <c r="O257" s="581">
        <v>72768</v>
      </c>
      <c r="P257" s="582">
        <v>13.7197</v>
      </c>
      <c r="Q257" s="582">
        <v>8.4414999999999996</v>
      </c>
      <c r="R257" s="584">
        <v>5.2782</v>
      </c>
      <c r="S257" s="583">
        <f t="shared" ref="S257:AX257" si="317">SUM(S254:S256)</f>
        <v>0</v>
      </c>
      <c r="T257" s="581">
        <f t="shared" si="317"/>
        <v>0</v>
      </c>
      <c r="U257" s="581">
        <f t="shared" si="317"/>
        <v>0</v>
      </c>
      <c r="V257" s="581">
        <f t="shared" si="317"/>
        <v>0</v>
      </c>
      <c r="W257" s="581">
        <f t="shared" si="317"/>
        <v>0</v>
      </c>
      <c r="X257" s="581">
        <f t="shared" si="317"/>
        <v>0</v>
      </c>
      <c r="Y257" s="581">
        <f t="shared" si="317"/>
        <v>0</v>
      </c>
      <c r="Z257" s="581">
        <f t="shared" si="317"/>
        <v>0</v>
      </c>
      <c r="AA257" s="581">
        <f t="shared" si="317"/>
        <v>0</v>
      </c>
      <c r="AB257" s="583">
        <f t="shared" si="317"/>
        <v>0</v>
      </c>
      <c r="AC257" s="581">
        <f t="shared" si="317"/>
        <v>0</v>
      </c>
      <c r="AD257" s="581">
        <f t="shared" si="317"/>
        <v>0</v>
      </c>
      <c r="AE257" s="581">
        <f t="shared" si="317"/>
        <v>0</v>
      </c>
      <c r="AF257" s="581">
        <f t="shared" si="317"/>
        <v>0</v>
      </c>
      <c r="AG257" s="582">
        <f t="shared" si="317"/>
        <v>0</v>
      </c>
      <c r="AH257" s="582">
        <f t="shared" si="317"/>
        <v>0</v>
      </c>
      <c r="AI257" s="582">
        <f t="shared" si="317"/>
        <v>0</v>
      </c>
      <c r="AJ257" s="582">
        <f t="shared" si="317"/>
        <v>0</v>
      </c>
      <c r="AK257" s="582">
        <f t="shared" si="317"/>
        <v>0</v>
      </c>
      <c r="AL257" s="582">
        <f t="shared" si="317"/>
        <v>0</v>
      </c>
      <c r="AM257" s="582">
        <f t="shared" si="317"/>
        <v>0</v>
      </c>
      <c r="AN257" s="584">
        <f t="shared" si="317"/>
        <v>0</v>
      </c>
      <c r="AO257" s="583">
        <f t="shared" si="317"/>
        <v>7922589</v>
      </c>
      <c r="AP257" s="581">
        <f t="shared" si="317"/>
        <v>5713789</v>
      </c>
      <c r="AQ257" s="581">
        <f t="shared" si="317"/>
        <v>67635</v>
      </c>
      <c r="AR257" s="581">
        <f t="shared" si="317"/>
        <v>0</v>
      </c>
      <c r="AS257" s="581">
        <f t="shared" si="317"/>
        <v>1954122</v>
      </c>
      <c r="AT257" s="581">
        <f t="shared" si="317"/>
        <v>114275</v>
      </c>
      <c r="AU257" s="581">
        <f t="shared" si="317"/>
        <v>72768</v>
      </c>
      <c r="AV257" s="582">
        <f t="shared" si="317"/>
        <v>13.7197</v>
      </c>
      <c r="AW257" s="582">
        <f t="shared" si="317"/>
        <v>8.4414999999999996</v>
      </c>
      <c r="AX257" s="584">
        <f t="shared" si="317"/>
        <v>5.2782</v>
      </c>
    </row>
    <row r="258" spans="1:50" ht="14.1" customHeight="1" x14ac:dyDescent="0.2">
      <c r="A258" s="585">
        <v>54</v>
      </c>
      <c r="B258" s="586">
        <v>2434</v>
      </c>
      <c r="C258" s="587">
        <v>600079317</v>
      </c>
      <c r="D258" s="586">
        <v>46746480</v>
      </c>
      <c r="E258" s="588" t="s">
        <v>682</v>
      </c>
      <c r="F258" s="585">
        <v>3111</v>
      </c>
      <c r="G258" s="588" t="s">
        <v>317</v>
      </c>
      <c r="H258" s="589" t="s">
        <v>283</v>
      </c>
      <c r="I258" s="495">
        <v>13004457</v>
      </c>
      <c r="J258" s="411">
        <v>9479276</v>
      </c>
      <c r="K258" s="520">
        <v>0</v>
      </c>
      <c r="L258" s="520">
        <v>0</v>
      </c>
      <c r="M258" s="475">
        <v>3203995</v>
      </c>
      <c r="N258" s="496">
        <v>189586</v>
      </c>
      <c r="O258" s="411">
        <v>131600</v>
      </c>
      <c r="P258" s="412">
        <v>22.6496</v>
      </c>
      <c r="Q258" s="415">
        <v>16</v>
      </c>
      <c r="R258" s="685">
        <v>6.6495999999999995</v>
      </c>
      <c r="S258" s="499">
        <v>0</v>
      </c>
      <c r="T258" s="486">
        <v>0</v>
      </c>
      <c r="U258" s="486">
        <v>0</v>
      </c>
      <c r="V258" s="486">
        <f>SUM(S258:U258)</f>
        <v>0</v>
      </c>
      <c r="W258" s="486">
        <v>0</v>
      </c>
      <c r="X258" s="486">
        <v>0</v>
      </c>
      <c r="Y258" s="486">
        <f>SUM(W258:X258)</f>
        <v>0</v>
      </c>
      <c r="Z258" s="486">
        <f>V258+Y258</f>
        <v>0</v>
      </c>
      <c r="AA258" s="178">
        <f t="shared" si="262"/>
        <v>0</v>
      </c>
      <c r="AB258" s="745">
        <f>ROUND(V258*2%,0)</f>
        <v>0</v>
      </c>
      <c r="AC258" s="486">
        <v>0</v>
      </c>
      <c r="AD258" s="486">
        <v>0</v>
      </c>
      <c r="AE258" s="486">
        <f t="shared" si="264"/>
        <v>0</v>
      </c>
      <c r="AF258" s="486">
        <f t="shared" si="265"/>
        <v>0</v>
      </c>
      <c r="AG258" s="501">
        <v>0</v>
      </c>
      <c r="AH258" s="501">
        <v>0</v>
      </c>
      <c r="AI258" s="501">
        <v>0</v>
      </c>
      <c r="AJ258" s="501">
        <v>0</v>
      </c>
      <c r="AK258" s="501">
        <v>0</v>
      </c>
      <c r="AL258" s="501">
        <f t="shared" ref="AL258:AL260" si="318">AG258+AI258+AJ258</f>
        <v>0</v>
      </c>
      <c r="AM258" s="501">
        <f t="shared" ref="AM258:AM260" si="319">AH258+AK258</f>
        <v>0</v>
      </c>
      <c r="AN258" s="502">
        <f t="shared" si="268"/>
        <v>0</v>
      </c>
      <c r="AO258" s="499">
        <f>I258+AF258</f>
        <v>13004457</v>
      </c>
      <c r="AP258" s="486">
        <f>J258+V258</f>
        <v>9479276</v>
      </c>
      <c r="AQ258" s="486">
        <f>K258+Y258</f>
        <v>0</v>
      </c>
      <c r="AR258" s="486">
        <f>L258</f>
        <v>0</v>
      </c>
      <c r="AS258" s="486">
        <f t="shared" ref="AS258:AT260" si="320">M258+AA258</f>
        <v>3203995</v>
      </c>
      <c r="AT258" s="486">
        <f t="shared" si="320"/>
        <v>189586</v>
      </c>
      <c r="AU258" s="486">
        <f>O258+AE258</f>
        <v>131600</v>
      </c>
      <c r="AV258" s="501">
        <f>P258+AN258</f>
        <v>22.6496</v>
      </c>
      <c r="AW258" s="501">
        <f t="shared" ref="AW258:AX260" si="321">Q258+AL258</f>
        <v>16</v>
      </c>
      <c r="AX258" s="502">
        <f t="shared" si="321"/>
        <v>6.6495999999999995</v>
      </c>
    </row>
    <row r="259" spans="1:50" ht="14.1" customHeight="1" x14ac:dyDescent="0.2">
      <c r="A259" s="585">
        <v>54</v>
      </c>
      <c r="B259" s="586">
        <v>2434</v>
      </c>
      <c r="C259" s="587">
        <v>600079317</v>
      </c>
      <c r="D259" s="586">
        <v>46746480</v>
      </c>
      <c r="E259" s="588" t="s">
        <v>682</v>
      </c>
      <c r="F259" s="585">
        <v>3111</v>
      </c>
      <c r="G259" s="208" t="s">
        <v>318</v>
      </c>
      <c r="H259" s="589" t="s">
        <v>284</v>
      </c>
      <c r="I259" s="495">
        <v>799432</v>
      </c>
      <c r="J259" s="496">
        <v>588683</v>
      </c>
      <c r="K259" s="475">
        <v>0</v>
      </c>
      <c r="L259" s="475">
        <v>0</v>
      </c>
      <c r="M259" s="475">
        <v>198975</v>
      </c>
      <c r="N259" s="496">
        <v>11774</v>
      </c>
      <c r="O259" s="496">
        <v>0</v>
      </c>
      <c r="P259" s="412">
        <v>1.72</v>
      </c>
      <c r="Q259" s="497">
        <v>1.72</v>
      </c>
      <c r="R259" s="498">
        <v>0</v>
      </c>
      <c r="S259" s="499">
        <v>0</v>
      </c>
      <c r="T259" s="486">
        <v>-3780</v>
      </c>
      <c r="U259" s="486">
        <v>0</v>
      </c>
      <c r="V259" s="486">
        <f>SUM(S259:U259)</f>
        <v>-3780</v>
      </c>
      <c r="W259" s="486">
        <v>0</v>
      </c>
      <c r="X259" s="486">
        <v>0</v>
      </c>
      <c r="Y259" s="486">
        <f>SUM(W259:X259)</f>
        <v>0</v>
      </c>
      <c r="Z259" s="486">
        <f>V259+Y259</f>
        <v>-3780</v>
      </c>
      <c r="AA259" s="178">
        <f t="shared" si="262"/>
        <v>-1278</v>
      </c>
      <c r="AB259" s="745">
        <f>ROUND(V259*2%,0)</f>
        <v>-76</v>
      </c>
      <c r="AC259" s="486">
        <v>0</v>
      </c>
      <c r="AD259" s="486">
        <v>0</v>
      </c>
      <c r="AE259" s="486">
        <f t="shared" si="264"/>
        <v>0</v>
      </c>
      <c r="AF259" s="486">
        <f t="shared" si="265"/>
        <v>-5134</v>
      </c>
      <c r="AG259" s="501">
        <v>0</v>
      </c>
      <c r="AH259" s="501">
        <v>0</v>
      </c>
      <c r="AI259" s="501">
        <v>-0.01</v>
      </c>
      <c r="AJ259" s="501">
        <v>0</v>
      </c>
      <c r="AK259" s="501">
        <v>0</v>
      </c>
      <c r="AL259" s="501">
        <f t="shared" si="318"/>
        <v>-0.01</v>
      </c>
      <c r="AM259" s="501">
        <f t="shared" si="319"/>
        <v>0</v>
      </c>
      <c r="AN259" s="502">
        <f t="shared" si="268"/>
        <v>-0.01</v>
      </c>
      <c r="AO259" s="499">
        <f>I259+AF259</f>
        <v>794298</v>
      </c>
      <c r="AP259" s="486">
        <f>J259+V259</f>
        <v>584903</v>
      </c>
      <c r="AQ259" s="486">
        <f>K259+Y259</f>
        <v>0</v>
      </c>
      <c r="AR259" s="486">
        <f>L259</f>
        <v>0</v>
      </c>
      <c r="AS259" s="486">
        <f t="shared" si="320"/>
        <v>197697</v>
      </c>
      <c r="AT259" s="486">
        <f t="shared" si="320"/>
        <v>11698</v>
      </c>
      <c r="AU259" s="486">
        <f>O259+AE259</f>
        <v>0</v>
      </c>
      <c r="AV259" s="501">
        <f>P259+AN259</f>
        <v>1.71</v>
      </c>
      <c r="AW259" s="501">
        <f t="shared" si="321"/>
        <v>1.71</v>
      </c>
      <c r="AX259" s="502">
        <f t="shared" si="321"/>
        <v>0</v>
      </c>
    </row>
    <row r="260" spans="1:50" ht="14.1" customHeight="1" x14ac:dyDescent="0.2">
      <c r="A260" s="585">
        <v>54</v>
      </c>
      <c r="B260" s="586">
        <v>2434</v>
      </c>
      <c r="C260" s="587">
        <v>600079317</v>
      </c>
      <c r="D260" s="586">
        <v>46746480</v>
      </c>
      <c r="E260" s="588" t="s">
        <v>682</v>
      </c>
      <c r="F260" s="585">
        <v>3141</v>
      </c>
      <c r="G260" s="588" t="s">
        <v>321</v>
      </c>
      <c r="H260" s="589" t="s">
        <v>284</v>
      </c>
      <c r="I260" s="495">
        <v>2057132</v>
      </c>
      <c r="J260" s="496">
        <v>1507414</v>
      </c>
      <c r="K260" s="475">
        <v>0</v>
      </c>
      <c r="L260" s="475">
        <v>0</v>
      </c>
      <c r="M260" s="475">
        <v>509506</v>
      </c>
      <c r="N260" s="496">
        <v>30148</v>
      </c>
      <c r="O260" s="496">
        <v>10064</v>
      </c>
      <c r="P260" s="412">
        <v>5.129999999999999</v>
      </c>
      <c r="Q260" s="497">
        <v>0</v>
      </c>
      <c r="R260" s="498">
        <v>5.129999999999999</v>
      </c>
      <c r="S260" s="499">
        <v>0</v>
      </c>
      <c r="T260" s="486">
        <v>0</v>
      </c>
      <c r="U260" s="486">
        <v>0</v>
      </c>
      <c r="V260" s="486">
        <f>SUM(S260:U260)</f>
        <v>0</v>
      </c>
      <c r="W260" s="486">
        <v>0</v>
      </c>
      <c r="X260" s="486">
        <v>0</v>
      </c>
      <c r="Y260" s="486">
        <f>SUM(W260:X260)</f>
        <v>0</v>
      </c>
      <c r="Z260" s="486">
        <f>V260+Y260</f>
        <v>0</v>
      </c>
      <c r="AA260" s="178">
        <f t="shared" si="262"/>
        <v>0</v>
      </c>
      <c r="AB260" s="745">
        <f>ROUND(V260*2%,0)</f>
        <v>0</v>
      </c>
      <c r="AC260" s="486">
        <v>0</v>
      </c>
      <c r="AD260" s="486">
        <v>0</v>
      </c>
      <c r="AE260" s="486">
        <f t="shared" si="264"/>
        <v>0</v>
      </c>
      <c r="AF260" s="486">
        <f t="shared" si="265"/>
        <v>0</v>
      </c>
      <c r="AG260" s="501">
        <v>0</v>
      </c>
      <c r="AH260" s="501">
        <v>0</v>
      </c>
      <c r="AI260" s="501">
        <v>0</v>
      </c>
      <c r="AJ260" s="501">
        <v>0</v>
      </c>
      <c r="AK260" s="501">
        <v>0</v>
      </c>
      <c r="AL260" s="501">
        <f t="shared" si="318"/>
        <v>0</v>
      </c>
      <c r="AM260" s="501">
        <f t="shared" si="319"/>
        <v>0</v>
      </c>
      <c r="AN260" s="502">
        <f t="shared" si="268"/>
        <v>0</v>
      </c>
      <c r="AO260" s="499">
        <f>I260+AF260</f>
        <v>2057132</v>
      </c>
      <c r="AP260" s="486">
        <f>J260+V260</f>
        <v>1507414</v>
      </c>
      <c r="AQ260" s="486">
        <f>K260+Y260</f>
        <v>0</v>
      </c>
      <c r="AR260" s="486">
        <f>L260</f>
        <v>0</v>
      </c>
      <c r="AS260" s="486">
        <f t="shared" si="320"/>
        <v>509506</v>
      </c>
      <c r="AT260" s="486">
        <f t="shared" si="320"/>
        <v>30148</v>
      </c>
      <c r="AU260" s="486">
        <f>O260+AE260</f>
        <v>10064</v>
      </c>
      <c r="AV260" s="501">
        <f>P260+AN260</f>
        <v>5.129999999999999</v>
      </c>
      <c r="AW260" s="501">
        <f t="shared" si="321"/>
        <v>0</v>
      </c>
      <c r="AX260" s="502">
        <f t="shared" si="321"/>
        <v>5.129999999999999</v>
      </c>
    </row>
    <row r="261" spans="1:50" ht="14.1" customHeight="1" x14ac:dyDescent="0.2">
      <c r="A261" s="181">
        <v>54</v>
      </c>
      <c r="B261" s="179">
        <v>2434</v>
      </c>
      <c r="C261" s="180">
        <v>600079317</v>
      </c>
      <c r="D261" s="179">
        <v>46746480</v>
      </c>
      <c r="E261" s="578" t="s">
        <v>683</v>
      </c>
      <c r="F261" s="181"/>
      <c r="G261" s="578"/>
      <c r="H261" s="579"/>
      <c r="I261" s="580">
        <v>15861021</v>
      </c>
      <c r="J261" s="581">
        <v>11575373</v>
      </c>
      <c r="K261" s="581">
        <v>0</v>
      </c>
      <c r="L261" s="581">
        <v>0</v>
      </c>
      <c r="M261" s="581">
        <v>3912476</v>
      </c>
      <c r="N261" s="581">
        <v>231508</v>
      </c>
      <c r="O261" s="581">
        <v>141664</v>
      </c>
      <c r="P261" s="582">
        <v>29.499599999999997</v>
      </c>
      <c r="Q261" s="582">
        <v>17.72</v>
      </c>
      <c r="R261" s="584">
        <v>11.779599999999999</v>
      </c>
      <c r="S261" s="583">
        <f t="shared" ref="S261:AX261" si="322">SUM(S258:S260)</f>
        <v>0</v>
      </c>
      <c r="T261" s="581">
        <f t="shared" si="322"/>
        <v>-3780</v>
      </c>
      <c r="U261" s="581">
        <f t="shared" si="322"/>
        <v>0</v>
      </c>
      <c r="V261" s="581">
        <f t="shared" si="322"/>
        <v>-3780</v>
      </c>
      <c r="W261" s="581">
        <f t="shared" si="322"/>
        <v>0</v>
      </c>
      <c r="X261" s="581">
        <f t="shared" si="322"/>
        <v>0</v>
      </c>
      <c r="Y261" s="581">
        <f t="shared" si="322"/>
        <v>0</v>
      </c>
      <c r="Z261" s="581">
        <f t="shared" si="322"/>
        <v>-3780</v>
      </c>
      <c r="AA261" s="581">
        <f t="shared" si="322"/>
        <v>-1278</v>
      </c>
      <c r="AB261" s="583">
        <f t="shared" si="322"/>
        <v>-76</v>
      </c>
      <c r="AC261" s="581">
        <f t="shared" si="322"/>
        <v>0</v>
      </c>
      <c r="AD261" s="581">
        <f t="shared" si="322"/>
        <v>0</v>
      </c>
      <c r="AE261" s="581">
        <f t="shared" si="322"/>
        <v>0</v>
      </c>
      <c r="AF261" s="581">
        <f t="shared" si="322"/>
        <v>-5134</v>
      </c>
      <c r="AG261" s="582">
        <f t="shared" si="322"/>
        <v>0</v>
      </c>
      <c r="AH261" s="582">
        <f t="shared" si="322"/>
        <v>0</v>
      </c>
      <c r="AI261" s="582">
        <f t="shared" si="322"/>
        <v>-0.01</v>
      </c>
      <c r="AJ261" s="582">
        <f t="shared" si="322"/>
        <v>0</v>
      </c>
      <c r="AK261" s="582">
        <f t="shared" si="322"/>
        <v>0</v>
      </c>
      <c r="AL261" s="582">
        <f t="shared" si="322"/>
        <v>-0.01</v>
      </c>
      <c r="AM261" s="582">
        <f t="shared" si="322"/>
        <v>0</v>
      </c>
      <c r="AN261" s="584">
        <f t="shared" si="322"/>
        <v>-0.01</v>
      </c>
      <c r="AO261" s="583">
        <f t="shared" si="322"/>
        <v>15855887</v>
      </c>
      <c r="AP261" s="581">
        <f t="shared" si="322"/>
        <v>11571593</v>
      </c>
      <c r="AQ261" s="581">
        <f t="shared" si="322"/>
        <v>0</v>
      </c>
      <c r="AR261" s="581">
        <f t="shared" si="322"/>
        <v>0</v>
      </c>
      <c r="AS261" s="581">
        <f t="shared" si="322"/>
        <v>3911198</v>
      </c>
      <c r="AT261" s="581">
        <f t="shared" si="322"/>
        <v>231432</v>
      </c>
      <c r="AU261" s="581">
        <f t="shared" si="322"/>
        <v>141664</v>
      </c>
      <c r="AV261" s="582">
        <f t="shared" si="322"/>
        <v>29.489599999999999</v>
      </c>
      <c r="AW261" s="582">
        <f t="shared" si="322"/>
        <v>17.71</v>
      </c>
      <c r="AX261" s="584">
        <f t="shared" si="322"/>
        <v>11.779599999999999</v>
      </c>
    </row>
    <row r="262" spans="1:50" ht="14.1" customHeight="1" x14ac:dyDescent="0.2">
      <c r="A262" s="585">
        <v>55</v>
      </c>
      <c r="B262" s="586">
        <v>2484</v>
      </c>
      <c r="C262" s="587">
        <v>600079864</v>
      </c>
      <c r="D262" s="586">
        <v>46746145</v>
      </c>
      <c r="E262" s="588" t="s">
        <v>684</v>
      </c>
      <c r="F262" s="585">
        <v>3113</v>
      </c>
      <c r="G262" s="588" t="s">
        <v>320</v>
      </c>
      <c r="H262" s="589" t="s">
        <v>283</v>
      </c>
      <c r="I262" s="495">
        <v>39314067</v>
      </c>
      <c r="J262" s="411">
        <v>27201153</v>
      </c>
      <c r="K262" s="520">
        <v>617634</v>
      </c>
      <c r="L262" s="520">
        <v>412698</v>
      </c>
      <c r="M262" s="475">
        <v>9263257</v>
      </c>
      <c r="N262" s="496">
        <v>544023</v>
      </c>
      <c r="O262" s="411">
        <v>1688000</v>
      </c>
      <c r="P262" s="412">
        <v>52.634900000000002</v>
      </c>
      <c r="Q262" s="415">
        <v>39.75</v>
      </c>
      <c r="R262" s="685">
        <v>12.8849</v>
      </c>
      <c r="S262" s="499">
        <v>60000</v>
      </c>
      <c r="T262" s="486">
        <v>0</v>
      </c>
      <c r="U262" s="486">
        <v>0</v>
      </c>
      <c r="V262" s="486">
        <f>SUM(S262:U262)</f>
        <v>60000</v>
      </c>
      <c r="W262" s="486">
        <v>-60000</v>
      </c>
      <c r="X262" s="486">
        <v>0</v>
      </c>
      <c r="Y262" s="486">
        <f>SUM(W262:X262)</f>
        <v>-60000</v>
      </c>
      <c r="Z262" s="486">
        <f>V262+Y262</f>
        <v>0</v>
      </c>
      <c r="AA262" s="178">
        <f t="shared" si="262"/>
        <v>0</v>
      </c>
      <c r="AB262" s="745">
        <f>ROUND(V262*2%,0)</f>
        <v>1200</v>
      </c>
      <c r="AC262" s="486">
        <v>0</v>
      </c>
      <c r="AD262" s="486">
        <v>0</v>
      </c>
      <c r="AE262" s="486">
        <f t="shared" si="264"/>
        <v>0</v>
      </c>
      <c r="AF262" s="486">
        <f t="shared" si="265"/>
        <v>1200</v>
      </c>
      <c r="AG262" s="501">
        <v>0</v>
      </c>
      <c r="AH262" s="501">
        <v>0</v>
      </c>
      <c r="AI262" s="501">
        <v>0</v>
      </c>
      <c r="AJ262" s="501">
        <v>0</v>
      </c>
      <c r="AK262" s="501">
        <v>0</v>
      </c>
      <c r="AL262" s="501">
        <f t="shared" ref="AL262:AL266" si="323">AG262+AI262+AJ262</f>
        <v>0</v>
      </c>
      <c r="AM262" s="501">
        <f t="shared" ref="AM262:AM266" si="324">AH262+AK262</f>
        <v>0</v>
      </c>
      <c r="AN262" s="502">
        <f t="shared" si="268"/>
        <v>0</v>
      </c>
      <c r="AO262" s="499">
        <f>I262+AF262</f>
        <v>39315267</v>
      </c>
      <c r="AP262" s="486">
        <f>J262+V262</f>
        <v>27261153</v>
      </c>
      <c r="AQ262" s="486">
        <f>K262+Y262</f>
        <v>557634</v>
      </c>
      <c r="AR262" s="486">
        <f>L262</f>
        <v>412698</v>
      </c>
      <c r="AS262" s="486">
        <f t="shared" ref="AS262:AT266" si="325">M262+AA262</f>
        <v>9263257</v>
      </c>
      <c r="AT262" s="486">
        <f t="shared" si="325"/>
        <v>545223</v>
      </c>
      <c r="AU262" s="486">
        <f>O262+AE262</f>
        <v>1688000</v>
      </c>
      <c r="AV262" s="501">
        <f>P262+AN262</f>
        <v>52.634900000000002</v>
      </c>
      <c r="AW262" s="501">
        <f t="shared" ref="AW262:AX266" si="326">Q262+AL262</f>
        <v>39.75</v>
      </c>
      <c r="AX262" s="502">
        <f t="shared" si="326"/>
        <v>12.8849</v>
      </c>
    </row>
    <row r="263" spans="1:50" ht="14.1" customHeight="1" x14ac:dyDescent="0.2">
      <c r="A263" s="585">
        <v>55</v>
      </c>
      <c r="B263" s="586">
        <v>2484</v>
      </c>
      <c r="C263" s="587">
        <v>600079864</v>
      </c>
      <c r="D263" s="586">
        <v>46746145</v>
      </c>
      <c r="E263" s="588" t="s">
        <v>684</v>
      </c>
      <c r="F263" s="585">
        <v>3113</v>
      </c>
      <c r="G263" s="208" t="s">
        <v>318</v>
      </c>
      <c r="H263" s="589" t="s">
        <v>284</v>
      </c>
      <c r="I263" s="495">
        <v>3038297</v>
      </c>
      <c r="J263" s="496">
        <v>2233870</v>
      </c>
      <c r="K263" s="475">
        <v>0</v>
      </c>
      <c r="L263" s="475">
        <v>0</v>
      </c>
      <c r="M263" s="475">
        <v>755049</v>
      </c>
      <c r="N263" s="496">
        <v>44678</v>
      </c>
      <c r="O263" s="496">
        <v>4700</v>
      </c>
      <c r="P263" s="412">
        <v>6.4300000000000006</v>
      </c>
      <c r="Q263" s="497">
        <v>6.4300000000000006</v>
      </c>
      <c r="R263" s="498">
        <v>0</v>
      </c>
      <c r="S263" s="499">
        <v>0</v>
      </c>
      <c r="T263" s="486">
        <v>3780</v>
      </c>
      <c r="U263" s="486">
        <v>0</v>
      </c>
      <c r="V263" s="486">
        <f>SUM(S263:U263)</f>
        <v>3780</v>
      </c>
      <c r="W263" s="486">
        <v>0</v>
      </c>
      <c r="X263" s="486">
        <v>0</v>
      </c>
      <c r="Y263" s="486">
        <f>SUM(W263:X263)</f>
        <v>0</v>
      </c>
      <c r="Z263" s="486">
        <f>V263+Y263</f>
        <v>3780</v>
      </c>
      <c r="AA263" s="178">
        <f t="shared" si="262"/>
        <v>1278</v>
      </c>
      <c r="AB263" s="745">
        <f>ROUND(V263*2%,0)</f>
        <v>76</v>
      </c>
      <c r="AC263" s="486">
        <v>0</v>
      </c>
      <c r="AD263" s="486">
        <v>0</v>
      </c>
      <c r="AE263" s="486">
        <f t="shared" si="264"/>
        <v>0</v>
      </c>
      <c r="AF263" s="486">
        <f t="shared" si="265"/>
        <v>5134</v>
      </c>
      <c r="AG263" s="501">
        <v>0</v>
      </c>
      <c r="AH263" s="501">
        <v>0</v>
      </c>
      <c r="AI263" s="501">
        <v>0.01</v>
      </c>
      <c r="AJ263" s="501">
        <v>0</v>
      </c>
      <c r="AK263" s="501">
        <v>0</v>
      </c>
      <c r="AL263" s="501">
        <f t="shared" si="323"/>
        <v>0.01</v>
      </c>
      <c r="AM263" s="501">
        <f t="shared" si="324"/>
        <v>0</v>
      </c>
      <c r="AN263" s="502">
        <f t="shared" si="268"/>
        <v>0.01</v>
      </c>
      <c r="AO263" s="499">
        <f>I263+AF263</f>
        <v>3043431</v>
      </c>
      <c r="AP263" s="486">
        <f>J263+V263</f>
        <v>2237650</v>
      </c>
      <c r="AQ263" s="486">
        <f>K263+Y263</f>
        <v>0</v>
      </c>
      <c r="AR263" s="486">
        <f>L263</f>
        <v>0</v>
      </c>
      <c r="AS263" s="486">
        <f t="shared" si="325"/>
        <v>756327</v>
      </c>
      <c r="AT263" s="486">
        <f t="shared" si="325"/>
        <v>44754</v>
      </c>
      <c r="AU263" s="486">
        <f>O263+AE263</f>
        <v>4700</v>
      </c>
      <c r="AV263" s="501">
        <f>P263+AN263</f>
        <v>6.44</v>
      </c>
      <c r="AW263" s="501">
        <f t="shared" si="326"/>
        <v>6.44</v>
      </c>
      <c r="AX263" s="502">
        <f t="shared" si="326"/>
        <v>0</v>
      </c>
    </row>
    <row r="264" spans="1:50" ht="14.1" customHeight="1" x14ac:dyDescent="0.2">
      <c r="A264" s="585">
        <v>55</v>
      </c>
      <c r="B264" s="586">
        <v>2484</v>
      </c>
      <c r="C264" s="587">
        <v>600079864</v>
      </c>
      <c r="D264" s="586">
        <v>46746145</v>
      </c>
      <c r="E264" s="588" t="s">
        <v>684</v>
      </c>
      <c r="F264" s="585">
        <v>3141</v>
      </c>
      <c r="G264" s="588" t="s">
        <v>321</v>
      </c>
      <c r="H264" s="589" t="s">
        <v>284</v>
      </c>
      <c r="I264" s="495">
        <v>3442656</v>
      </c>
      <c r="J264" s="496">
        <v>2479781</v>
      </c>
      <c r="K264" s="475">
        <v>30000</v>
      </c>
      <c r="L264" s="475">
        <v>0</v>
      </c>
      <c r="M264" s="475">
        <v>848306</v>
      </c>
      <c r="N264" s="496">
        <v>49595</v>
      </c>
      <c r="O264" s="496">
        <v>34974</v>
      </c>
      <c r="P264" s="412">
        <v>8.51</v>
      </c>
      <c r="Q264" s="497">
        <v>0</v>
      </c>
      <c r="R264" s="498">
        <v>8.51</v>
      </c>
      <c r="S264" s="499">
        <v>0</v>
      </c>
      <c r="T264" s="486">
        <v>0</v>
      </c>
      <c r="U264" s="486">
        <v>0</v>
      </c>
      <c r="V264" s="486">
        <f>SUM(S264:U264)</f>
        <v>0</v>
      </c>
      <c r="W264" s="486">
        <v>0</v>
      </c>
      <c r="X264" s="486">
        <v>0</v>
      </c>
      <c r="Y264" s="486">
        <f>SUM(W264:X264)</f>
        <v>0</v>
      </c>
      <c r="Z264" s="486">
        <f>V264+Y264</f>
        <v>0</v>
      </c>
      <c r="AA264" s="178">
        <f t="shared" si="262"/>
        <v>0</v>
      </c>
      <c r="AB264" s="745">
        <f>ROUND(V264*2%,0)</f>
        <v>0</v>
      </c>
      <c r="AC264" s="486">
        <v>0</v>
      </c>
      <c r="AD264" s="486">
        <v>0</v>
      </c>
      <c r="AE264" s="486">
        <f t="shared" si="264"/>
        <v>0</v>
      </c>
      <c r="AF264" s="486">
        <f t="shared" si="265"/>
        <v>0</v>
      </c>
      <c r="AG264" s="501">
        <v>0</v>
      </c>
      <c r="AH264" s="501">
        <v>0</v>
      </c>
      <c r="AI264" s="501">
        <v>0</v>
      </c>
      <c r="AJ264" s="501">
        <v>0</v>
      </c>
      <c r="AK264" s="501">
        <v>0</v>
      </c>
      <c r="AL264" s="501">
        <f t="shared" si="323"/>
        <v>0</v>
      </c>
      <c r="AM264" s="501">
        <f t="shared" si="324"/>
        <v>0</v>
      </c>
      <c r="AN264" s="502">
        <f t="shared" si="268"/>
        <v>0</v>
      </c>
      <c r="AO264" s="499">
        <f>I264+AF264</f>
        <v>3442656</v>
      </c>
      <c r="AP264" s="486">
        <f>J264+V264</f>
        <v>2479781</v>
      </c>
      <c r="AQ264" s="486">
        <f>K264+Y264</f>
        <v>30000</v>
      </c>
      <c r="AR264" s="486">
        <f>L264</f>
        <v>0</v>
      </c>
      <c r="AS264" s="486">
        <f t="shared" si="325"/>
        <v>848306</v>
      </c>
      <c r="AT264" s="486">
        <f t="shared" si="325"/>
        <v>49595</v>
      </c>
      <c r="AU264" s="486">
        <f>O264+AE264</f>
        <v>34974</v>
      </c>
      <c r="AV264" s="501">
        <f>P264+AN264</f>
        <v>8.51</v>
      </c>
      <c r="AW264" s="501">
        <f t="shared" si="326"/>
        <v>0</v>
      </c>
      <c r="AX264" s="502">
        <f t="shared" si="326"/>
        <v>8.51</v>
      </c>
    </row>
    <row r="265" spans="1:50" ht="14.1" customHeight="1" x14ac:dyDescent="0.2">
      <c r="A265" s="585">
        <v>55</v>
      </c>
      <c r="B265" s="586">
        <v>2484</v>
      </c>
      <c r="C265" s="587">
        <v>600079864</v>
      </c>
      <c r="D265" s="586">
        <v>46746145</v>
      </c>
      <c r="E265" s="588" t="s">
        <v>684</v>
      </c>
      <c r="F265" s="585">
        <v>3143</v>
      </c>
      <c r="G265" s="208" t="s">
        <v>634</v>
      </c>
      <c r="H265" s="589" t="s">
        <v>283</v>
      </c>
      <c r="I265" s="495">
        <v>4508413</v>
      </c>
      <c r="J265" s="411">
        <v>3290333</v>
      </c>
      <c r="K265" s="520">
        <v>30000</v>
      </c>
      <c r="L265" s="520">
        <v>0</v>
      </c>
      <c r="M265" s="475">
        <v>1122273</v>
      </c>
      <c r="N265" s="496">
        <v>65807</v>
      </c>
      <c r="O265" s="496">
        <v>0</v>
      </c>
      <c r="P265" s="412">
        <v>7.2419000000000002</v>
      </c>
      <c r="Q265" s="415">
        <v>7.2419000000000002</v>
      </c>
      <c r="R265" s="498">
        <v>0</v>
      </c>
      <c r="S265" s="499">
        <v>0</v>
      </c>
      <c r="T265" s="486">
        <v>0</v>
      </c>
      <c r="U265" s="486">
        <v>0</v>
      </c>
      <c r="V265" s="486">
        <f>SUM(S265:U265)</f>
        <v>0</v>
      </c>
      <c r="W265" s="486">
        <v>0</v>
      </c>
      <c r="X265" s="486">
        <v>0</v>
      </c>
      <c r="Y265" s="486">
        <f>SUM(W265:X265)</f>
        <v>0</v>
      </c>
      <c r="Z265" s="486">
        <f>V265+Y265</f>
        <v>0</v>
      </c>
      <c r="AA265" s="178">
        <f t="shared" si="262"/>
        <v>0</v>
      </c>
      <c r="AB265" s="745">
        <f>ROUND(V265*2%,0)</f>
        <v>0</v>
      </c>
      <c r="AC265" s="486">
        <v>0</v>
      </c>
      <c r="AD265" s="486">
        <v>0</v>
      </c>
      <c r="AE265" s="486">
        <f t="shared" si="264"/>
        <v>0</v>
      </c>
      <c r="AF265" s="486">
        <f t="shared" si="265"/>
        <v>0</v>
      </c>
      <c r="AG265" s="501">
        <v>0</v>
      </c>
      <c r="AH265" s="501">
        <v>0</v>
      </c>
      <c r="AI265" s="501">
        <v>0</v>
      </c>
      <c r="AJ265" s="501">
        <v>0</v>
      </c>
      <c r="AK265" s="501">
        <v>0</v>
      </c>
      <c r="AL265" s="501">
        <f t="shared" si="323"/>
        <v>0</v>
      </c>
      <c r="AM265" s="501">
        <f t="shared" si="324"/>
        <v>0</v>
      </c>
      <c r="AN265" s="502">
        <f t="shared" si="268"/>
        <v>0</v>
      </c>
      <c r="AO265" s="499">
        <f>I265+AF265</f>
        <v>4508413</v>
      </c>
      <c r="AP265" s="486">
        <f>J265+V265</f>
        <v>3290333</v>
      </c>
      <c r="AQ265" s="486">
        <f>K265+Y265</f>
        <v>30000</v>
      </c>
      <c r="AR265" s="486">
        <f>L265</f>
        <v>0</v>
      </c>
      <c r="AS265" s="486">
        <f t="shared" si="325"/>
        <v>1122273</v>
      </c>
      <c r="AT265" s="486">
        <f t="shared" si="325"/>
        <v>65807</v>
      </c>
      <c r="AU265" s="486">
        <f>O265+AE265</f>
        <v>0</v>
      </c>
      <c r="AV265" s="501">
        <f>P265+AN265</f>
        <v>7.2419000000000002</v>
      </c>
      <c r="AW265" s="501">
        <f t="shared" si="326"/>
        <v>7.2419000000000002</v>
      </c>
      <c r="AX265" s="502">
        <f t="shared" si="326"/>
        <v>0</v>
      </c>
    </row>
    <row r="266" spans="1:50" ht="14.1" customHeight="1" x14ac:dyDescent="0.2">
      <c r="A266" s="585">
        <v>55</v>
      </c>
      <c r="B266" s="586">
        <v>2484</v>
      </c>
      <c r="C266" s="587">
        <v>600079864</v>
      </c>
      <c r="D266" s="586">
        <v>46746145</v>
      </c>
      <c r="E266" s="588" t="s">
        <v>684</v>
      </c>
      <c r="F266" s="585">
        <v>3143</v>
      </c>
      <c r="G266" s="208" t="s">
        <v>635</v>
      </c>
      <c r="H266" s="589" t="s">
        <v>284</v>
      </c>
      <c r="I266" s="495">
        <v>135527</v>
      </c>
      <c r="J266" s="496">
        <v>95535</v>
      </c>
      <c r="K266" s="475">
        <v>0</v>
      </c>
      <c r="L266" s="475">
        <v>0</v>
      </c>
      <c r="M266" s="475">
        <v>32291</v>
      </c>
      <c r="N266" s="496">
        <v>1911</v>
      </c>
      <c r="O266" s="496">
        <v>5790</v>
      </c>
      <c r="P266" s="412">
        <v>0.4</v>
      </c>
      <c r="Q266" s="497">
        <v>0</v>
      </c>
      <c r="R266" s="498">
        <v>0.4</v>
      </c>
      <c r="S266" s="499">
        <v>0</v>
      </c>
      <c r="T266" s="486">
        <v>0</v>
      </c>
      <c r="U266" s="486">
        <v>0</v>
      </c>
      <c r="V266" s="486">
        <f>SUM(S266:U266)</f>
        <v>0</v>
      </c>
      <c r="W266" s="486">
        <v>0</v>
      </c>
      <c r="X266" s="486">
        <v>0</v>
      </c>
      <c r="Y266" s="486">
        <f>SUM(W266:X266)</f>
        <v>0</v>
      </c>
      <c r="Z266" s="486">
        <f>V266+Y266</f>
        <v>0</v>
      </c>
      <c r="AA266" s="178">
        <f t="shared" si="262"/>
        <v>0</v>
      </c>
      <c r="AB266" s="745">
        <f>ROUND(V266*2%,0)</f>
        <v>0</v>
      </c>
      <c r="AC266" s="486">
        <v>0</v>
      </c>
      <c r="AD266" s="486">
        <v>0</v>
      </c>
      <c r="AE266" s="486">
        <f t="shared" si="264"/>
        <v>0</v>
      </c>
      <c r="AF266" s="486">
        <f t="shared" si="265"/>
        <v>0</v>
      </c>
      <c r="AG266" s="501">
        <v>0</v>
      </c>
      <c r="AH266" s="501">
        <v>0</v>
      </c>
      <c r="AI266" s="501">
        <v>0</v>
      </c>
      <c r="AJ266" s="501">
        <v>0</v>
      </c>
      <c r="AK266" s="501">
        <v>0</v>
      </c>
      <c r="AL266" s="501">
        <f t="shared" si="323"/>
        <v>0</v>
      </c>
      <c r="AM266" s="501">
        <f t="shared" si="324"/>
        <v>0</v>
      </c>
      <c r="AN266" s="502">
        <f t="shared" si="268"/>
        <v>0</v>
      </c>
      <c r="AO266" s="499">
        <f>I266+AF266</f>
        <v>135527</v>
      </c>
      <c r="AP266" s="486">
        <f>J266+V266</f>
        <v>95535</v>
      </c>
      <c r="AQ266" s="486">
        <f>K266+Y266</f>
        <v>0</v>
      </c>
      <c r="AR266" s="486">
        <f>L266</f>
        <v>0</v>
      </c>
      <c r="AS266" s="486">
        <f t="shared" si="325"/>
        <v>32291</v>
      </c>
      <c r="AT266" s="486">
        <f t="shared" si="325"/>
        <v>1911</v>
      </c>
      <c r="AU266" s="486">
        <f>O266+AE266</f>
        <v>5790</v>
      </c>
      <c r="AV266" s="501">
        <f>P266+AN266</f>
        <v>0.4</v>
      </c>
      <c r="AW266" s="501">
        <f t="shared" si="326"/>
        <v>0</v>
      </c>
      <c r="AX266" s="502">
        <f t="shared" si="326"/>
        <v>0.4</v>
      </c>
    </row>
    <row r="267" spans="1:50" ht="14.1" customHeight="1" x14ac:dyDescent="0.2">
      <c r="A267" s="181">
        <v>55</v>
      </c>
      <c r="B267" s="179">
        <v>2484</v>
      </c>
      <c r="C267" s="180">
        <v>600079864</v>
      </c>
      <c r="D267" s="179">
        <v>46746145</v>
      </c>
      <c r="E267" s="578" t="s">
        <v>685</v>
      </c>
      <c r="F267" s="181"/>
      <c r="G267" s="578"/>
      <c r="H267" s="579"/>
      <c r="I267" s="580">
        <v>50438960</v>
      </c>
      <c r="J267" s="581">
        <v>35300672</v>
      </c>
      <c r="K267" s="581">
        <v>677634</v>
      </c>
      <c r="L267" s="581">
        <v>412698</v>
      </c>
      <c r="M267" s="581">
        <v>12021176</v>
      </c>
      <c r="N267" s="581">
        <v>706014</v>
      </c>
      <c r="O267" s="581">
        <v>1733464</v>
      </c>
      <c r="P267" s="582">
        <v>75.216800000000006</v>
      </c>
      <c r="Q267" s="582">
        <v>53.421900000000001</v>
      </c>
      <c r="R267" s="584">
        <v>21.794899999999998</v>
      </c>
      <c r="S267" s="583">
        <f t="shared" ref="S267:AX267" si="327">SUM(S262:S266)</f>
        <v>60000</v>
      </c>
      <c r="T267" s="581">
        <f t="shared" si="327"/>
        <v>3780</v>
      </c>
      <c r="U267" s="581">
        <f t="shared" si="327"/>
        <v>0</v>
      </c>
      <c r="V267" s="581">
        <f t="shared" si="327"/>
        <v>63780</v>
      </c>
      <c r="W267" s="581">
        <f t="shared" si="327"/>
        <v>-60000</v>
      </c>
      <c r="X267" s="581">
        <f t="shared" si="327"/>
        <v>0</v>
      </c>
      <c r="Y267" s="581">
        <f t="shared" si="327"/>
        <v>-60000</v>
      </c>
      <c r="Z267" s="581">
        <f t="shared" si="327"/>
        <v>3780</v>
      </c>
      <c r="AA267" s="581">
        <f t="shared" si="327"/>
        <v>1278</v>
      </c>
      <c r="AB267" s="583">
        <f t="shared" si="327"/>
        <v>1276</v>
      </c>
      <c r="AC267" s="581">
        <f t="shared" si="327"/>
        <v>0</v>
      </c>
      <c r="AD267" s="581">
        <f t="shared" si="327"/>
        <v>0</v>
      </c>
      <c r="AE267" s="581">
        <f t="shared" si="327"/>
        <v>0</v>
      </c>
      <c r="AF267" s="581">
        <f t="shared" si="327"/>
        <v>6334</v>
      </c>
      <c r="AG267" s="582">
        <f t="shared" si="327"/>
        <v>0</v>
      </c>
      <c r="AH267" s="582">
        <f t="shared" si="327"/>
        <v>0</v>
      </c>
      <c r="AI267" s="582">
        <f t="shared" si="327"/>
        <v>0.01</v>
      </c>
      <c r="AJ267" s="582">
        <f t="shared" si="327"/>
        <v>0</v>
      </c>
      <c r="AK267" s="582">
        <f t="shared" si="327"/>
        <v>0</v>
      </c>
      <c r="AL267" s="582">
        <f t="shared" si="327"/>
        <v>0.01</v>
      </c>
      <c r="AM267" s="582">
        <f t="shared" si="327"/>
        <v>0</v>
      </c>
      <c r="AN267" s="584">
        <f t="shared" si="327"/>
        <v>0.01</v>
      </c>
      <c r="AO267" s="583">
        <f t="shared" si="327"/>
        <v>50445294</v>
      </c>
      <c r="AP267" s="581">
        <f t="shared" si="327"/>
        <v>35364452</v>
      </c>
      <c r="AQ267" s="581">
        <f t="shared" si="327"/>
        <v>617634</v>
      </c>
      <c r="AR267" s="581">
        <f t="shared" si="327"/>
        <v>412698</v>
      </c>
      <c r="AS267" s="581">
        <f t="shared" si="327"/>
        <v>12022454</v>
      </c>
      <c r="AT267" s="581">
        <f t="shared" si="327"/>
        <v>707290</v>
      </c>
      <c r="AU267" s="581">
        <f t="shared" si="327"/>
        <v>1733464</v>
      </c>
      <c r="AV267" s="582">
        <f t="shared" si="327"/>
        <v>75.226800000000011</v>
      </c>
      <c r="AW267" s="582">
        <f t="shared" si="327"/>
        <v>53.431899999999999</v>
      </c>
      <c r="AX267" s="584">
        <f t="shared" si="327"/>
        <v>21.794899999999998</v>
      </c>
    </row>
    <row r="268" spans="1:50" ht="14.1" customHeight="1" x14ac:dyDescent="0.2">
      <c r="A268" s="585">
        <v>56</v>
      </c>
      <c r="B268" s="586">
        <v>2401</v>
      </c>
      <c r="C268" s="587">
        <v>600079597</v>
      </c>
      <c r="D268" s="586">
        <v>72741538</v>
      </c>
      <c r="E268" s="588" t="s">
        <v>686</v>
      </c>
      <c r="F268" s="585">
        <v>3111</v>
      </c>
      <c r="G268" s="588" t="s">
        <v>317</v>
      </c>
      <c r="H268" s="589" t="s">
        <v>283</v>
      </c>
      <c r="I268" s="495">
        <v>3295978</v>
      </c>
      <c r="J268" s="411">
        <v>2329430</v>
      </c>
      <c r="K268" s="520">
        <v>74000</v>
      </c>
      <c r="L268" s="520">
        <v>0</v>
      </c>
      <c r="M268" s="475">
        <v>812359</v>
      </c>
      <c r="N268" s="496">
        <v>46589</v>
      </c>
      <c r="O268" s="411">
        <v>33600</v>
      </c>
      <c r="P268" s="412">
        <v>5.2698</v>
      </c>
      <c r="Q268" s="415">
        <v>3.87</v>
      </c>
      <c r="R268" s="685">
        <v>1.3998000000000002</v>
      </c>
      <c r="S268" s="499">
        <v>0</v>
      </c>
      <c r="T268" s="486">
        <v>0</v>
      </c>
      <c r="U268" s="486">
        <v>0</v>
      </c>
      <c r="V268" s="486">
        <f>SUM(S268:U268)</f>
        <v>0</v>
      </c>
      <c r="W268" s="486">
        <v>0</v>
      </c>
      <c r="X268" s="486">
        <v>0</v>
      </c>
      <c r="Y268" s="486">
        <f>SUM(W268:X268)</f>
        <v>0</v>
      </c>
      <c r="Z268" s="486">
        <f>V268+Y268</f>
        <v>0</v>
      </c>
      <c r="AA268" s="178">
        <f t="shared" si="262"/>
        <v>0</v>
      </c>
      <c r="AB268" s="745">
        <f>ROUND(V268*2%,0)</f>
        <v>0</v>
      </c>
      <c r="AC268" s="486">
        <v>0</v>
      </c>
      <c r="AD268" s="486">
        <v>0</v>
      </c>
      <c r="AE268" s="486">
        <f t="shared" si="264"/>
        <v>0</v>
      </c>
      <c r="AF268" s="486">
        <f t="shared" si="265"/>
        <v>0</v>
      </c>
      <c r="AG268" s="501">
        <v>0</v>
      </c>
      <c r="AH268" s="501">
        <v>0</v>
      </c>
      <c r="AI268" s="501">
        <v>0</v>
      </c>
      <c r="AJ268" s="501">
        <v>0</v>
      </c>
      <c r="AK268" s="501">
        <v>0</v>
      </c>
      <c r="AL268" s="501">
        <f t="shared" ref="AL268:AL270" si="328">AG268+AI268+AJ268</f>
        <v>0</v>
      </c>
      <c r="AM268" s="501">
        <f t="shared" ref="AM268:AM270" si="329">AH268+AK268</f>
        <v>0</v>
      </c>
      <c r="AN268" s="502">
        <f t="shared" si="268"/>
        <v>0</v>
      </c>
      <c r="AO268" s="499">
        <f>I268+AF268</f>
        <v>3295978</v>
      </c>
      <c r="AP268" s="486">
        <f>J268+V268</f>
        <v>2329430</v>
      </c>
      <c r="AQ268" s="486">
        <f>K268+Y268</f>
        <v>74000</v>
      </c>
      <c r="AR268" s="486">
        <f>L268</f>
        <v>0</v>
      </c>
      <c r="AS268" s="486">
        <f t="shared" ref="AS268:AT270" si="330">M268+AA268</f>
        <v>812359</v>
      </c>
      <c r="AT268" s="486">
        <f t="shared" si="330"/>
        <v>46589</v>
      </c>
      <c r="AU268" s="486">
        <f>O268+AE268</f>
        <v>33600</v>
      </c>
      <c r="AV268" s="501">
        <f>P268+AN268</f>
        <v>5.2698</v>
      </c>
      <c r="AW268" s="501">
        <f t="shared" ref="AW268:AX270" si="331">Q268+AL268</f>
        <v>3.87</v>
      </c>
      <c r="AX268" s="502">
        <f t="shared" si="331"/>
        <v>1.3998000000000002</v>
      </c>
    </row>
    <row r="269" spans="1:50" ht="14.1" customHeight="1" x14ac:dyDescent="0.2">
      <c r="A269" s="585">
        <v>56</v>
      </c>
      <c r="B269" s="586">
        <v>2401</v>
      </c>
      <c r="C269" s="587">
        <v>600079597</v>
      </c>
      <c r="D269" s="586">
        <v>72741538</v>
      </c>
      <c r="E269" s="588" t="s">
        <v>686</v>
      </c>
      <c r="F269" s="585">
        <v>3111</v>
      </c>
      <c r="G269" s="588" t="s">
        <v>318</v>
      </c>
      <c r="H269" s="589" t="s">
        <v>284</v>
      </c>
      <c r="I269" s="495">
        <v>306522</v>
      </c>
      <c r="J269" s="496">
        <v>224611</v>
      </c>
      <c r="K269" s="475">
        <v>0</v>
      </c>
      <c r="L269" s="475">
        <v>0</v>
      </c>
      <c r="M269" s="475">
        <v>75919</v>
      </c>
      <c r="N269" s="496">
        <v>4492</v>
      </c>
      <c r="O269" s="496">
        <v>1500</v>
      </c>
      <c r="P269" s="412">
        <v>0.62</v>
      </c>
      <c r="Q269" s="497">
        <v>0.62</v>
      </c>
      <c r="R269" s="498">
        <v>0</v>
      </c>
      <c r="S269" s="499">
        <v>0</v>
      </c>
      <c r="T269" s="486">
        <v>0</v>
      </c>
      <c r="U269" s="486">
        <v>0</v>
      </c>
      <c r="V269" s="486">
        <f>SUM(S269:U269)</f>
        <v>0</v>
      </c>
      <c r="W269" s="486">
        <v>0</v>
      </c>
      <c r="X269" s="486">
        <v>0</v>
      </c>
      <c r="Y269" s="486">
        <f>SUM(W269:X269)</f>
        <v>0</v>
      </c>
      <c r="Z269" s="486">
        <f>V269+Y269</f>
        <v>0</v>
      </c>
      <c r="AA269" s="178">
        <f t="shared" si="262"/>
        <v>0</v>
      </c>
      <c r="AB269" s="745">
        <f>ROUND(V269*2%,0)</f>
        <v>0</v>
      </c>
      <c r="AC269" s="486">
        <v>0</v>
      </c>
      <c r="AD269" s="486">
        <v>0</v>
      </c>
      <c r="AE269" s="486">
        <f t="shared" si="264"/>
        <v>0</v>
      </c>
      <c r="AF269" s="486">
        <f t="shared" si="265"/>
        <v>0</v>
      </c>
      <c r="AG269" s="501">
        <v>0</v>
      </c>
      <c r="AH269" s="501">
        <v>0</v>
      </c>
      <c r="AI269" s="501">
        <v>0</v>
      </c>
      <c r="AJ269" s="501">
        <v>0</v>
      </c>
      <c r="AK269" s="501">
        <v>0</v>
      </c>
      <c r="AL269" s="501">
        <f t="shared" si="328"/>
        <v>0</v>
      </c>
      <c r="AM269" s="501">
        <f t="shared" si="329"/>
        <v>0</v>
      </c>
      <c r="AN269" s="502">
        <f t="shared" si="268"/>
        <v>0</v>
      </c>
      <c r="AO269" s="499">
        <f>I269+AF269</f>
        <v>306522</v>
      </c>
      <c r="AP269" s="486">
        <f>J269+V269</f>
        <v>224611</v>
      </c>
      <c r="AQ269" s="486">
        <f>K269+Y269</f>
        <v>0</v>
      </c>
      <c r="AR269" s="486">
        <f>L269</f>
        <v>0</v>
      </c>
      <c r="AS269" s="486">
        <f t="shared" si="330"/>
        <v>75919</v>
      </c>
      <c r="AT269" s="486">
        <f t="shared" si="330"/>
        <v>4492</v>
      </c>
      <c r="AU269" s="486">
        <f>O269+AE269</f>
        <v>1500</v>
      </c>
      <c r="AV269" s="501">
        <f>P269+AN269</f>
        <v>0.62</v>
      </c>
      <c r="AW269" s="501">
        <f t="shared" si="331"/>
        <v>0.62</v>
      </c>
      <c r="AX269" s="502">
        <f t="shared" si="331"/>
        <v>0</v>
      </c>
    </row>
    <row r="270" spans="1:50" ht="14.1" customHeight="1" x14ac:dyDescent="0.2">
      <c r="A270" s="585">
        <v>56</v>
      </c>
      <c r="B270" s="586">
        <v>2401</v>
      </c>
      <c r="C270" s="587">
        <v>600079597</v>
      </c>
      <c r="D270" s="586">
        <v>72741538</v>
      </c>
      <c r="E270" s="588" t="s">
        <v>686</v>
      </c>
      <c r="F270" s="585">
        <v>3141</v>
      </c>
      <c r="G270" s="588" t="s">
        <v>321</v>
      </c>
      <c r="H270" s="589" t="s">
        <v>284</v>
      </c>
      <c r="I270" s="495">
        <v>589350</v>
      </c>
      <c r="J270" s="496">
        <v>432019</v>
      </c>
      <c r="K270" s="475">
        <v>0</v>
      </c>
      <c r="L270" s="475">
        <v>0</v>
      </c>
      <c r="M270" s="475">
        <v>146023</v>
      </c>
      <c r="N270" s="496">
        <v>8640</v>
      </c>
      <c r="O270" s="496">
        <v>2668</v>
      </c>
      <c r="P270" s="412">
        <v>1.47</v>
      </c>
      <c r="Q270" s="497">
        <v>0</v>
      </c>
      <c r="R270" s="498">
        <v>1.47</v>
      </c>
      <c r="S270" s="499">
        <v>0</v>
      </c>
      <c r="T270" s="486">
        <v>0</v>
      </c>
      <c r="U270" s="486">
        <v>0</v>
      </c>
      <c r="V270" s="486">
        <f>SUM(S270:U270)</f>
        <v>0</v>
      </c>
      <c r="W270" s="486">
        <v>0</v>
      </c>
      <c r="X270" s="486">
        <v>0</v>
      </c>
      <c r="Y270" s="486">
        <f>SUM(W270:X270)</f>
        <v>0</v>
      </c>
      <c r="Z270" s="486">
        <f>V270+Y270</f>
        <v>0</v>
      </c>
      <c r="AA270" s="178">
        <f t="shared" ref="AA270:AA333" si="332">ROUND((V270+W270)*33.8%,0)</f>
        <v>0</v>
      </c>
      <c r="AB270" s="745">
        <f>ROUND(V270*2%,0)</f>
        <v>0</v>
      </c>
      <c r="AC270" s="486">
        <v>0</v>
      </c>
      <c r="AD270" s="486">
        <v>0</v>
      </c>
      <c r="AE270" s="486">
        <f t="shared" si="264"/>
        <v>0</v>
      </c>
      <c r="AF270" s="486">
        <f t="shared" si="265"/>
        <v>0</v>
      </c>
      <c r="AG270" s="501">
        <v>0</v>
      </c>
      <c r="AH270" s="501">
        <v>0</v>
      </c>
      <c r="AI270" s="501">
        <v>0</v>
      </c>
      <c r="AJ270" s="501">
        <v>0</v>
      </c>
      <c r="AK270" s="501">
        <v>0</v>
      </c>
      <c r="AL270" s="501">
        <f t="shared" si="328"/>
        <v>0</v>
      </c>
      <c r="AM270" s="501">
        <f t="shared" si="329"/>
        <v>0</v>
      </c>
      <c r="AN270" s="502">
        <f t="shared" si="268"/>
        <v>0</v>
      </c>
      <c r="AO270" s="499">
        <f>I270+AF270</f>
        <v>589350</v>
      </c>
      <c r="AP270" s="486">
        <f>J270+V270</f>
        <v>432019</v>
      </c>
      <c r="AQ270" s="486">
        <f>K270+Y270</f>
        <v>0</v>
      </c>
      <c r="AR270" s="486">
        <f>L270</f>
        <v>0</v>
      </c>
      <c r="AS270" s="486">
        <f t="shared" si="330"/>
        <v>146023</v>
      </c>
      <c r="AT270" s="486">
        <f t="shared" si="330"/>
        <v>8640</v>
      </c>
      <c r="AU270" s="486">
        <f>O270+AE270</f>
        <v>2668</v>
      </c>
      <c r="AV270" s="501">
        <f>P270+AN270</f>
        <v>1.47</v>
      </c>
      <c r="AW270" s="501">
        <f t="shared" si="331"/>
        <v>0</v>
      </c>
      <c r="AX270" s="502">
        <f t="shared" si="331"/>
        <v>1.47</v>
      </c>
    </row>
    <row r="271" spans="1:50" ht="14.1" customHeight="1" x14ac:dyDescent="0.2">
      <c r="A271" s="181">
        <v>56</v>
      </c>
      <c r="B271" s="179">
        <v>2401</v>
      </c>
      <c r="C271" s="180">
        <v>600079597</v>
      </c>
      <c r="D271" s="179">
        <v>72741538</v>
      </c>
      <c r="E271" s="578" t="s">
        <v>687</v>
      </c>
      <c r="F271" s="181"/>
      <c r="G271" s="578"/>
      <c r="H271" s="579"/>
      <c r="I271" s="580">
        <v>4191850</v>
      </c>
      <c r="J271" s="581">
        <v>2986060</v>
      </c>
      <c r="K271" s="581">
        <v>74000</v>
      </c>
      <c r="L271" s="581">
        <v>0</v>
      </c>
      <c r="M271" s="581">
        <v>1034301</v>
      </c>
      <c r="N271" s="581">
        <v>59721</v>
      </c>
      <c r="O271" s="581">
        <v>37768</v>
      </c>
      <c r="P271" s="582">
        <v>7.3597999999999999</v>
      </c>
      <c r="Q271" s="582">
        <v>4.49</v>
      </c>
      <c r="R271" s="584">
        <v>2.8698000000000001</v>
      </c>
      <c r="S271" s="583">
        <f t="shared" ref="S271:AX271" si="333">SUM(S268:S270)</f>
        <v>0</v>
      </c>
      <c r="T271" s="581">
        <f t="shared" si="333"/>
        <v>0</v>
      </c>
      <c r="U271" s="581">
        <f t="shared" si="333"/>
        <v>0</v>
      </c>
      <c r="V271" s="581">
        <f t="shared" si="333"/>
        <v>0</v>
      </c>
      <c r="W271" s="581">
        <f t="shared" si="333"/>
        <v>0</v>
      </c>
      <c r="X271" s="581">
        <f t="shared" si="333"/>
        <v>0</v>
      </c>
      <c r="Y271" s="581">
        <f t="shared" si="333"/>
        <v>0</v>
      </c>
      <c r="Z271" s="581">
        <f t="shared" si="333"/>
        <v>0</v>
      </c>
      <c r="AA271" s="581">
        <f t="shared" si="333"/>
        <v>0</v>
      </c>
      <c r="AB271" s="583">
        <f t="shared" si="333"/>
        <v>0</v>
      </c>
      <c r="AC271" s="581">
        <f t="shared" si="333"/>
        <v>0</v>
      </c>
      <c r="AD271" s="581">
        <f t="shared" si="333"/>
        <v>0</v>
      </c>
      <c r="AE271" s="581">
        <f t="shared" si="333"/>
        <v>0</v>
      </c>
      <c r="AF271" s="581">
        <f t="shared" si="333"/>
        <v>0</v>
      </c>
      <c r="AG271" s="582">
        <f t="shared" si="333"/>
        <v>0</v>
      </c>
      <c r="AH271" s="582">
        <f t="shared" si="333"/>
        <v>0</v>
      </c>
      <c r="AI271" s="582">
        <f t="shared" si="333"/>
        <v>0</v>
      </c>
      <c r="AJ271" s="582">
        <f t="shared" si="333"/>
        <v>0</v>
      </c>
      <c r="AK271" s="582">
        <f t="shared" si="333"/>
        <v>0</v>
      </c>
      <c r="AL271" s="582">
        <f t="shared" si="333"/>
        <v>0</v>
      </c>
      <c r="AM271" s="582">
        <f t="shared" si="333"/>
        <v>0</v>
      </c>
      <c r="AN271" s="584">
        <f t="shared" si="333"/>
        <v>0</v>
      </c>
      <c r="AO271" s="583">
        <f t="shared" si="333"/>
        <v>4191850</v>
      </c>
      <c r="AP271" s="581">
        <f t="shared" si="333"/>
        <v>2986060</v>
      </c>
      <c r="AQ271" s="581">
        <f t="shared" si="333"/>
        <v>74000</v>
      </c>
      <c r="AR271" s="581">
        <f t="shared" si="333"/>
        <v>0</v>
      </c>
      <c r="AS271" s="581">
        <f t="shared" si="333"/>
        <v>1034301</v>
      </c>
      <c r="AT271" s="581">
        <f t="shared" si="333"/>
        <v>59721</v>
      </c>
      <c r="AU271" s="581">
        <f t="shared" si="333"/>
        <v>37768</v>
      </c>
      <c r="AV271" s="582">
        <f t="shared" si="333"/>
        <v>7.3597999999999999</v>
      </c>
      <c r="AW271" s="582">
        <f t="shared" si="333"/>
        <v>4.49</v>
      </c>
      <c r="AX271" s="584">
        <f t="shared" si="333"/>
        <v>2.8698000000000001</v>
      </c>
    </row>
    <row r="272" spans="1:50" ht="14.1" customHeight="1" x14ac:dyDescent="0.2">
      <c r="A272" s="585">
        <v>57</v>
      </c>
      <c r="B272" s="586">
        <v>2449</v>
      </c>
      <c r="C272" s="587">
        <v>650029348</v>
      </c>
      <c r="D272" s="586">
        <v>72742071</v>
      </c>
      <c r="E272" s="588" t="s">
        <v>688</v>
      </c>
      <c r="F272" s="585">
        <v>3111</v>
      </c>
      <c r="G272" s="588" t="s">
        <v>317</v>
      </c>
      <c r="H272" s="589" t="s">
        <v>283</v>
      </c>
      <c r="I272" s="495">
        <v>2917554</v>
      </c>
      <c r="J272" s="411">
        <v>2126255</v>
      </c>
      <c r="K272" s="520">
        <v>0</v>
      </c>
      <c r="L272" s="520">
        <v>0</v>
      </c>
      <c r="M272" s="475">
        <v>718674</v>
      </c>
      <c r="N272" s="496">
        <v>42525</v>
      </c>
      <c r="O272" s="411">
        <v>30100</v>
      </c>
      <c r="P272" s="412">
        <v>5.0217999999999998</v>
      </c>
      <c r="Q272" s="415">
        <v>4</v>
      </c>
      <c r="R272" s="685">
        <v>1.0218</v>
      </c>
      <c r="S272" s="499">
        <v>0</v>
      </c>
      <c r="T272" s="486">
        <v>0</v>
      </c>
      <c r="U272" s="486">
        <v>0</v>
      </c>
      <c r="V272" s="486">
        <f t="shared" ref="V272:V277" si="334">SUM(S272:U272)</f>
        <v>0</v>
      </c>
      <c r="W272" s="486">
        <v>0</v>
      </c>
      <c r="X272" s="486">
        <v>0</v>
      </c>
      <c r="Y272" s="486">
        <f t="shared" ref="Y272:Y277" si="335">SUM(W272:X272)</f>
        <v>0</v>
      </c>
      <c r="Z272" s="486">
        <f t="shared" ref="Z272:Z277" si="336">V272+Y272</f>
        <v>0</v>
      </c>
      <c r="AA272" s="178">
        <f t="shared" si="332"/>
        <v>0</v>
      </c>
      <c r="AB272" s="745">
        <f t="shared" ref="AB272:AB277" si="337">ROUND(V272*2%,0)</f>
        <v>0</v>
      </c>
      <c r="AC272" s="486">
        <v>0</v>
      </c>
      <c r="AD272" s="486">
        <v>0</v>
      </c>
      <c r="AE272" s="486">
        <f t="shared" ref="AE272:AE335" si="338">SUM(AC272:AD272)</f>
        <v>0</v>
      </c>
      <c r="AF272" s="486">
        <f t="shared" ref="AF272:AF335" si="339">Z272+AA272+AB272+AE272</f>
        <v>0</v>
      </c>
      <c r="AG272" s="501">
        <v>0</v>
      </c>
      <c r="AH272" s="501">
        <v>0</v>
      </c>
      <c r="AI272" s="501">
        <v>0</v>
      </c>
      <c r="AJ272" s="501">
        <v>0</v>
      </c>
      <c r="AK272" s="501">
        <v>0</v>
      </c>
      <c r="AL272" s="501">
        <f t="shared" ref="AL272:AL277" si="340">AG272+AI272+AJ272</f>
        <v>0</v>
      </c>
      <c r="AM272" s="501">
        <f t="shared" ref="AM272:AM277" si="341">AH272+AK272</f>
        <v>0</v>
      </c>
      <c r="AN272" s="502">
        <f t="shared" ref="AN272:AN335" si="342">SUM(AL272:AM272)</f>
        <v>0</v>
      </c>
      <c r="AO272" s="499">
        <f t="shared" ref="AO272:AO277" si="343">I272+AF272</f>
        <v>2917554</v>
      </c>
      <c r="AP272" s="486">
        <f t="shared" ref="AP272:AP277" si="344">J272+V272</f>
        <v>2126255</v>
      </c>
      <c r="AQ272" s="486">
        <f t="shared" ref="AQ272:AQ277" si="345">K272+Y272</f>
        <v>0</v>
      </c>
      <c r="AR272" s="486">
        <f t="shared" ref="AR272:AR277" si="346">L272</f>
        <v>0</v>
      </c>
      <c r="AS272" s="486">
        <f t="shared" ref="AS272:AT277" si="347">M272+AA272</f>
        <v>718674</v>
      </c>
      <c r="AT272" s="486">
        <f t="shared" si="347"/>
        <v>42525</v>
      </c>
      <c r="AU272" s="486">
        <f t="shared" ref="AU272:AU277" si="348">O272+AE272</f>
        <v>30100</v>
      </c>
      <c r="AV272" s="501">
        <f t="shared" ref="AV272:AV277" si="349">P272+AN272</f>
        <v>5.0217999999999998</v>
      </c>
      <c r="AW272" s="501">
        <f t="shared" ref="AW272:AX277" si="350">Q272+AL272</f>
        <v>4</v>
      </c>
      <c r="AX272" s="502">
        <f t="shared" si="350"/>
        <v>1.0218</v>
      </c>
    </row>
    <row r="273" spans="1:50" ht="14.1" customHeight="1" x14ac:dyDescent="0.2">
      <c r="A273" s="585">
        <v>57</v>
      </c>
      <c r="B273" s="586">
        <v>2449</v>
      </c>
      <c r="C273" s="587">
        <v>650029348</v>
      </c>
      <c r="D273" s="586">
        <v>72742071</v>
      </c>
      <c r="E273" s="588" t="s">
        <v>688</v>
      </c>
      <c r="F273" s="585">
        <v>3117</v>
      </c>
      <c r="G273" s="588" t="s">
        <v>320</v>
      </c>
      <c r="H273" s="589" t="s">
        <v>283</v>
      </c>
      <c r="I273" s="495">
        <v>4310269</v>
      </c>
      <c r="J273" s="411">
        <v>2986499</v>
      </c>
      <c r="K273" s="520">
        <v>82252</v>
      </c>
      <c r="L273" s="520">
        <v>7252</v>
      </c>
      <c r="M273" s="475">
        <v>1034787</v>
      </c>
      <c r="N273" s="496">
        <v>59731</v>
      </c>
      <c r="O273" s="411">
        <v>147000</v>
      </c>
      <c r="P273" s="412">
        <v>6.4915000000000003</v>
      </c>
      <c r="Q273" s="415">
        <v>4</v>
      </c>
      <c r="R273" s="685">
        <v>2.4914999999999998</v>
      </c>
      <c r="S273" s="499">
        <v>0</v>
      </c>
      <c r="T273" s="486">
        <v>0</v>
      </c>
      <c r="U273" s="486">
        <v>0</v>
      </c>
      <c r="V273" s="486">
        <f t="shared" si="334"/>
        <v>0</v>
      </c>
      <c r="W273" s="486">
        <v>0</v>
      </c>
      <c r="X273" s="486">
        <v>0</v>
      </c>
      <c r="Y273" s="486">
        <f t="shared" si="335"/>
        <v>0</v>
      </c>
      <c r="Z273" s="486">
        <f t="shared" si="336"/>
        <v>0</v>
      </c>
      <c r="AA273" s="178">
        <f t="shared" si="332"/>
        <v>0</v>
      </c>
      <c r="AB273" s="745">
        <f t="shared" si="337"/>
        <v>0</v>
      </c>
      <c r="AC273" s="486">
        <v>0</v>
      </c>
      <c r="AD273" s="486">
        <v>0</v>
      </c>
      <c r="AE273" s="486">
        <f t="shared" si="338"/>
        <v>0</v>
      </c>
      <c r="AF273" s="486">
        <f t="shared" si="339"/>
        <v>0</v>
      </c>
      <c r="AG273" s="501">
        <v>0</v>
      </c>
      <c r="AH273" s="501">
        <v>0</v>
      </c>
      <c r="AI273" s="501">
        <v>0</v>
      </c>
      <c r="AJ273" s="501">
        <v>0</v>
      </c>
      <c r="AK273" s="501">
        <v>0</v>
      </c>
      <c r="AL273" s="501">
        <f t="shared" si="340"/>
        <v>0</v>
      </c>
      <c r="AM273" s="501">
        <f t="shared" si="341"/>
        <v>0</v>
      </c>
      <c r="AN273" s="502">
        <f t="shared" si="342"/>
        <v>0</v>
      </c>
      <c r="AO273" s="499">
        <f t="shared" si="343"/>
        <v>4310269</v>
      </c>
      <c r="AP273" s="486">
        <f t="shared" si="344"/>
        <v>2986499</v>
      </c>
      <c r="AQ273" s="486">
        <f t="shared" si="345"/>
        <v>82252</v>
      </c>
      <c r="AR273" s="486">
        <f t="shared" si="346"/>
        <v>7252</v>
      </c>
      <c r="AS273" s="486">
        <f t="shared" si="347"/>
        <v>1034787</v>
      </c>
      <c r="AT273" s="486">
        <f t="shared" si="347"/>
        <v>59731</v>
      </c>
      <c r="AU273" s="486">
        <f t="shared" si="348"/>
        <v>147000</v>
      </c>
      <c r="AV273" s="501">
        <f t="shared" si="349"/>
        <v>6.4915000000000003</v>
      </c>
      <c r="AW273" s="501">
        <f t="shared" si="350"/>
        <v>4</v>
      </c>
      <c r="AX273" s="502">
        <f t="shared" si="350"/>
        <v>2.4914999999999998</v>
      </c>
    </row>
    <row r="274" spans="1:50" ht="14.1" customHeight="1" x14ac:dyDescent="0.2">
      <c r="A274" s="585">
        <v>57</v>
      </c>
      <c r="B274" s="586">
        <v>2449</v>
      </c>
      <c r="C274" s="587">
        <v>650029348</v>
      </c>
      <c r="D274" s="586">
        <v>72742071</v>
      </c>
      <c r="E274" s="588" t="s">
        <v>688</v>
      </c>
      <c r="F274" s="585">
        <v>3117</v>
      </c>
      <c r="G274" s="208" t="s">
        <v>318</v>
      </c>
      <c r="H274" s="589" t="s">
        <v>284</v>
      </c>
      <c r="I274" s="495">
        <v>666535</v>
      </c>
      <c r="J274" s="496">
        <v>481800</v>
      </c>
      <c r="K274" s="475">
        <v>0</v>
      </c>
      <c r="L274" s="475">
        <v>0</v>
      </c>
      <c r="M274" s="475">
        <v>162849</v>
      </c>
      <c r="N274" s="496">
        <v>9636</v>
      </c>
      <c r="O274" s="496">
        <v>12250</v>
      </c>
      <c r="P274" s="412">
        <v>1.58</v>
      </c>
      <c r="Q274" s="497">
        <v>1.58</v>
      </c>
      <c r="R274" s="498">
        <v>0</v>
      </c>
      <c r="S274" s="499">
        <v>0</v>
      </c>
      <c r="T274" s="486">
        <v>0</v>
      </c>
      <c r="U274" s="486">
        <v>0</v>
      </c>
      <c r="V274" s="486">
        <f t="shared" si="334"/>
        <v>0</v>
      </c>
      <c r="W274" s="486">
        <v>0</v>
      </c>
      <c r="X274" s="486">
        <v>0</v>
      </c>
      <c r="Y274" s="486">
        <f t="shared" si="335"/>
        <v>0</v>
      </c>
      <c r="Z274" s="486">
        <f t="shared" si="336"/>
        <v>0</v>
      </c>
      <c r="AA274" s="178">
        <f t="shared" si="332"/>
        <v>0</v>
      </c>
      <c r="AB274" s="745">
        <f t="shared" si="337"/>
        <v>0</v>
      </c>
      <c r="AC274" s="486">
        <v>0</v>
      </c>
      <c r="AD274" s="486">
        <v>0</v>
      </c>
      <c r="AE274" s="486">
        <f t="shared" si="338"/>
        <v>0</v>
      </c>
      <c r="AF274" s="486">
        <f t="shared" si="339"/>
        <v>0</v>
      </c>
      <c r="AG274" s="501">
        <v>0</v>
      </c>
      <c r="AH274" s="501">
        <v>0</v>
      </c>
      <c r="AI274" s="501">
        <v>0</v>
      </c>
      <c r="AJ274" s="501">
        <v>0</v>
      </c>
      <c r="AK274" s="501">
        <v>0</v>
      </c>
      <c r="AL274" s="501">
        <f t="shared" si="340"/>
        <v>0</v>
      </c>
      <c r="AM274" s="501">
        <f t="shared" si="341"/>
        <v>0</v>
      </c>
      <c r="AN274" s="502">
        <f t="shared" si="342"/>
        <v>0</v>
      </c>
      <c r="AO274" s="499">
        <f t="shared" si="343"/>
        <v>666535</v>
      </c>
      <c r="AP274" s="486">
        <f t="shared" si="344"/>
        <v>481800</v>
      </c>
      <c r="AQ274" s="486">
        <f t="shared" si="345"/>
        <v>0</v>
      </c>
      <c r="AR274" s="486">
        <f t="shared" si="346"/>
        <v>0</v>
      </c>
      <c r="AS274" s="486">
        <f t="shared" si="347"/>
        <v>162849</v>
      </c>
      <c r="AT274" s="486">
        <f t="shared" si="347"/>
        <v>9636</v>
      </c>
      <c r="AU274" s="486">
        <f t="shared" si="348"/>
        <v>12250</v>
      </c>
      <c r="AV274" s="501">
        <f t="shared" si="349"/>
        <v>1.58</v>
      </c>
      <c r="AW274" s="501">
        <f t="shared" si="350"/>
        <v>1.58</v>
      </c>
      <c r="AX274" s="502">
        <f t="shared" si="350"/>
        <v>0</v>
      </c>
    </row>
    <row r="275" spans="1:50" ht="14.1" customHeight="1" x14ac:dyDescent="0.2">
      <c r="A275" s="585">
        <v>57</v>
      </c>
      <c r="B275" s="586">
        <v>2449</v>
      </c>
      <c r="C275" s="587">
        <v>650029348</v>
      </c>
      <c r="D275" s="586">
        <v>72742071</v>
      </c>
      <c r="E275" s="588" t="s">
        <v>688</v>
      </c>
      <c r="F275" s="585">
        <v>3141</v>
      </c>
      <c r="G275" s="588" t="s">
        <v>321</v>
      </c>
      <c r="H275" s="589" t="s">
        <v>284</v>
      </c>
      <c r="I275" s="495">
        <v>1070123</v>
      </c>
      <c r="J275" s="496">
        <v>784042</v>
      </c>
      <c r="K275" s="475">
        <v>0</v>
      </c>
      <c r="L275" s="475">
        <v>0</v>
      </c>
      <c r="M275" s="475">
        <v>265006</v>
      </c>
      <c r="N275" s="496">
        <v>15681</v>
      </c>
      <c r="O275" s="496">
        <v>5394</v>
      </c>
      <c r="P275" s="412">
        <v>2.67</v>
      </c>
      <c r="Q275" s="497">
        <v>0</v>
      </c>
      <c r="R275" s="498">
        <v>2.67</v>
      </c>
      <c r="S275" s="499">
        <v>0</v>
      </c>
      <c r="T275" s="486">
        <v>0</v>
      </c>
      <c r="U275" s="486">
        <v>0</v>
      </c>
      <c r="V275" s="486">
        <f t="shared" si="334"/>
        <v>0</v>
      </c>
      <c r="W275" s="486">
        <v>0</v>
      </c>
      <c r="X275" s="486">
        <v>0</v>
      </c>
      <c r="Y275" s="486">
        <f t="shared" si="335"/>
        <v>0</v>
      </c>
      <c r="Z275" s="486">
        <f t="shared" si="336"/>
        <v>0</v>
      </c>
      <c r="AA275" s="178">
        <f t="shared" si="332"/>
        <v>0</v>
      </c>
      <c r="AB275" s="745">
        <f t="shared" si="337"/>
        <v>0</v>
      </c>
      <c r="AC275" s="486">
        <v>0</v>
      </c>
      <c r="AD275" s="486">
        <v>0</v>
      </c>
      <c r="AE275" s="486">
        <f t="shared" si="338"/>
        <v>0</v>
      </c>
      <c r="AF275" s="486">
        <f t="shared" si="339"/>
        <v>0</v>
      </c>
      <c r="AG275" s="501">
        <v>0</v>
      </c>
      <c r="AH275" s="501">
        <v>0</v>
      </c>
      <c r="AI275" s="501">
        <v>0</v>
      </c>
      <c r="AJ275" s="501">
        <v>0</v>
      </c>
      <c r="AK275" s="501">
        <v>0</v>
      </c>
      <c r="AL275" s="501">
        <f t="shared" si="340"/>
        <v>0</v>
      </c>
      <c r="AM275" s="501">
        <f t="shared" si="341"/>
        <v>0</v>
      </c>
      <c r="AN275" s="502">
        <f t="shared" si="342"/>
        <v>0</v>
      </c>
      <c r="AO275" s="499">
        <f t="shared" si="343"/>
        <v>1070123</v>
      </c>
      <c r="AP275" s="486">
        <f t="shared" si="344"/>
        <v>784042</v>
      </c>
      <c r="AQ275" s="486">
        <f t="shared" si="345"/>
        <v>0</v>
      </c>
      <c r="AR275" s="486">
        <f t="shared" si="346"/>
        <v>0</v>
      </c>
      <c r="AS275" s="486">
        <f t="shared" si="347"/>
        <v>265006</v>
      </c>
      <c r="AT275" s="486">
        <f t="shared" si="347"/>
        <v>15681</v>
      </c>
      <c r="AU275" s="486">
        <f t="shared" si="348"/>
        <v>5394</v>
      </c>
      <c r="AV275" s="501">
        <f t="shared" si="349"/>
        <v>2.67</v>
      </c>
      <c r="AW275" s="501">
        <f t="shared" si="350"/>
        <v>0</v>
      </c>
      <c r="AX275" s="502">
        <f t="shared" si="350"/>
        <v>2.67</v>
      </c>
    </row>
    <row r="276" spans="1:50" ht="14.1" customHeight="1" x14ac:dyDescent="0.2">
      <c r="A276" s="585">
        <v>57</v>
      </c>
      <c r="B276" s="586">
        <v>2449</v>
      </c>
      <c r="C276" s="587">
        <v>650029348</v>
      </c>
      <c r="D276" s="586">
        <v>72742071</v>
      </c>
      <c r="E276" s="588" t="s">
        <v>688</v>
      </c>
      <c r="F276" s="585">
        <v>3143</v>
      </c>
      <c r="G276" s="208" t="s">
        <v>634</v>
      </c>
      <c r="H276" s="589" t="s">
        <v>283</v>
      </c>
      <c r="I276" s="495">
        <v>668779</v>
      </c>
      <c r="J276" s="411">
        <v>492474</v>
      </c>
      <c r="K276" s="520">
        <v>0</v>
      </c>
      <c r="L276" s="520">
        <v>0</v>
      </c>
      <c r="M276" s="475">
        <v>166456</v>
      </c>
      <c r="N276" s="496">
        <v>9849</v>
      </c>
      <c r="O276" s="496">
        <v>0</v>
      </c>
      <c r="P276" s="412">
        <v>1</v>
      </c>
      <c r="Q276" s="415">
        <v>1</v>
      </c>
      <c r="R276" s="498">
        <v>0</v>
      </c>
      <c r="S276" s="499">
        <v>0</v>
      </c>
      <c r="T276" s="486">
        <v>0</v>
      </c>
      <c r="U276" s="486">
        <v>0</v>
      </c>
      <c r="V276" s="486">
        <f t="shared" si="334"/>
        <v>0</v>
      </c>
      <c r="W276" s="486">
        <v>0</v>
      </c>
      <c r="X276" s="486">
        <v>0</v>
      </c>
      <c r="Y276" s="486">
        <f t="shared" si="335"/>
        <v>0</v>
      </c>
      <c r="Z276" s="486">
        <f t="shared" si="336"/>
        <v>0</v>
      </c>
      <c r="AA276" s="178">
        <f t="shared" si="332"/>
        <v>0</v>
      </c>
      <c r="AB276" s="745">
        <f t="shared" si="337"/>
        <v>0</v>
      </c>
      <c r="AC276" s="486">
        <v>0</v>
      </c>
      <c r="AD276" s="486">
        <v>0</v>
      </c>
      <c r="AE276" s="486">
        <f t="shared" si="338"/>
        <v>0</v>
      </c>
      <c r="AF276" s="486">
        <f t="shared" si="339"/>
        <v>0</v>
      </c>
      <c r="AG276" s="501">
        <v>0</v>
      </c>
      <c r="AH276" s="501">
        <v>0</v>
      </c>
      <c r="AI276" s="501">
        <v>0</v>
      </c>
      <c r="AJ276" s="501">
        <v>0</v>
      </c>
      <c r="AK276" s="501">
        <v>0</v>
      </c>
      <c r="AL276" s="501">
        <f t="shared" si="340"/>
        <v>0</v>
      </c>
      <c r="AM276" s="501">
        <f t="shared" si="341"/>
        <v>0</v>
      </c>
      <c r="AN276" s="502">
        <f t="shared" si="342"/>
        <v>0</v>
      </c>
      <c r="AO276" s="499">
        <f t="shared" si="343"/>
        <v>668779</v>
      </c>
      <c r="AP276" s="486">
        <f t="shared" si="344"/>
        <v>492474</v>
      </c>
      <c r="AQ276" s="486">
        <f t="shared" si="345"/>
        <v>0</v>
      </c>
      <c r="AR276" s="486">
        <f t="shared" si="346"/>
        <v>0</v>
      </c>
      <c r="AS276" s="486">
        <f t="shared" si="347"/>
        <v>166456</v>
      </c>
      <c r="AT276" s="486">
        <f t="shared" si="347"/>
        <v>9849</v>
      </c>
      <c r="AU276" s="486">
        <f t="shared" si="348"/>
        <v>0</v>
      </c>
      <c r="AV276" s="501">
        <f t="shared" si="349"/>
        <v>1</v>
      </c>
      <c r="AW276" s="501">
        <f t="shared" si="350"/>
        <v>1</v>
      </c>
      <c r="AX276" s="502">
        <f t="shared" si="350"/>
        <v>0</v>
      </c>
    </row>
    <row r="277" spans="1:50" ht="14.1" customHeight="1" x14ac:dyDescent="0.2">
      <c r="A277" s="585">
        <v>57</v>
      </c>
      <c r="B277" s="586">
        <v>2449</v>
      </c>
      <c r="C277" s="587">
        <v>650029348</v>
      </c>
      <c r="D277" s="586">
        <v>72742071</v>
      </c>
      <c r="E277" s="588" t="s">
        <v>688</v>
      </c>
      <c r="F277" s="585">
        <v>3143</v>
      </c>
      <c r="G277" s="208" t="s">
        <v>635</v>
      </c>
      <c r="H277" s="589" t="s">
        <v>284</v>
      </c>
      <c r="I277" s="495">
        <v>21066</v>
      </c>
      <c r="J277" s="496">
        <v>14850</v>
      </c>
      <c r="K277" s="475">
        <v>0</v>
      </c>
      <c r="L277" s="475">
        <v>0</v>
      </c>
      <c r="M277" s="475">
        <v>5019</v>
      </c>
      <c r="N277" s="496">
        <v>297</v>
      </c>
      <c r="O277" s="496">
        <v>900</v>
      </c>
      <c r="P277" s="412">
        <v>0.06</v>
      </c>
      <c r="Q277" s="497">
        <v>0</v>
      </c>
      <c r="R277" s="498">
        <v>0.06</v>
      </c>
      <c r="S277" s="499">
        <v>0</v>
      </c>
      <c r="T277" s="486">
        <v>0</v>
      </c>
      <c r="U277" s="486">
        <v>0</v>
      </c>
      <c r="V277" s="486">
        <f t="shared" si="334"/>
        <v>0</v>
      </c>
      <c r="W277" s="486">
        <v>0</v>
      </c>
      <c r="X277" s="486">
        <v>0</v>
      </c>
      <c r="Y277" s="486">
        <f t="shared" si="335"/>
        <v>0</v>
      </c>
      <c r="Z277" s="486">
        <f t="shared" si="336"/>
        <v>0</v>
      </c>
      <c r="AA277" s="178">
        <f t="shared" si="332"/>
        <v>0</v>
      </c>
      <c r="AB277" s="745">
        <f t="shared" si="337"/>
        <v>0</v>
      </c>
      <c r="AC277" s="486">
        <v>0</v>
      </c>
      <c r="AD277" s="486">
        <v>0</v>
      </c>
      <c r="AE277" s="486">
        <f t="shared" si="338"/>
        <v>0</v>
      </c>
      <c r="AF277" s="486">
        <f t="shared" si="339"/>
        <v>0</v>
      </c>
      <c r="AG277" s="501">
        <v>0</v>
      </c>
      <c r="AH277" s="501">
        <v>0</v>
      </c>
      <c r="AI277" s="501">
        <v>0</v>
      </c>
      <c r="AJ277" s="501">
        <v>0</v>
      </c>
      <c r="AK277" s="501">
        <v>0</v>
      </c>
      <c r="AL277" s="501">
        <f t="shared" si="340"/>
        <v>0</v>
      </c>
      <c r="AM277" s="501">
        <f t="shared" si="341"/>
        <v>0</v>
      </c>
      <c r="AN277" s="502">
        <f t="shared" si="342"/>
        <v>0</v>
      </c>
      <c r="AO277" s="499">
        <f t="shared" si="343"/>
        <v>21066</v>
      </c>
      <c r="AP277" s="486">
        <f t="shared" si="344"/>
        <v>14850</v>
      </c>
      <c r="AQ277" s="486">
        <f t="shared" si="345"/>
        <v>0</v>
      </c>
      <c r="AR277" s="486">
        <f t="shared" si="346"/>
        <v>0</v>
      </c>
      <c r="AS277" s="486">
        <f t="shared" si="347"/>
        <v>5019</v>
      </c>
      <c r="AT277" s="486">
        <f t="shared" si="347"/>
        <v>297</v>
      </c>
      <c r="AU277" s="486">
        <f t="shared" si="348"/>
        <v>900</v>
      </c>
      <c r="AV277" s="501">
        <f t="shared" si="349"/>
        <v>0.06</v>
      </c>
      <c r="AW277" s="501">
        <f t="shared" si="350"/>
        <v>0</v>
      </c>
      <c r="AX277" s="502">
        <f t="shared" si="350"/>
        <v>0.06</v>
      </c>
    </row>
    <row r="278" spans="1:50" ht="14.1" customHeight="1" x14ac:dyDescent="0.2">
      <c r="A278" s="181">
        <v>57</v>
      </c>
      <c r="B278" s="179">
        <v>2449</v>
      </c>
      <c r="C278" s="180">
        <v>650029348</v>
      </c>
      <c r="D278" s="179">
        <v>72742071</v>
      </c>
      <c r="E278" s="578" t="s">
        <v>689</v>
      </c>
      <c r="F278" s="181"/>
      <c r="G278" s="578"/>
      <c r="H278" s="579"/>
      <c r="I278" s="580">
        <v>9654326</v>
      </c>
      <c r="J278" s="581">
        <v>6885920</v>
      </c>
      <c r="K278" s="581">
        <v>82252</v>
      </c>
      <c r="L278" s="581">
        <v>7252</v>
      </c>
      <c r="M278" s="581">
        <v>2352791</v>
      </c>
      <c r="N278" s="581">
        <v>137719</v>
      </c>
      <c r="O278" s="581">
        <v>195644</v>
      </c>
      <c r="P278" s="582">
        <v>16.8233</v>
      </c>
      <c r="Q278" s="582">
        <v>10.58</v>
      </c>
      <c r="R278" s="584">
        <v>6.2432999999999996</v>
      </c>
      <c r="S278" s="583">
        <f t="shared" ref="S278:AX278" si="351">SUM(S272:S277)</f>
        <v>0</v>
      </c>
      <c r="T278" s="581">
        <f t="shared" si="351"/>
        <v>0</v>
      </c>
      <c r="U278" s="581">
        <f t="shared" si="351"/>
        <v>0</v>
      </c>
      <c r="V278" s="581">
        <f t="shared" si="351"/>
        <v>0</v>
      </c>
      <c r="W278" s="581">
        <f t="shared" si="351"/>
        <v>0</v>
      </c>
      <c r="X278" s="581">
        <f t="shared" si="351"/>
        <v>0</v>
      </c>
      <c r="Y278" s="581">
        <f t="shared" si="351"/>
        <v>0</v>
      </c>
      <c r="Z278" s="581">
        <f t="shared" si="351"/>
        <v>0</v>
      </c>
      <c r="AA278" s="581">
        <f t="shared" si="351"/>
        <v>0</v>
      </c>
      <c r="AB278" s="583">
        <f t="shared" si="351"/>
        <v>0</v>
      </c>
      <c r="AC278" s="581">
        <f t="shared" si="351"/>
        <v>0</v>
      </c>
      <c r="AD278" s="581">
        <f t="shared" si="351"/>
        <v>0</v>
      </c>
      <c r="AE278" s="581">
        <f t="shared" si="351"/>
        <v>0</v>
      </c>
      <c r="AF278" s="581">
        <f t="shared" si="351"/>
        <v>0</v>
      </c>
      <c r="AG278" s="582">
        <f t="shared" si="351"/>
        <v>0</v>
      </c>
      <c r="AH278" s="582">
        <f t="shared" si="351"/>
        <v>0</v>
      </c>
      <c r="AI278" s="582">
        <f t="shared" si="351"/>
        <v>0</v>
      </c>
      <c r="AJ278" s="582">
        <f t="shared" si="351"/>
        <v>0</v>
      </c>
      <c r="AK278" s="582">
        <f t="shared" si="351"/>
        <v>0</v>
      </c>
      <c r="AL278" s="582">
        <f t="shared" si="351"/>
        <v>0</v>
      </c>
      <c r="AM278" s="582">
        <f t="shared" si="351"/>
        <v>0</v>
      </c>
      <c r="AN278" s="584">
        <f t="shared" si="351"/>
        <v>0</v>
      </c>
      <c r="AO278" s="583">
        <f t="shared" si="351"/>
        <v>9654326</v>
      </c>
      <c r="AP278" s="581">
        <f t="shared" si="351"/>
        <v>6885920</v>
      </c>
      <c r="AQ278" s="581">
        <f t="shared" si="351"/>
        <v>82252</v>
      </c>
      <c r="AR278" s="581">
        <f t="shared" si="351"/>
        <v>7252</v>
      </c>
      <c r="AS278" s="581">
        <f t="shared" si="351"/>
        <v>2352791</v>
      </c>
      <c r="AT278" s="581">
        <f t="shared" si="351"/>
        <v>137719</v>
      </c>
      <c r="AU278" s="581">
        <f t="shared" si="351"/>
        <v>195644</v>
      </c>
      <c r="AV278" s="582">
        <f t="shared" si="351"/>
        <v>16.8233</v>
      </c>
      <c r="AW278" s="582">
        <f t="shared" si="351"/>
        <v>10.58</v>
      </c>
      <c r="AX278" s="584">
        <f t="shared" si="351"/>
        <v>6.2432999999999996</v>
      </c>
    </row>
    <row r="279" spans="1:50" ht="14.1" customHeight="1" x14ac:dyDescent="0.2">
      <c r="A279" s="585">
        <v>58</v>
      </c>
      <c r="B279" s="586">
        <v>2318</v>
      </c>
      <c r="C279" s="587">
        <v>600079546</v>
      </c>
      <c r="D279" s="586">
        <v>70695253</v>
      </c>
      <c r="E279" s="588" t="s">
        <v>690</v>
      </c>
      <c r="F279" s="585">
        <v>3111</v>
      </c>
      <c r="G279" s="588" t="s">
        <v>317</v>
      </c>
      <c r="H279" s="589" t="s">
        <v>283</v>
      </c>
      <c r="I279" s="495">
        <v>6356149</v>
      </c>
      <c r="J279" s="411">
        <v>4616802</v>
      </c>
      <c r="K279" s="520">
        <v>9104</v>
      </c>
      <c r="L279" s="520">
        <v>0</v>
      </c>
      <c r="M279" s="475">
        <v>1563557</v>
      </c>
      <c r="N279" s="496">
        <v>92336</v>
      </c>
      <c r="O279" s="411">
        <v>74350</v>
      </c>
      <c r="P279" s="412">
        <v>10.9252</v>
      </c>
      <c r="Q279" s="415">
        <v>8</v>
      </c>
      <c r="R279" s="685">
        <v>2.9251999999999998</v>
      </c>
      <c r="S279" s="499">
        <v>0</v>
      </c>
      <c r="T279" s="486">
        <v>0</v>
      </c>
      <c r="U279" s="486">
        <v>-44183</v>
      </c>
      <c r="V279" s="486">
        <f>SUM(S279:U279)</f>
        <v>-44183</v>
      </c>
      <c r="W279" s="486">
        <v>0</v>
      </c>
      <c r="X279" s="486">
        <v>0</v>
      </c>
      <c r="Y279" s="486">
        <f>SUM(W279:X279)</f>
        <v>0</v>
      </c>
      <c r="Z279" s="486">
        <f>V279+Y279</f>
        <v>-44183</v>
      </c>
      <c r="AA279" s="178">
        <f t="shared" si="332"/>
        <v>-14934</v>
      </c>
      <c r="AB279" s="745">
        <f>ROUND(V279*2%,0)</f>
        <v>-884</v>
      </c>
      <c r="AC279" s="486">
        <v>0</v>
      </c>
      <c r="AD279" s="486">
        <v>60001</v>
      </c>
      <c r="AE279" s="486">
        <f t="shared" si="338"/>
        <v>60001</v>
      </c>
      <c r="AF279" s="486">
        <f t="shared" si="339"/>
        <v>0</v>
      </c>
      <c r="AG279" s="501">
        <v>0</v>
      </c>
      <c r="AH279" s="501">
        <v>0</v>
      </c>
      <c r="AI279" s="501">
        <v>0</v>
      </c>
      <c r="AJ279" s="501">
        <v>0</v>
      </c>
      <c r="AK279" s="501">
        <v>0</v>
      </c>
      <c r="AL279" s="501">
        <f t="shared" ref="AL279:AL282" si="352">AG279+AI279+AJ279</f>
        <v>0</v>
      </c>
      <c r="AM279" s="501">
        <f t="shared" ref="AM279:AM282" si="353">AH279+AK279</f>
        <v>0</v>
      </c>
      <c r="AN279" s="502">
        <f t="shared" si="342"/>
        <v>0</v>
      </c>
      <c r="AO279" s="499">
        <f>I279+AF279</f>
        <v>6356149</v>
      </c>
      <c r="AP279" s="486">
        <f>J279+V279</f>
        <v>4572619</v>
      </c>
      <c r="AQ279" s="486">
        <f>K279+Y279</f>
        <v>9104</v>
      </c>
      <c r="AR279" s="486">
        <f>L279</f>
        <v>0</v>
      </c>
      <c r="AS279" s="486">
        <f t="shared" ref="AS279:AT282" si="354">M279+AA279</f>
        <v>1548623</v>
      </c>
      <c r="AT279" s="486">
        <f t="shared" si="354"/>
        <v>91452</v>
      </c>
      <c r="AU279" s="486">
        <f>O279+AE279</f>
        <v>134351</v>
      </c>
      <c r="AV279" s="501">
        <f>P279+AN279</f>
        <v>10.9252</v>
      </c>
      <c r="AW279" s="501">
        <f t="shared" ref="AW279:AX282" si="355">Q279+AL279</f>
        <v>8</v>
      </c>
      <c r="AX279" s="502">
        <f t="shared" si="355"/>
        <v>2.9251999999999998</v>
      </c>
    </row>
    <row r="280" spans="1:50" ht="14.1" customHeight="1" x14ac:dyDescent="0.2">
      <c r="A280" s="585">
        <v>58</v>
      </c>
      <c r="B280" s="586">
        <v>2318</v>
      </c>
      <c r="C280" s="587">
        <v>600079546</v>
      </c>
      <c r="D280" s="586">
        <v>70695253</v>
      </c>
      <c r="E280" s="588" t="s">
        <v>690</v>
      </c>
      <c r="F280" s="585">
        <v>3111</v>
      </c>
      <c r="G280" s="503" t="s">
        <v>319</v>
      </c>
      <c r="H280" s="589" t="s">
        <v>283</v>
      </c>
      <c r="I280" s="495">
        <v>409257</v>
      </c>
      <c r="J280" s="411">
        <v>301368</v>
      </c>
      <c r="K280" s="520">
        <v>0</v>
      </c>
      <c r="L280" s="520">
        <v>0</v>
      </c>
      <c r="M280" s="475">
        <v>101862</v>
      </c>
      <c r="N280" s="496">
        <v>6027</v>
      </c>
      <c r="O280" s="496">
        <v>0</v>
      </c>
      <c r="P280" s="412">
        <v>1</v>
      </c>
      <c r="Q280" s="415">
        <v>1</v>
      </c>
      <c r="R280" s="498">
        <v>0</v>
      </c>
      <c r="S280" s="499">
        <v>0</v>
      </c>
      <c r="T280" s="486">
        <v>0</v>
      </c>
      <c r="U280" s="486">
        <v>0</v>
      </c>
      <c r="V280" s="486">
        <f>SUM(S280:U280)</f>
        <v>0</v>
      </c>
      <c r="W280" s="486">
        <v>0</v>
      </c>
      <c r="X280" s="486">
        <v>0</v>
      </c>
      <c r="Y280" s="486">
        <f>SUM(W280:X280)</f>
        <v>0</v>
      </c>
      <c r="Z280" s="486">
        <f>V280+Y280</f>
        <v>0</v>
      </c>
      <c r="AA280" s="178">
        <f t="shared" si="332"/>
        <v>0</v>
      </c>
      <c r="AB280" s="745">
        <f>ROUND(V280*2%,0)</f>
        <v>0</v>
      </c>
      <c r="AC280" s="486">
        <v>0</v>
      </c>
      <c r="AD280" s="486">
        <v>0</v>
      </c>
      <c r="AE280" s="486">
        <f t="shared" si="338"/>
        <v>0</v>
      </c>
      <c r="AF280" s="486">
        <f t="shared" si="339"/>
        <v>0</v>
      </c>
      <c r="AG280" s="501">
        <v>0</v>
      </c>
      <c r="AH280" s="501">
        <v>0</v>
      </c>
      <c r="AI280" s="501">
        <v>0</v>
      </c>
      <c r="AJ280" s="501">
        <v>0</v>
      </c>
      <c r="AK280" s="501">
        <v>0</v>
      </c>
      <c r="AL280" s="501">
        <f t="shared" si="352"/>
        <v>0</v>
      </c>
      <c r="AM280" s="501">
        <f t="shared" si="353"/>
        <v>0</v>
      </c>
      <c r="AN280" s="502">
        <f t="shared" si="342"/>
        <v>0</v>
      </c>
      <c r="AO280" s="499">
        <f>I280+AF280</f>
        <v>409257</v>
      </c>
      <c r="AP280" s="486">
        <f>J280+V280</f>
        <v>301368</v>
      </c>
      <c r="AQ280" s="486">
        <f>K280+Y280</f>
        <v>0</v>
      </c>
      <c r="AR280" s="486">
        <f>L280</f>
        <v>0</v>
      </c>
      <c r="AS280" s="486">
        <f t="shared" si="354"/>
        <v>101862</v>
      </c>
      <c r="AT280" s="486">
        <f t="shared" si="354"/>
        <v>6027</v>
      </c>
      <c r="AU280" s="486">
        <f>O280+AE280</f>
        <v>0</v>
      </c>
      <c r="AV280" s="501">
        <f>P280+AN280</f>
        <v>1</v>
      </c>
      <c r="AW280" s="501">
        <f t="shared" si="355"/>
        <v>1</v>
      </c>
      <c r="AX280" s="502">
        <f t="shared" si="355"/>
        <v>0</v>
      </c>
    </row>
    <row r="281" spans="1:50" ht="14.1" customHeight="1" x14ac:dyDescent="0.2">
      <c r="A281" s="585">
        <v>58</v>
      </c>
      <c r="B281" s="586">
        <v>2318</v>
      </c>
      <c r="C281" s="587">
        <v>600079546</v>
      </c>
      <c r="D281" s="586">
        <v>70695253</v>
      </c>
      <c r="E281" s="588" t="s">
        <v>690</v>
      </c>
      <c r="F281" s="585">
        <v>3111</v>
      </c>
      <c r="G281" s="208" t="s">
        <v>318</v>
      </c>
      <c r="H281" s="589" t="s">
        <v>284</v>
      </c>
      <c r="I281" s="495">
        <v>312702</v>
      </c>
      <c r="J281" s="496">
        <v>226401</v>
      </c>
      <c r="K281" s="475">
        <v>0</v>
      </c>
      <c r="L281" s="475">
        <v>0</v>
      </c>
      <c r="M281" s="475">
        <v>76523</v>
      </c>
      <c r="N281" s="496">
        <v>4528</v>
      </c>
      <c r="O281" s="496">
        <v>5250</v>
      </c>
      <c r="P281" s="412">
        <v>0.66999999999999993</v>
      </c>
      <c r="Q281" s="497">
        <v>0.66999999999999993</v>
      </c>
      <c r="R281" s="498">
        <v>0</v>
      </c>
      <c r="S281" s="499">
        <v>0</v>
      </c>
      <c r="T281" s="486">
        <v>0</v>
      </c>
      <c r="U281" s="486">
        <v>0</v>
      </c>
      <c r="V281" s="486">
        <f>SUM(S281:U281)</f>
        <v>0</v>
      </c>
      <c r="W281" s="486">
        <v>0</v>
      </c>
      <c r="X281" s="486">
        <v>0</v>
      </c>
      <c r="Y281" s="486">
        <f>SUM(W281:X281)</f>
        <v>0</v>
      </c>
      <c r="Z281" s="486">
        <f>V281+Y281</f>
        <v>0</v>
      </c>
      <c r="AA281" s="178">
        <f t="shared" si="332"/>
        <v>0</v>
      </c>
      <c r="AB281" s="745">
        <f>ROUND(V281*2%,0)</f>
        <v>0</v>
      </c>
      <c r="AC281" s="486">
        <v>0</v>
      </c>
      <c r="AD281" s="486">
        <v>0</v>
      </c>
      <c r="AE281" s="486">
        <f t="shared" si="338"/>
        <v>0</v>
      </c>
      <c r="AF281" s="486">
        <f t="shared" si="339"/>
        <v>0</v>
      </c>
      <c r="AG281" s="501">
        <v>0</v>
      </c>
      <c r="AH281" s="501">
        <v>0</v>
      </c>
      <c r="AI281" s="501">
        <v>0</v>
      </c>
      <c r="AJ281" s="501">
        <v>0</v>
      </c>
      <c r="AK281" s="501">
        <v>0</v>
      </c>
      <c r="AL281" s="501">
        <f t="shared" si="352"/>
        <v>0</v>
      </c>
      <c r="AM281" s="501">
        <f t="shared" si="353"/>
        <v>0</v>
      </c>
      <c r="AN281" s="502">
        <f t="shared" si="342"/>
        <v>0</v>
      </c>
      <c r="AO281" s="499">
        <f>I281+AF281</f>
        <v>312702</v>
      </c>
      <c r="AP281" s="486">
        <f>J281+V281</f>
        <v>226401</v>
      </c>
      <c r="AQ281" s="486">
        <f>K281+Y281</f>
        <v>0</v>
      </c>
      <c r="AR281" s="486">
        <f>L281</f>
        <v>0</v>
      </c>
      <c r="AS281" s="486">
        <f t="shared" si="354"/>
        <v>76523</v>
      </c>
      <c r="AT281" s="486">
        <f t="shared" si="354"/>
        <v>4528</v>
      </c>
      <c r="AU281" s="486">
        <f>O281+AE281</f>
        <v>5250</v>
      </c>
      <c r="AV281" s="501">
        <f>P281+AN281</f>
        <v>0.66999999999999993</v>
      </c>
      <c r="AW281" s="501">
        <f t="shared" si="355"/>
        <v>0.66999999999999993</v>
      </c>
      <c r="AX281" s="502">
        <f t="shared" si="355"/>
        <v>0</v>
      </c>
    </row>
    <row r="282" spans="1:50" ht="14.1" customHeight="1" x14ac:dyDescent="0.2">
      <c r="A282" s="585">
        <v>58</v>
      </c>
      <c r="B282" s="586">
        <v>2318</v>
      </c>
      <c r="C282" s="587">
        <v>600079546</v>
      </c>
      <c r="D282" s="586">
        <v>70695253</v>
      </c>
      <c r="E282" s="588" t="s">
        <v>690</v>
      </c>
      <c r="F282" s="585">
        <v>3141</v>
      </c>
      <c r="G282" s="588" t="s">
        <v>321</v>
      </c>
      <c r="H282" s="589" t="s">
        <v>284</v>
      </c>
      <c r="I282" s="495">
        <v>987309</v>
      </c>
      <c r="J282" s="496">
        <v>721808</v>
      </c>
      <c r="K282" s="475">
        <v>1140</v>
      </c>
      <c r="L282" s="475">
        <v>0</v>
      </c>
      <c r="M282" s="475">
        <v>244357</v>
      </c>
      <c r="N282" s="496">
        <v>14436</v>
      </c>
      <c r="O282" s="496">
        <v>5568</v>
      </c>
      <c r="P282" s="412">
        <v>2.46</v>
      </c>
      <c r="Q282" s="497">
        <v>0</v>
      </c>
      <c r="R282" s="498">
        <v>2.46</v>
      </c>
      <c r="S282" s="499">
        <v>0</v>
      </c>
      <c r="T282" s="486">
        <v>0</v>
      </c>
      <c r="U282" s="486">
        <v>0</v>
      </c>
      <c r="V282" s="486">
        <f>SUM(S282:U282)</f>
        <v>0</v>
      </c>
      <c r="W282" s="486">
        <v>0</v>
      </c>
      <c r="X282" s="486">
        <v>0</v>
      </c>
      <c r="Y282" s="486">
        <f>SUM(W282:X282)</f>
        <v>0</v>
      </c>
      <c r="Z282" s="486">
        <f>V282+Y282</f>
        <v>0</v>
      </c>
      <c r="AA282" s="178">
        <f t="shared" si="332"/>
        <v>0</v>
      </c>
      <c r="AB282" s="745">
        <f>ROUND(V282*2%,0)</f>
        <v>0</v>
      </c>
      <c r="AC282" s="486">
        <v>0</v>
      </c>
      <c r="AD282" s="486">
        <v>0</v>
      </c>
      <c r="AE282" s="486">
        <f t="shared" si="338"/>
        <v>0</v>
      </c>
      <c r="AF282" s="486">
        <f t="shared" si="339"/>
        <v>0</v>
      </c>
      <c r="AG282" s="501">
        <v>0</v>
      </c>
      <c r="AH282" s="501">
        <v>0</v>
      </c>
      <c r="AI282" s="501">
        <v>0</v>
      </c>
      <c r="AJ282" s="501">
        <v>0</v>
      </c>
      <c r="AK282" s="501">
        <v>0</v>
      </c>
      <c r="AL282" s="501">
        <f t="shared" si="352"/>
        <v>0</v>
      </c>
      <c r="AM282" s="501">
        <f t="shared" si="353"/>
        <v>0</v>
      </c>
      <c r="AN282" s="502">
        <f t="shared" si="342"/>
        <v>0</v>
      </c>
      <c r="AO282" s="499">
        <f>I282+AF282</f>
        <v>987309</v>
      </c>
      <c r="AP282" s="486">
        <f>J282+V282</f>
        <v>721808</v>
      </c>
      <c r="AQ282" s="486">
        <f>K282+Y282</f>
        <v>1140</v>
      </c>
      <c r="AR282" s="486">
        <f>L282</f>
        <v>0</v>
      </c>
      <c r="AS282" s="486">
        <f t="shared" si="354"/>
        <v>244357</v>
      </c>
      <c r="AT282" s="486">
        <f t="shared" si="354"/>
        <v>14436</v>
      </c>
      <c r="AU282" s="486">
        <f>O282+AE282</f>
        <v>5568</v>
      </c>
      <c r="AV282" s="501">
        <f>P282+AN282</f>
        <v>2.46</v>
      </c>
      <c r="AW282" s="501">
        <f t="shared" si="355"/>
        <v>0</v>
      </c>
      <c r="AX282" s="502">
        <f t="shared" si="355"/>
        <v>2.46</v>
      </c>
    </row>
    <row r="283" spans="1:50" ht="14.1" customHeight="1" x14ac:dyDescent="0.2">
      <c r="A283" s="181">
        <v>58</v>
      </c>
      <c r="B283" s="179">
        <v>2318</v>
      </c>
      <c r="C283" s="180">
        <v>600079546</v>
      </c>
      <c r="D283" s="179">
        <v>70695253</v>
      </c>
      <c r="E283" s="578" t="s">
        <v>691</v>
      </c>
      <c r="F283" s="181"/>
      <c r="G283" s="578"/>
      <c r="H283" s="579"/>
      <c r="I283" s="580">
        <v>8065417</v>
      </c>
      <c r="J283" s="581">
        <v>5866379</v>
      </c>
      <c r="K283" s="581">
        <v>10244</v>
      </c>
      <c r="L283" s="581">
        <v>0</v>
      </c>
      <c r="M283" s="581">
        <v>1986299</v>
      </c>
      <c r="N283" s="581">
        <v>117327</v>
      </c>
      <c r="O283" s="581">
        <v>85168</v>
      </c>
      <c r="P283" s="582">
        <v>15.055199999999999</v>
      </c>
      <c r="Q283" s="582">
        <v>9.67</v>
      </c>
      <c r="R283" s="584">
        <v>5.3851999999999993</v>
      </c>
      <c r="S283" s="583">
        <f t="shared" ref="S283:AX283" si="356">SUM(S279:S282)</f>
        <v>0</v>
      </c>
      <c r="T283" s="581">
        <f t="shared" si="356"/>
        <v>0</v>
      </c>
      <c r="U283" s="581">
        <f t="shared" si="356"/>
        <v>-44183</v>
      </c>
      <c r="V283" s="581">
        <f t="shared" si="356"/>
        <v>-44183</v>
      </c>
      <c r="W283" s="581">
        <f t="shared" si="356"/>
        <v>0</v>
      </c>
      <c r="X283" s="581">
        <f t="shared" si="356"/>
        <v>0</v>
      </c>
      <c r="Y283" s="581">
        <f t="shared" si="356"/>
        <v>0</v>
      </c>
      <c r="Z283" s="581">
        <f t="shared" si="356"/>
        <v>-44183</v>
      </c>
      <c r="AA283" s="581">
        <f t="shared" si="356"/>
        <v>-14934</v>
      </c>
      <c r="AB283" s="583">
        <f t="shared" si="356"/>
        <v>-884</v>
      </c>
      <c r="AC283" s="581">
        <f t="shared" si="356"/>
        <v>0</v>
      </c>
      <c r="AD283" s="581">
        <f t="shared" si="356"/>
        <v>60001</v>
      </c>
      <c r="AE283" s="581">
        <f t="shared" si="356"/>
        <v>60001</v>
      </c>
      <c r="AF283" s="581">
        <f t="shared" si="356"/>
        <v>0</v>
      </c>
      <c r="AG283" s="582">
        <f t="shared" si="356"/>
        <v>0</v>
      </c>
      <c r="AH283" s="582">
        <f t="shared" si="356"/>
        <v>0</v>
      </c>
      <c r="AI283" s="582">
        <f t="shared" si="356"/>
        <v>0</v>
      </c>
      <c r="AJ283" s="582">
        <f t="shared" si="356"/>
        <v>0</v>
      </c>
      <c r="AK283" s="582">
        <f t="shared" si="356"/>
        <v>0</v>
      </c>
      <c r="AL283" s="582">
        <f t="shared" si="356"/>
        <v>0</v>
      </c>
      <c r="AM283" s="582">
        <f t="shared" si="356"/>
        <v>0</v>
      </c>
      <c r="AN283" s="584">
        <f t="shared" si="356"/>
        <v>0</v>
      </c>
      <c r="AO283" s="583">
        <f t="shared" si="356"/>
        <v>8065417</v>
      </c>
      <c r="AP283" s="581">
        <f t="shared" si="356"/>
        <v>5822196</v>
      </c>
      <c r="AQ283" s="581">
        <f t="shared" si="356"/>
        <v>10244</v>
      </c>
      <c r="AR283" s="581">
        <f t="shared" si="356"/>
        <v>0</v>
      </c>
      <c r="AS283" s="581">
        <f t="shared" si="356"/>
        <v>1971365</v>
      </c>
      <c r="AT283" s="581">
        <f t="shared" si="356"/>
        <v>116443</v>
      </c>
      <c r="AU283" s="581">
        <f t="shared" si="356"/>
        <v>145169</v>
      </c>
      <c r="AV283" s="582">
        <f t="shared" si="356"/>
        <v>15.055199999999999</v>
      </c>
      <c r="AW283" s="582">
        <f t="shared" si="356"/>
        <v>9.67</v>
      </c>
      <c r="AX283" s="584">
        <f t="shared" si="356"/>
        <v>5.3851999999999993</v>
      </c>
    </row>
    <row r="284" spans="1:50" ht="14.1" customHeight="1" x14ac:dyDescent="0.2">
      <c r="A284" s="585">
        <v>59</v>
      </c>
      <c r="B284" s="586">
        <v>2452</v>
      </c>
      <c r="C284" s="587">
        <v>600079660</v>
      </c>
      <c r="D284" s="586">
        <v>70695261</v>
      </c>
      <c r="E284" s="588" t="s">
        <v>692</v>
      </c>
      <c r="F284" s="585">
        <v>3113</v>
      </c>
      <c r="G284" s="588" t="s">
        <v>320</v>
      </c>
      <c r="H284" s="589" t="s">
        <v>283</v>
      </c>
      <c r="I284" s="495">
        <v>29516934</v>
      </c>
      <c r="J284" s="411">
        <v>20852967</v>
      </c>
      <c r="K284" s="520">
        <v>224985</v>
      </c>
      <c r="L284" s="520">
        <v>184985</v>
      </c>
      <c r="M284" s="475">
        <v>7061823</v>
      </c>
      <c r="N284" s="496">
        <v>417059</v>
      </c>
      <c r="O284" s="411">
        <v>960100</v>
      </c>
      <c r="P284" s="412">
        <v>39.567499999999995</v>
      </c>
      <c r="Q284" s="415">
        <v>30.613600000000002</v>
      </c>
      <c r="R284" s="685">
        <v>8.9538999999999991</v>
      </c>
      <c r="S284" s="499">
        <v>0</v>
      </c>
      <c r="T284" s="486">
        <v>0</v>
      </c>
      <c r="U284" s="486">
        <v>0</v>
      </c>
      <c r="V284" s="486">
        <f t="shared" ref="V284:V290" si="357">SUM(S284:U284)</f>
        <v>0</v>
      </c>
      <c r="W284" s="486">
        <v>0</v>
      </c>
      <c r="X284" s="486">
        <v>0</v>
      </c>
      <c r="Y284" s="486">
        <f t="shared" ref="Y284:Y290" si="358">SUM(W284:X284)</f>
        <v>0</v>
      </c>
      <c r="Z284" s="486">
        <f t="shared" ref="Z284:Z290" si="359">V284+Y284</f>
        <v>0</v>
      </c>
      <c r="AA284" s="178">
        <f t="shared" si="332"/>
        <v>0</v>
      </c>
      <c r="AB284" s="745">
        <f t="shared" ref="AB284:AB290" si="360">ROUND(V284*2%,0)</f>
        <v>0</v>
      </c>
      <c r="AC284" s="486">
        <v>0</v>
      </c>
      <c r="AD284" s="486">
        <v>0</v>
      </c>
      <c r="AE284" s="486">
        <f t="shared" si="338"/>
        <v>0</v>
      </c>
      <c r="AF284" s="486">
        <f t="shared" si="339"/>
        <v>0</v>
      </c>
      <c r="AG284" s="501">
        <v>0</v>
      </c>
      <c r="AH284" s="501">
        <v>0</v>
      </c>
      <c r="AI284" s="501">
        <v>0</v>
      </c>
      <c r="AJ284" s="501">
        <v>0</v>
      </c>
      <c r="AK284" s="501">
        <v>0</v>
      </c>
      <c r="AL284" s="501">
        <f t="shared" ref="AL284:AL290" si="361">AG284+AI284+AJ284</f>
        <v>0</v>
      </c>
      <c r="AM284" s="501">
        <f t="shared" ref="AM284:AM290" si="362">AH284+AK284</f>
        <v>0</v>
      </c>
      <c r="AN284" s="502">
        <f t="shared" si="342"/>
        <v>0</v>
      </c>
      <c r="AO284" s="499">
        <f t="shared" ref="AO284:AO290" si="363">I284+AF284</f>
        <v>29516934</v>
      </c>
      <c r="AP284" s="486">
        <f t="shared" ref="AP284:AP290" si="364">J284+V284</f>
        <v>20852967</v>
      </c>
      <c r="AQ284" s="486">
        <f t="shared" ref="AQ284:AQ290" si="365">K284+Y284</f>
        <v>224985</v>
      </c>
      <c r="AR284" s="486">
        <f t="shared" ref="AR284:AR290" si="366">L284</f>
        <v>184985</v>
      </c>
      <c r="AS284" s="486">
        <f t="shared" ref="AS284:AT290" si="367">M284+AA284</f>
        <v>7061823</v>
      </c>
      <c r="AT284" s="486">
        <f t="shared" si="367"/>
        <v>417059</v>
      </c>
      <c r="AU284" s="486">
        <f t="shared" ref="AU284:AU290" si="368">O284+AE284</f>
        <v>960100</v>
      </c>
      <c r="AV284" s="501">
        <f t="shared" ref="AV284:AV290" si="369">P284+AN284</f>
        <v>39.567499999999995</v>
      </c>
      <c r="AW284" s="501">
        <f t="shared" ref="AW284:AX290" si="370">Q284+AL284</f>
        <v>30.613600000000002</v>
      </c>
      <c r="AX284" s="502">
        <f t="shared" si="370"/>
        <v>8.9538999999999991</v>
      </c>
    </row>
    <row r="285" spans="1:50" ht="14.1" customHeight="1" x14ac:dyDescent="0.2">
      <c r="A285" s="585">
        <v>59</v>
      </c>
      <c r="B285" s="586">
        <v>2452</v>
      </c>
      <c r="C285" s="587">
        <v>600079660</v>
      </c>
      <c r="D285" s="586">
        <v>70695261</v>
      </c>
      <c r="E285" s="588" t="s">
        <v>692</v>
      </c>
      <c r="F285" s="585">
        <v>3113</v>
      </c>
      <c r="G285" s="503" t="s">
        <v>319</v>
      </c>
      <c r="H285" s="589" t="s">
        <v>283</v>
      </c>
      <c r="I285" s="495">
        <v>1242444</v>
      </c>
      <c r="J285" s="496">
        <v>914907</v>
      </c>
      <c r="K285" s="475">
        <v>0</v>
      </c>
      <c r="L285" s="475">
        <v>0</v>
      </c>
      <c r="M285" s="475">
        <v>309239</v>
      </c>
      <c r="N285" s="496">
        <v>18298</v>
      </c>
      <c r="O285" s="496">
        <v>0</v>
      </c>
      <c r="P285" s="412">
        <v>2.64</v>
      </c>
      <c r="Q285" s="497">
        <v>2.64</v>
      </c>
      <c r="R285" s="498">
        <v>0</v>
      </c>
      <c r="S285" s="499">
        <v>0</v>
      </c>
      <c r="T285" s="486">
        <v>0</v>
      </c>
      <c r="U285" s="486">
        <v>0</v>
      </c>
      <c r="V285" s="486">
        <f t="shared" si="357"/>
        <v>0</v>
      </c>
      <c r="W285" s="486">
        <v>0</v>
      </c>
      <c r="X285" s="486">
        <v>0</v>
      </c>
      <c r="Y285" s="486">
        <f t="shared" si="358"/>
        <v>0</v>
      </c>
      <c r="Z285" s="486">
        <f t="shared" si="359"/>
        <v>0</v>
      </c>
      <c r="AA285" s="178">
        <f t="shared" si="332"/>
        <v>0</v>
      </c>
      <c r="AB285" s="745">
        <f t="shared" si="360"/>
        <v>0</v>
      </c>
      <c r="AC285" s="486">
        <v>0</v>
      </c>
      <c r="AD285" s="486">
        <v>0</v>
      </c>
      <c r="AE285" s="486">
        <f t="shared" si="338"/>
        <v>0</v>
      </c>
      <c r="AF285" s="486">
        <f t="shared" si="339"/>
        <v>0</v>
      </c>
      <c r="AG285" s="501">
        <v>0</v>
      </c>
      <c r="AH285" s="501">
        <v>0</v>
      </c>
      <c r="AI285" s="501">
        <v>0</v>
      </c>
      <c r="AJ285" s="501">
        <v>0</v>
      </c>
      <c r="AK285" s="501">
        <v>0</v>
      </c>
      <c r="AL285" s="501">
        <f t="shared" si="361"/>
        <v>0</v>
      </c>
      <c r="AM285" s="501">
        <f t="shared" si="362"/>
        <v>0</v>
      </c>
      <c r="AN285" s="502">
        <f t="shared" si="342"/>
        <v>0</v>
      </c>
      <c r="AO285" s="499">
        <f t="shared" si="363"/>
        <v>1242444</v>
      </c>
      <c r="AP285" s="486">
        <f t="shared" si="364"/>
        <v>914907</v>
      </c>
      <c r="AQ285" s="486">
        <f t="shared" si="365"/>
        <v>0</v>
      </c>
      <c r="AR285" s="486">
        <f t="shared" si="366"/>
        <v>0</v>
      </c>
      <c r="AS285" s="486">
        <f t="shared" si="367"/>
        <v>309239</v>
      </c>
      <c r="AT285" s="486">
        <f t="shared" si="367"/>
        <v>18298</v>
      </c>
      <c r="AU285" s="486">
        <f t="shared" si="368"/>
        <v>0</v>
      </c>
      <c r="AV285" s="501">
        <f t="shared" si="369"/>
        <v>2.64</v>
      </c>
      <c r="AW285" s="501">
        <f t="shared" si="370"/>
        <v>2.64</v>
      </c>
      <c r="AX285" s="502">
        <f t="shared" si="370"/>
        <v>0</v>
      </c>
    </row>
    <row r="286" spans="1:50" ht="14.1" customHeight="1" x14ac:dyDescent="0.2">
      <c r="A286" s="585">
        <v>59</v>
      </c>
      <c r="B286" s="586">
        <v>2452</v>
      </c>
      <c r="C286" s="587">
        <v>600079660</v>
      </c>
      <c r="D286" s="586">
        <v>70695261</v>
      </c>
      <c r="E286" s="588" t="s">
        <v>692</v>
      </c>
      <c r="F286" s="585">
        <v>3113</v>
      </c>
      <c r="G286" s="208" t="s">
        <v>318</v>
      </c>
      <c r="H286" s="589" t="s">
        <v>284</v>
      </c>
      <c r="I286" s="495">
        <v>2421699</v>
      </c>
      <c r="J286" s="496">
        <v>1779969</v>
      </c>
      <c r="K286" s="475">
        <v>0</v>
      </c>
      <c r="L286" s="475">
        <v>0</v>
      </c>
      <c r="M286" s="475">
        <v>601631</v>
      </c>
      <c r="N286" s="496">
        <v>35599</v>
      </c>
      <c r="O286" s="496">
        <v>4500</v>
      </c>
      <c r="P286" s="412">
        <v>5.16</v>
      </c>
      <c r="Q286" s="497">
        <v>5.16</v>
      </c>
      <c r="R286" s="498">
        <v>0</v>
      </c>
      <c r="S286" s="499">
        <v>0</v>
      </c>
      <c r="T286" s="486">
        <v>7075</v>
      </c>
      <c r="U286" s="486">
        <v>0</v>
      </c>
      <c r="V286" s="486">
        <f t="shared" si="357"/>
        <v>7075</v>
      </c>
      <c r="W286" s="486">
        <v>0</v>
      </c>
      <c r="X286" s="486">
        <v>0</v>
      </c>
      <c r="Y286" s="486">
        <f t="shared" si="358"/>
        <v>0</v>
      </c>
      <c r="Z286" s="486">
        <f t="shared" si="359"/>
        <v>7075</v>
      </c>
      <c r="AA286" s="178">
        <f t="shared" si="332"/>
        <v>2391</v>
      </c>
      <c r="AB286" s="745">
        <f t="shared" si="360"/>
        <v>142</v>
      </c>
      <c r="AC286" s="486">
        <v>0</v>
      </c>
      <c r="AD286" s="486">
        <v>0</v>
      </c>
      <c r="AE286" s="486">
        <f t="shared" si="338"/>
        <v>0</v>
      </c>
      <c r="AF286" s="486">
        <f t="shared" si="339"/>
        <v>9608</v>
      </c>
      <c r="AG286" s="501">
        <v>0</v>
      </c>
      <c r="AH286" s="501">
        <v>0</v>
      </c>
      <c r="AI286" s="501">
        <v>0.02</v>
      </c>
      <c r="AJ286" s="501">
        <v>0</v>
      </c>
      <c r="AK286" s="501">
        <v>0</v>
      </c>
      <c r="AL286" s="501">
        <f t="shared" si="361"/>
        <v>0.02</v>
      </c>
      <c r="AM286" s="501">
        <f t="shared" si="362"/>
        <v>0</v>
      </c>
      <c r="AN286" s="502">
        <f t="shared" si="342"/>
        <v>0.02</v>
      </c>
      <c r="AO286" s="499">
        <f t="shared" si="363"/>
        <v>2431307</v>
      </c>
      <c r="AP286" s="486">
        <f t="shared" si="364"/>
        <v>1787044</v>
      </c>
      <c r="AQ286" s="486">
        <f t="shared" si="365"/>
        <v>0</v>
      </c>
      <c r="AR286" s="486">
        <f t="shared" si="366"/>
        <v>0</v>
      </c>
      <c r="AS286" s="486">
        <f t="shared" si="367"/>
        <v>604022</v>
      </c>
      <c r="AT286" s="486">
        <f t="shared" si="367"/>
        <v>35741</v>
      </c>
      <c r="AU286" s="486">
        <f t="shared" si="368"/>
        <v>4500</v>
      </c>
      <c r="AV286" s="501">
        <f t="shared" si="369"/>
        <v>5.18</v>
      </c>
      <c r="AW286" s="501">
        <f t="shared" si="370"/>
        <v>5.18</v>
      </c>
      <c r="AX286" s="502">
        <f t="shared" si="370"/>
        <v>0</v>
      </c>
    </row>
    <row r="287" spans="1:50" ht="14.1" customHeight="1" x14ac:dyDescent="0.2">
      <c r="A287" s="585">
        <v>59</v>
      </c>
      <c r="B287" s="586">
        <v>2452</v>
      </c>
      <c r="C287" s="587">
        <v>600079660</v>
      </c>
      <c r="D287" s="586">
        <v>70695261</v>
      </c>
      <c r="E287" s="588" t="s">
        <v>692</v>
      </c>
      <c r="F287" s="585">
        <v>3141</v>
      </c>
      <c r="G287" s="588" t="s">
        <v>321</v>
      </c>
      <c r="H287" s="589" t="s">
        <v>284</v>
      </c>
      <c r="I287" s="495">
        <v>2308650</v>
      </c>
      <c r="J287" s="496">
        <v>1644781</v>
      </c>
      <c r="K287" s="475">
        <v>40000</v>
      </c>
      <c r="L287" s="475">
        <v>0</v>
      </c>
      <c r="M287" s="475">
        <v>569456</v>
      </c>
      <c r="N287" s="496">
        <v>32895</v>
      </c>
      <c r="O287" s="496">
        <v>21518</v>
      </c>
      <c r="P287" s="412">
        <v>5.74</v>
      </c>
      <c r="Q287" s="497">
        <v>0</v>
      </c>
      <c r="R287" s="498">
        <v>5.74</v>
      </c>
      <c r="S287" s="499">
        <v>0</v>
      </c>
      <c r="T287" s="486">
        <v>0</v>
      </c>
      <c r="U287" s="486">
        <v>0</v>
      </c>
      <c r="V287" s="486">
        <f t="shared" si="357"/>
        <v>0</v>
      </c>
      <c r="W287" s="486">
        <v>0</v>
      </c>
      <c r="X287" s="486">
        <v>0</v>
      </c>
      <c r="Y287" s="486">
        <f t="shared" si="358"/>
        <v>0</v>
      </c>
      <c r="Z287" s="486">
        <f t="shared" si="359"/>
        <v>0</v>
      </c>
      <c r="AA287" s="178">
        <f t="shared" si="332"/>
        <v>0</v>
      </c>
      <c r="AB287" s="745">
        <f t="shared" si="360"/>
        <v>0</v>
      </c>
      <c r="AC287" s="486">
        <v>0</v>
      </c>
      <c r="AD287" s="486">
        <v>0</v>
      </c>
      <c r="AE287" s="486">
        <f t="shared" si="338"/>
        <v>0</v>
      </c>
      <c r="AF287" s="486">
        <f t="shared" si="339"/>
        <v>0</v>
      </c>
      <c r="AG287" s="501">
        <v>0</v>
      </c>
      <c r="AH287" s="501">
        <v>0</v>
      </c>
      <c r="AI287" s="501">
        <v>0</v>
      </c>
      <c r="AJ287" s="501">
        <v>0</v>
      </c>
      <c r="AK287" s="501">
        <v>0</v>
      </c>
      <c r="AL287" s="501">
        <f t="shared" si="361"/>
        <v>0</v>
      </c>
      <c r="AM287" s="501">
        <f t="shared" si="362"/>
        <v>0</v>
      </c>
      <c r="AN287" s="502">
        <f t="shared" si="342"/>
        <v>0</v>
      </c>
      <c r="AO287" s="499">
        <f t="shared" si="363"/>
        <v>2308650</v>
      </c>
      <c r="AP287" s="486">
        <f t="shared" si="364"/>
        <v>1644781</v>
      </c>
      <c r="AQ287" s="486">
        <f t="shared" si="365"/>
        <v>40000</v>
      </c>
      <c r="AR287" s="486">
        <f t="shared" si="366"/>
        <v>0</v>
      </c>
      <c r="AS287" s="486">
        <f t="shared" si="367"/>
        <v>569456</v>
      </c>
      <c r="AT287" s="486">
        <f t="shared" si="367"/>
        <v>32895</v>
      </c>
      <c r="AU287" s="486">
        <f t="shared" si="368"/>
        <v>21518</v>
      </c>
      <c r="AV287" s="501">
        <f t="shared" si="369"/>
        <v>5.74</v>
      </c>
      <c r="AW287" s="501">
        <f t="shared" si="370"/>
        <v>0</v>
      </c>
      <c r="AX287" s="502">
        <f t="shared" si="370"/>
        <v>5.74</v>
      </c>
    </row>
    <row r="288" spans="1:50" ht="14.1" customHeight="1" x14ac:dyDescent="0.2">
      <c r="A288" s="585">
        <v>59</v>
      </c>
      <c r="B288" s="586">
        <v>2452</v>
      </c>
      <c r="C288" s="587">
        <v>600079660</v>
      </c>
      <c r="D288" s="586">
        <v>70695261</v>
      </c>
      <c r="E288" s="588" t="s">
        <v>692</v>
      </c>
      <c r="F288" s="585">
        <v>3143</v>
      </c>
      <c r="G288" s="208" t="s">
        <v>634</v>
      </c>
      <c r="H288" s="589" t="s">
        <v>283</v>
      </c>
      <c r="I288" s="495">
        <v>2600356</v>
      </c>
      <c r="J288" s="411">
        <v>1914842</v>
      </c>
      <c r="K288" s="520">
        <v>0</v>
      </c>
      <c r="L288" s="520">
        <v>0</v>
      </c>
      <c r="M288" s="475">
        <v>647217</v>
      </c>
      <c r="N288" s="496">
        <v>38297</v>
      </c>
      <c r="O288" s="591">
        <v>0</v>
      </c>
      <c r="P288" s="412">
        <v>4.6429</v>
      </c>
      <c r="Q288" s="415">
        <v>4.6429</v>
      </c>
      <c r="R288" s="498">
        <v>0</v>
      </c>
      <c r="S288" s="499">
        <v>0</v>
      </c>
      <c r="T288" s="486">
        <v>0</v>
      </c>
      <c r="U288" s="486">
        <v>0</v>
      </c>
      <c r="V288" s="486">
        <f t="shared" si="357"/>
        <v>0</v>
      </c>
      <c r="W288" s="486">
        <v>0</v>
      </c>
      <c r="X288" s="486">
        <v>0</v>
      </c>
      <c r="Y288" s="486">
        <f t="shared" si="358"/>
        <v>0</v>
      </c>
      <c r="Z288" s="486">
        <f t="shared" si="359"/>
        <v>0</v>
      </c>
      <c r="AA288" s="178">
        <f t="shared" si="332"/>
        <v>0</v>
      </c>
      <c r="AB288" s="745">
        <f t="shared" si="360"/>
        <v>0</v>
      </c>
      <c r="AC288" s="486">
        <v>0</v>
      </c>
      <c r="AD288" s="486">
        <v>0</v>
      </c>
      <c r="AE288" s="486">
        <f t="shared" si="338"/>
        <v>0</v>
      </c>
      <c r="AF288" s="486">
        <f t="shared" si="339"/>
        <v>0</v>
      </c>
      <c r="AG288" s="501">
        <v>0</v>
      </c>
      <c r="AH288" s="501">
        <v>0</v>
      </c>
      <c r="AI288" s="501">
        <v>0</v>
      </c>
      <c r="AJ288" s="501">
        <v>0</v>
      </c>
      <c r="AK288" s="501">
        <v>0</v>
      </c>
      <c r="AL288" s="501">
        <f t="shared" si="361"/>
        <v>0</v>
      </c>
      <c r="AM288" s="501">
        <f t="shared" si="362"/>
        <v>0</v>
      </c>
      <c r="AN288" s="502">
        <f t="shared" si="342"/>
        <v>0</v>
      </c>
      <c r="AO288" s="499">
        <f t="shared" si="363"/>
        <v>2600356</v>
      </c>
      <c r="AP288" s="486">
        <f t="shared" si="364"/>
        <v>1914842</v>
      </c>
      <c r="AQ288" s="486">
        <f t="shared" si="365"/>
        <v>0</v>
      </c>
      <c r="AR288" s="486">
        <f t="shared" si="366"/>
        <v>0</v>
      </c>
      <c r="AS288" s="486">
        <f t="shared" si="367"/>
        <v>647217</v>
      </c>
      <c r="AT288" s="486">
        <f t="shared" si="367"/>
        <v>38297</v>
      </c>
      <c r="AU288" s="486">
        <f t="shared" si="368"/>
        <v>0</v>
      </c>
      <c r="AV288" s="501">
        <f t="shared" si="369"/>
        <v>4.6429</v>
      </c>
      <c r="AW288" s="501">
        <f t="shared" si="370"/>
        <v>4.6429</v>
      </c>
      <c r="AX288" s="502">
        <f t="shared" si="370"/>
        <v>0</v>
      </c>
    </row>
    <row r="289" spans="1:50" ht="14.1" customHeight="1" x14ac:dyDescent="0.2">
      <c r="A289" s="585">
        <v>59</v>
      </c>
      <c r="B289" s="586">
        <v>2452</v>
      </c>
      <c r="C289" s="587">
        <v>600079660</v>
      </c>
      <c r="D289" s="586">
        <v>70695261</v>
      </c>
      <c r="E289" s="588" t="s">
        <v>692</v>
      </c>
      <c r="F289" s="585">
        <v>3143</v>
      </c>
      <c r="G289" s="208" t="s">
        <v>323</v>
      </c>
      <c r="H289" s="589" t="s">
        <v>284</v>
      </c>
      <c r="I289" s="495">
        <v>425073</v>
      </c>
      <c r="J289" s="496">
        <v>311468</v>
      </c>
      <c r="K289" s="475">
        <v>0</v>
      </c>
      <c r="L289" s="475">
        <v>0</v>
      </c>
      <c r="M289" s="475">
        <v>105276</v>
      </c>
      <c r="N289" s="496">
        <v>6229</v>
      </c>
      <c r="O289" s="496">
        <v>2100</v>
      </c>
      <c r="P289" s="412">
        <v>0.75</v>
      </c>
      <c r="Q289" s="497">
        <v>0.6</v>
      </c>
      <c r="R289" s="498">
        <v>0.15</v>
      </c>
      <c r="S289" s="499">
        <v>0</v>
      </c>
      <c r="T289" s="486">
        <v>0</v>
      </c>
      <c r="U289" s="486">
        <v>0</v>
      </c>
      <c r="V289" s="486">
        <f t="shared" si="357"/>
        <v>0</v>
      </c>
      <c r="W289" s="486">
        <v>0</v>
      </c>
      <c r="X289" s="486">
        <v>0</v>
      </c>
      <c r="Y289" s="486">
        <f t="shared" si="358"/>
        <v>0</v>
      </c>
      <c r="Z289" s="486">
        <f t="shared" si="359"/>
        <v>0</v>
      </c>
      <c r="AA289" s="178">
        <f t="shared" si="332"/>
        <v>0</v>
      </c>
      <c r="AB289" s="745">
        <f t="shared" si="360"/>
        <v>0</v>
      </c>
      <c r="AC289" s="486">
        <v>0</v>
      </c>
      <c r="AD289" s="486">
        <v>0</v>
      </c>
      <c r="AE289" s="486">
        <f t="shared" si="338"/>
        <v>0</v>
      </c>
      <c r="AF289" s="486">
        <f t="shared" si="339"/>
        <v>0</v>
      </c>
      <c r="AG289" s="501">
        <v>0</v>
      </c>
      <c r="AH289" s="501">
        <v>0</v>
      </c>
      <c r="AI289" s="501">
        <v>0</v>
      </c>
      <c r="AJ289" s="501">
        <v>0</v>
      </c>
      <c r="AK289" s="501">
        <v>0</v>
      </c>
      <c r="AL289" s="501">
        <f t="shared" si="361"/>
        <v>0</v>
      </c>
      <c r="AM289" s="501">
        <f t="shared" si="362"/>
        <v>0</v>
      </c>
      <c r="AN289" s="502">
        <f t="shared" si="342"/>
        <v>0</v>
      </c>
      <c r="AO289" s="499">
        <f t="shared" si="363"/>
        <v>425073</v>
      </c>
      <c r="AP289" s="486">
        <f t="shared" si="364"/>
        <v>311468</v>
      </c>
      <c r="AQ289" s="486">
        <f t="shared" si="365"/>
        <v>0</v>
      </c>
      <c r="AR289" s="486">
        <f t="shared" si="366"/>
        <v>0</v>
      </c>
      <c r="AS289" s="486">
        <f t="shared" si="367"/>
        <v>105276</v>
      </c>
      <c r="AT289" s="486">
        <f t="shared" si="367"/>
        <v>6229</v>
      </c>
      <c r="AU289" s="486">
        <f t="shared" si="368"/>
        <v>2100</v>
      </c>
      <c r="AV289" s="501">
        <f t="shared" si="369"/>
        <v>0.75</v>
      </c>
      <c r="AW289" s="501">
        <f t="shared" si="370"/>
        <v>0.6</v>
      </c>
      <c r="AX289" s="502">
        <f t="shared" si="370"/>
        <v>0.15</v>
      </c>
    </row>
    <row r="290" spans="1:50" ht="14.1" customHeight="1" x14ac:dyDescent="0.2">
      <c r="A290" s="585">
        <v>59</v>
      </c>
      <c r="B290" s="586">
        <v>2452</v>
      </c>
      <c r="C290" s="587">
        <v>600079660</v>
      </c>
      <c r="D290" s="586">
        <v>70695261</v>
      </c>
      <c r="E290" s="588" t="s">
        <v>692</v>
      </c>
      <c r="F290" s="585">
        <v>3143</v>
      </c>
      <c r="G290" s="208" t="s">
        <v>635</v>
      </c>
      <c r="H290" s="589" t="s">
        <v>284</v>
      </c>
      <c r="I290" s="495">
        <v>91287</v>
      </c>
      <c r="J290" s="496">
        <v>64350</v>
      </c>
      <c r="K290" s="475">
        <v>0</v>
      </c>
      <c r="L290" s="475">
        <v>0</v>
      </c>
      <c r="M290" s="475">
        <v>21750</v>
      </c>
      <c r="N290" s="496">
        <v>1287</v>
      </c>
      <c r="O290" s="496">
        <v>3900</v>
      </c>
      <c r="P290" s="412">
        <v>0.27</v>
      </c>
      <c r="Q290" s="497">
        <v>0</v>
      </c>
      <c r="R290" s="498">
        <v>0.27</v>
      </c>
      <c r="S290" s="499">
        <v>0</v>
      </c>
      <c r="T290" s="486">
        <v>0</v>
      </c>
      <c r="U290" s="486">
        <v>0</v>
      </c>
      <c r="V290" s="486">
        <f t="shared" si="357"/>
        <v>0</v>
      </c>
      <c r="W290" s="486">
        <v>0</v>
      </c>
      <c r="X290" s="486">
        <v>0</v>
      </c>
      <c r="Y290" s="486">
        <f t="shared" si="358"/>
        <v>0</v>
      </c>
      <c r="Z290" s="486">
        <f t="shared" si="359"/>
        <v>0</v>
      </c>
      <c r="AA290" s="178">
        <f t="shared" si="332"/>
        <v>0</v>
      </c>
      <c r="AB290" s="745">
        <f t="shared" si="360"/>
        <v>0</v>
      </c>
      <c r="AC290" s="486">
        <v>0</v>
      </c>
      <c r="AD290" s="486">
        <v>0</v>
      </c>
      <c r="AE290" s="486">
        <f t="shared" si="338"/>
        <v>0</v>
      </c>
      <c r="AF290" s="486">
        <f t="shared" si="339"/>
        <v>0</v>
      </c>
      <c r="AG290" s="501">
        <v>0</v>
      </c>
      <c r="AH290" s="501">
        <v>0</v>
      </c>
      <c r="AI290" s="501">
        <v>0</v>
      </c>
      <c r="AJ290" s="501">
        <v>0</v>
      </c>
      <c r="AK290" s="501">
        <v>0</v>
      </c>
      <c r="AL290" s="501">
        <f t="shared" si="361"/>
        <v>0</v>
      </c>
      <c r="AM290" s="501">
        <f t="shared" si="362"/>
        <v>0</v>
      </c>
      <c r="AN290" s="502">
        <f t="shared" si="342"/>
        <v>0</v>
      </c>
      <c r="AO290" s="499">
        <f t="shared" si="363"/>
        <v>91287</v>
      </c>
      <c r="AP290" s="486">
        <f t="shared" si="364"/>
        <v>64350</v>
      </c>
      <c r="AQ290" s="486">
        <f t="shared" si="365"/>
        <v>0</v>
      </c>
      <c r="AR290" s="486">
        <f t="shared" si="366"/>
        <v>0</v>
      </c>
      <c r="AS290" s="486">
        <f t="shared" si="367"/>
        <v>21750</v>
      </c>
      <c r="AT290" s="486">
        <f t="shared" si="367"/>
        <v>1287</v>
      </c>
      <c r="AU290" s="486">
        <f t="shared" si="368"/>
        <v>3900</v>
      </c>
      <c r="AV290" s="501">
        <f t="shared" si="369"/>
        <v>0.27</v>
      </c>
      <c r="AW290" s="501">
        <f t="shared" si="370"/>
        <v>0</v>
      </c>
      <c r="AX290" s="502">
        <f t="shared" si="370"/>
        <v>0.27</v>
      </c>
    </row>
    <row r="291" spans="1:50" ht="14.1" customHeight="1" x14ac:dyDescent="0.2">
      <c r="A291" s="181">
        <v>59</v>
      </c>
      <c r="B291" s="179">
        <v>2452</v>
      </c>
      <c r="C291" s="180">
        <v>600079660</v>
      </c>
      <c r="D291" s="179">
        <v>70695261</v>
      </c>
      <c r="E291" s="578" t="s">
        <v>693</v>
      </c>
      <c r="F291" s="181"/>
      <c r="G291" s="578"/>
      <c r="H291" s="579"/>
      <c r="I291" s="580">
        <v>38606443</v>
      </c>
      <c r="J291" s="581">
        <v>27483284</v>
      </c>
      <c r="K291" s="581">
        <v>264985</v>
      </c>
      <c r="L291" s="581">
        <v>184985</v>
      </c>
      <c r="M291" s="581">
        <v>9316392</v>
      </c>
      <c r="N291" s="581">
        <v>549664</v>
      </c>
      <c r="O291" s="581">
        <v>992118</v>
      </c>
      <c r="P291" s="582">
        <v>58.770399999999995</v>
      </c>
      <c r="Q291" s="582">
        <v>43.656500000000001</v>
      </c>
      <c r="R291" s="584">
        <v>15.113899999999999</v>
      </c>
      <c r="S291" s="583">
        <f t="shared" ref="S291:AX291" si="371">SUM(S284:S290)</f>
        <v>0</v>
      </c>
      <c r="T291" s="581">
        <f t="shared" si="371"/>
        <v>7075</v>
      </c>
      <c r="U291" s="581">
        <f t="shared" si="371"/>
        <v>0</v>
      </c>
      <c r="V291" s="581">
        <f t="shared" si="371"/>
        <v>7075</v>
      </c>
      <c r="W291" s="581">
        <f t="shared" si="371"/>
        <v>0</v>
      </c>
      <c r="X291" s="581">
        <f t="shared" si="371"/>
        <v>0</v>
      </c>
      <c r="Y291" s="581">
        <f t="shared" si="371"/>
        <v>0</v>
      </c>
      <c r="Z291" s="581">
        <f t="shared" si="371"/>
        <v>7075</v>
      </c>
      <c r="AA291" s="581">
        <f t="shared" si="371"/>
        <v>2391</v>
      </c>
      <c r="AB291" s="583">
        <f t="shared" si="371"/>
        <v>142</v>
      </c>
      <c r="AC291" s="581">
        <f t="shared" si="371"/>
        <v>0</v>
      </c>
      <c r="AD291" s="581">
        <f t="shared" si="371"/>
        <v>0</v>
      </c>
      <c r="AE291" s="581">
        <f t="shared" si="371"/>
        <v>0</v>
      </c>
      <c r="AF291" s="581">
        <f t="shared" si="371"/>
        <v>9608</v>
      </c>
      <c r="AG291" s="582">
        <f t="shared" si="371"/>
        <v>0</v>
      </c>
      <c r="AH291" s="582">
        <f t="shared" si="371"/>
        <v>0</v>
      </c>
      <c r="AI291" s="582">
        <f t="shared" si="371"/>
        <v>0.02</v>
      </c>
      <c r="AJ291" s="582">
        <f t="shared" si="371"/>
        <v>0</v>
      </c>
      <c r="AK291" s="582">
        <f t="shared" si="371"/>
        <v>0</v>
      </c>
      <c r="AL291" s="582">
        <f t="shared" si="371"/>
        <v>0.02</v>
      </c>
      <c r="AM291" s="582">
        <f t="shared" si="371"/>
        <v>0</v>
      </c>
      <c r="AN291" s="584">
        <f t="shared" si="371"/>
        <v>0.02</v>
      </c>
      <c r="AO291" s="583">
        <f t="shared" si="371"/>
        <v>38616051</v>
      </c>
      <c r="AP291" s="581">
        <f t="shared" si="371"/>
        <v>27490359</v>
      </c>
      <c r="AQ291" s="581">
        <f t="shared" si="371"/>
        <v>264985</v>
      </c>
      <c r="AR291" s="581">
        <f t="shared" si="371"/>
        <v>184985</v>
      </c>
      <c r="AS291" s="581">
        <f t="shared" si="371"/>
        <v>9318783</v>
      </c>
      <c r="AT291" s="581">
        <f t="shared" si="371"/>
        <v>549806</v>
      </c>
      <c r="AU291" s="581">
        <f t="shared" si="371"/>
        <v>992118</v>
      </c>
      <c r="AV291" s="582">
        <f t="shared" si="371"/>
        <v>58.790399999999998</v>
      </c>
      <c r="AW291" s="582">
        <f t="shared" si="371"/>
        <v>43.676499999999997</v>
      </c>
      <c r="AX291" s="584">
        <f t="shared" si="371"/>
        <v>15.113899999999999</v>
      </c>
    </row>
    <row r="292" spans="1:50" ht="14.1" customHeight="1" x14ac:dyDescent="0.2">
      <c r="A292" s="585">
        <v>60</v>
      </c>
      <c r="B292" s="586">
        <v>2319</v>
      </c>
      <c r="C292" s="587">
        <v>600080218</v>
      </c>
      <c r="D292" s="586">
        <v>70695245</v>
      </c>
      <c r="E292" s="588" t="s">
        <v>694</v>
      </c>
      <c r="F292" s="585">
        <v>3231</v>
      </c>
      <c r="G292" s="588" t="s">
        <v>322</v>
      </c>
      <c r="H292" s="589" t="s">
        <v>283</v>
      </c>
      <c r="I292" s="495">
        <v>6642544</v>
      </c>
      <c r="J292" s="496">
        <v>4876513</v>
      </c>
      <c r="K292" s="475">
        <v>0</v>
      </c>
      <c r="L292" s="475">
        <v>0</v>
      </c>
      <c r="M292" s="475">
        <v>1648261</v>
      </c>
      <c r="N292" s="496">
        <v>97530</v>
      </c>
      <c r="O292" s="496">
        <v>20240</v>
      </c>
      <c r="P292" s="412">
        <v>9.5662000000000003</v>
      </c>
      <c r="Q292" s="590">
        <v>8.5454000000000008</v>
      </c>
      <c r="R292" s="689">
        <v>1.0207999999999999</v>
      </c>
      <c r="S292" s="499">
        <v>0</v>
      </c>
      <c r="T292" s="486">
        <v>0</v>
      </c>
      <c r="U292" s="486">
        <v>0</v>
      </c>
      <c r="V292" s="486">
        <f>SUM(S292:U292)</f>
        <v>0</v>
      </c>
      <c r="W292" s="486">
        <v>0</v>
      </c>
      <c r="X292" s="486">
        <v>0</v>
      </c>
      <c r="Y292" s="486">
        <f>SUM(W292:X292)</f>
        <v>0</v>
      </c>
      <c r="Z292" s="486">
        <f>V292+Y292</f>
        <v>0</v>
      </c>
      <c r="AA292" s="178">
        <f t="shared" si="332"/>
        <v>0</v>
      </c>
      <c r="AB292" s="745">
        <f>ROUND(V292*2%,0)</f>
        <v>0</v>
      </c>
      <c r="AC292" s="486">
        <v>0</v>
      </c>
      <c r="AD292" s="486">
        <v>0</v>
      </c>
      <c r="AE292" s="486">
        <f t="shared" si="338"/>
        <v>0</v>
      </c>
      <c r="AF292" s="486">
        <f t="shared" si="339"/>
        <v>0</v>
      </c>
      <c r="AG292" s="501">
        <v>0</v>
      </c>
      <c r="AH292" s="501">
        <v>0</v>
      </c>
      <c r="AI292" s="501">
        <v>0</v>
      </c>
      <c r="AJ292" s="501">
        <v>0</v>
      </c>
      <c r="AK292" s="501">
        <v>0</v>
      </c>
      <c r="AL292" s="501">
        <f>AG292+AI292+AJ292</f>
        <v>0</v>
      </c>
      <c r="AM292" s="501">
        <f>AH292+AK292</f>
        <v>0</v>
      </c>
      <c r="AN292" s="502">
        <f t="shared" si="342"/>
        <v>0</v>
      </c>
      <c r="AO292" s="499">
        <f>I292+AF292</f>
        <v>6642544</v>
      </c>
      <c r="AP292" s="486">
        <f>J292+V292</f>
        <v>4876513</v>
      </c>
      <c r="AQ292" s="486">
        <f>K292+Y292</f>
        <v>0</v>
      </c>
      <c r="AR292" s="486">
        <f>L292</f>
        <v>0</v>
      </c>
      <c r="AS292" s="486">
        <f>M292+AA292</f>
        <v>1648261</v>
      </c>
      <c r="AT292" s="486">
        <f>N292+AB292</f>
        <v>97530</v>
      </c>
      <c r="AU292" s="486">
        <f>O292+AE292</f>
        <v>20240</v>
      </c>
      <c r="AV292" s="501">
        <f>P292+AN292</f>
        <v>9.5662000000000003</v>
      </c>
      <c r="AW292" s="501">
        <f>Q292+AL292</f>
        <v>8.5454000000000008</v>
      </c>
      <c r="AX292" s="502">
        <f>R292+AM292</f>
        <v>1.0207999999999999</v>
      </c>
    </row>
    <row r="293" spans="1:50" ht="14.1" customHeight="1" x14ac:dyDescent="0.2">
      <c r="A293" s="181">
        <v>60</v>
      </c>
      <c r="B293" s="179">
        <v>2319</v>
      </c>
      <c r="C293" s="180">
        <v>600080218</v>
      </c>
      <c r="D293" s="179">
        <v>70695245</v>
      </c>
      <c r="E293" s="578" t="s">
        <v>695</v>
      </c>
      <c r="F293" s="181"/>
      <c r="G293" s="578"/>
      <c r="H293" s="579"/>
      <c r="I293" s="182">
        <v>6642544</v>
      </c>
      <c r="J293" s="183">
        <v>4876513</v>
      </c>
      <c r="K293" s="183">
        <v>0</v>
      </c>
      <c r="L293" s="183">
        <v>0</v>
      </c>
      <c r="M293" s="183">
        <v>1648261</v>
      </c>
      <c r="N293" s="183">
        <v>97530</v>
      </c>
      <c r="O293" s="183">
        <v>20240</v>
      </c>
      <c r="P293" s="184">
        <v>9.5662000000000003</v>
      </c>
      <c r="Q293" s="184">
        <v>8.5454000000000008</v>
      </c>
      <c r="R293" s="185">
        <v>1.0207999999999999</v>
      </c>
      <c r="S293" s="345">
        <f t="shared" ref="S293:AX293" si="372">SUM(S292)</f>
        <v>0</v>
      </c>
      <c r="T293" s="183">
        <f t="shared" si="372"/>
        <v>0</v>
      </c>
      <c r="U293" s="183">
        <f t="shared" si="372"/>
        <v>0</v>
      </c>
      <c r="V293" s="183">
        <f t="shared" si="372"/>
        <v>0</v>
      </c>
      <c r="W293" s="183">
        <f t="shared" si="372"/>
        <v>0</v>
      </c>
      <c r="X293" s="183">
        <f t="shared" si="372"/>
        <v>0</v>
      </c>
      <c r="Y293" s="183">
        <f t="shared" si="372"/>
        <v>0</v>
      </c>
      <c r="Z293" s="183">
        <f t="shared" si="372"/>
        <v>0</v>
      </c>
      <c r="AA293" s="183">
        <f t="shared" si="372"/>
        <v>0</v>
      </c>
      <c r="AB293" s="345">
        <f t="shared" si="372"/>
        <v>0</v>
      </c>
      <c r="AC293" s="183">
        <f t="shared" si="372"/>
        <v>0</v>
      </c>
      <c r="AD293" s="183">
        <f t="shared" si="372"/>
        <v>0</v>
      </c>
      <c r="AE293" s="183">
        <f t="shared" si="372"/>
        <v>0</v>
      </c>
      <c r="AF293" s="183">
        <f t="shared" si="372"/>
        <v>0</v>
      </c>
      <c r="AG293" s="184">
        <f t="shared" si="372"/>
        <v>0</v>
      </c>
      <c r="AH293" s="184">
        <f t="shared" si="372"/>
        <v>0</v>
      </c>
      <c r="AI293" s="184">
        <f t="shared" si="372"/>
        <v>0</v>
      </c>
      <c r="AJ293" s="184">
        <f t="shared" si="372"/>
        <v>0</v>
      </c>
      <c r="AK293" s="184">
        <f t="shared" si="372"/>
        <v>0</v>
      </c>
      <c r="AL293" s="184">
        <f t="shared" si="372"/>
        <v>0</v>
      </c>
      <c r="AM293" s="184">
        <f t="shared" si="372"/>
        <v>0</v>
      </c>
      <c r="AN293" s="185">
        <f t="shared" si="372"/>
        <v>0</v>
      </c>
      <c r="AO293" s="345">
        <f t="shared" si="372"/>
        <v>6642544</v>
      </c>
      <c r="AP293" s="183">
        <f t="shared" si="372"/>
        <v>4876513</v>
      </c>
      <c r="AQ293" s="183">
        <f t="shared" si="372"/>
        <v>0</v>
      </c>
      <c r="AR293" s="183">
        <f t="shared" si="372"/>
        <v>0</v>
      </c>
      <c r="AS293" s="183">
        <f t="shared" si="372"/>
        <v>1648261</v>
      </c>
      <c r="AT293" s="183">
        <f t="shared" si="372"/>
        <v>97530</v>
      </c>
      <c r="AU293" s="183">
        <f t="shared" si="372"/>
        <v>20240</v>
      </c>
      <c r="AV293" s="184">
        <f t="shared" si="372"/>
        <v>9.5662000000000003</v>
      </c>
      <c r="AW293" s="184">
        <f t="shared" si="372"/>
        <v>8.5454000000000008</v>
      </c>
      <c r="AX293" s="185">
        <f t="shared" si="372"/>
        <v>1.0207999999999999</v>
      </c>
    </row>
    <row r="294" spans="1:50" ht="14.1" customHeight="1" x14ac:dyDescent="0.2">
      <c r="A294" s="585">
        <v>61</v>
      </c>
      <c r="B294" s="586">
        <v>2444</v>
      </c>
      <c r="C294" s="587">
        <v>600079848</v>
      </c>
      <c r="D294" s="586">
        <v>72742836</v>
      </c>
      <c r="E294" s="588" t="s">
        <v>696</v>
      </c>
      <c r="F294" s="585">
        <v>3111</v>
      </c>
      <c r="G294" s="588" t="s">
        <v>317</v>
      </c>
      <c r="H294" s="589" t="s">
        <v>283</v>
      </c>
      <c r="I294" s="495">
        <v>3758046</v>
      </c>
      <c r="J294" s="411">
        <v>2741566</v>
      </c>
      <c r="K294" s="520">
        <v>0</v>
      </c>
      <c r="L294" s="520">
        <v>0</v>
      </c>
      <c r="M294" s="475">
        <v>926649</v>
      </c>
      <c r="N294" s="496">
        <v>54831</v>
      </c>
      <c r="O294" s="411">
        <v>35000</v>
      </c>
      <c r="P294" s="412">
        <v>6.6827999999999994</v>
      </c>
      <c r="Q294" s="415">
        <v>5.3</v>
      </c>
      <c r="R294" s="685">
        <v>1.3828</v>
      </c>
      <c r="S294" s="499">
        <v>0</v>
      </c>
      <c r="T294" s="486">
        <v>0</v>
      </c>
      <c r="U294" s="486">
        <v>0</v>
      </c>
      <c r="V294" s="486">
        <f t="shared" ref="V294:V299" si="373">SUM(S294:U294)</f>
        <v>0</v>
      </c>
      <c r="W294" s="486">
        <v>0</v>
      </c>
      <c r="X294" s="486">
        <v>0</v>
      </c>
      <c r="Y294" s="486">
        <f t="shared" ref="Y294:Y299" si="374">SUM(W294:X294)</f>
        <v>0</v>
      </c>
      <c r="Z294" s="486">
        <f t="shared" ref="Z294:Z299" si="375">V294+Y294</f>
        <v>0</v>
      </c>
      <c r="AA294" s="178">
        <f t="shared" si="332"/>
        <v>0</v>
      </c>
      <c r="AB294" s="745">
        <f t="shared" ref="AB294:AB299" si="376">ROUND(V294*2%,0)</f>
        <v>0</v>
      </c>
      <c r="AC294" s="486">
        <v>0</v>
      </c>
      <c r="AD294" s="486">
        <v>0</v>
      </c>
      <c r="AE294" s="486">
        <f t="shared" si="338"/>
        <v>0</v>
      </c>
      <c r="AF294" s="486">
        <f t="shared" si="339"/>
        <v>0</v>
      </c>
      <c r="AG294" s="501">
        <v>0</v>
      </c>
      <c r="AH294" s="501">
        <v>0</v>
      </c>
      <c r="AI294" s="501">
        <v>0</v>
      </c>
      <c r="AJ294" s="501">
        <v>0</v>
      </c>
      <c r="AK294" s="501">
        <v>0</v>
      </c>
      <c r="AL294" s="501">
        <f t="shared" ref="AL294:AL299" si="377">AG294+AI294+AJ294</f>
        <v>0</v>
      </c>
      <c r="AM294" s="501">
        <f t="shared" ref="AM294:AM299" si="378">AH294+AK294</f>
        <v>0</v>
      </c>
      <c r="AN294" s="502">
        <f t="shared" si="342"/>
        <v>0</v>
      </c>
      <c r="AO294" s="499">
        <f t="shared" ref="AO294:AO299" si="379">I294+AF294</f>
        <v>3758046</v>
      </c>
      <c r="AP294" s="486">
        <f t="shared" ref="AP294:AP299" si="380">J294+V294</f>
        <v>2741566</v>
      </c>
      <c r="AQ294" s="486">
        <f t="shared" ref="AQ294:AQ299" si="381">K294+Y294</f>
        <v>0</v>
      </c>
      <c r="AR294" s="486">
        <f t="shared" ref="AR294:AR299" si="382">L294</f>
        <v>0</v>
      </c>
      <c r="AS294" s="486">
        <f t="shared" ref="AS294:AT299" si="383">M294+AA294</f>
        <v>926649</v>
      </c>
      <c r="AT294" s="486">
        <f t="shared" si="383"/>
        <v>54831</v>
      </c>
      <c r="AU294" s="486">
        <f t="shared" ref="AU294:AU299" si="384">O294+AE294</f>
        <v>35000</v>
      </c>
      <c r="AV294" s="501">
        <f t="shared" ref="AV294:AV299" si="385">P294+AN294</f>
        <v>6.6827999999999994</v>
      </c>
      <c r="AW294" s="501">
        <f t="shared" ref="AW294:AX299" si="386">Q294+AL294</f>
        <v>5.3</v>
      </c>
      <c r="AX294" s="502">
        <f t="shared" si="386"/>
        <v>1.3828</v>
      </c>
    </row>
    <row r="295" spans="1:50" ht="14.1" customHeight="1" x14ac:dyDescent="0.2">
      <c r="A295" s="585">
        <v>61</v>
      </c>
      <c r="B295" s="586">
        <v>2444</v>
      </c>
      <c r="C295" s="587">
        <v>600079848</v>
      </c>
      <c r="D295" s="586">
        <v>72742836</v>
      </c>
      <c r="E295" s="588" t="s">
        <v>696</v>
      </c>
      <c r="F295" s="585">
        <v>3117</v>
      </c>
      <c r="G295" s="592" t="s">
        <v>320</v>
      </c>
      <c r="H295" s="589" t="s">
        <v>283</v>
      </c>
      <c r="I295" s="495">
        <v>4269654</v>
      </c>
      <c r="J295" s="411">
        <v>2977863</v>
      </c>
      <c r="K295" s="520">
        <v>51844</v>
      </c>
      <c r="L295" s="520">
        <v>7844</v>
      </c>
      <c r="M295" s="475">
        <v>1021390</v>
      </c>
      <c r="N295" s="496">
        <v>59557</v>
      </c>
      <c r="O295" s="411">
        <v>159000</v>
      </c>
      <c r="P295" s="412">
        <v>6.1430000000000007</v>
      </c>
      <c r="Q295" s="415">
        <v>3.91</v>
      </c>
      <c r="R295" s="685">
        <v>2.2330000000000001</v>
      </c>
      <c r="S295" s="499">
        <v>0</v>
      </c>
      <c r="T295" s="486">
        <v>0</v>
      </c>
      <c r="U295" s="486">
        <v>0</v>
      </c>
      <c r="V295" s="486">
        <f t="shared" si="373"/>
        <v>0</v>
      </c>
      <c r="W295" s="486">
        <v>0</v>
      </c>
      <c r="X295" s="486">
        <v>0</v>
      </c>
      <c r="Y295" s="486">
        <f t="shared" si="374"/>
        <v>0</v>
      </c>
      <c r="Z295" s="486">
        <f t="shared" si="375"/>
        <v>0</v>
      </c>
      <c r="AA295" s="178">
        <f t="shared" si="332"/>
        <v>0</v>
      </c>
      <c r="AB295" s="745">
        <f t="shared" si="376"/>
        <v>0</v>
      </c>
      <c r="AC295" s="486">
        <v>0</v>
      </c>
      <c r="AD295" s="486">
        <v>0</v>
      </c>
      <c r="AE295" s="486">
        <f t="shared" si="338"/>
        <v>0</v>
      </c>
      <c r="AF295" s="486">
        <f t="shared" si="339"/>
        <v>0</v>
      </c>
      <c r="AG295" s="501">
        <v>0</v>
      </c>
      <c r="AH295" s="501">
        <v>0</v>
      </c>
      <c r="AI295" s="501">
        <v>0</v>
      </c>
      <c r="AJ295" s="501">
        <v>0</v>
      </c>
      <c r="AK295" s="501">
        <v>0</v>
      </c>
      <c r="AL295" s="501">
        <f t="shared" si="377"/>
        <v>0</v>
      </c>
      <c r="AM295" s="501">
        <f t="shared" si="378"/>
        <v>0</v>
      </c>
      <c r="AN295" s="502">
        <f t="shared" si="342"/>
        <v>0</v>
      </c>
      <c r="AO295" s="499">
        <f t="shared" si="379"/>
        <v>4269654</v>
      </c>
      <c r="AP295" s="486">
        <f t="shared" si="380"/>
        <v>2977863</v>
      </c>
      <c r="AQ295" s="486">
        <f t="shared" si="381"/>
        <v>51844</v>
      </c>
      <c r="AR295" s="486">
        <f t="shared" si="382"/>
        <v>7844</v>
      </c>
      <c r="AS295" s="486">
        <f t="shared" si="383"/>
        <v>1021390</v>
      </c>
      <c r="AT295" s="486">
        <f t="shared" si="383"/>
        <v>59557</v>
      </c>
      <c r="AU295" s="486">
        <f t="shared" si="384"/>
        <v>159000</v>
      </c>
      <c r="AV295" s="501">
        <f t="shared" si="385"/>
        <v>6.1430000000000007</v>
      </c>
      <c r="AW295" s="501">
        <f t="shared" si="386"/>
        <v>3.91</v>
      </c>
      <c r="AX295" s="502">
        <f t="shared" si="386"/>
        <v>2.2330000000000001</v>
      </c>
    </row>
    <row r="296" spans="1:50" ht="14.1" customHeight="1" x14ac:dyDescent="0.2">
      <c r="A296" s="585">
        <v>61</v>
      </c>
      <c r="B296" s="586">
        <v>2444</v>
      </c>
      <c r="C296" s="587">
        <v>600079848</v>
      </c>
      <c r="D296" s="586">
        <v>72742836</v>
      </c>
      <c r="E296" s="588" t="s">
        <v>696</v>
      </c>
      <c r="F296" s="585">
        <v>3117</v>
      </c>
      <c r="G296" s="208" t="s">
        <v>318</v>
      </c>
      <c r="H296" s="589" t="s">
        <v>284</v>
      </c>
      <c r="I296" s="495">
        <v>214444</v>
      </c>
      <c r="J296" s="496">
        <v>156807</v>
      </c>
      <c r="K296" s="475">
        <v>0</v>
      </c>
      <c r="L296" s="475">
        <v>0</v>
      </c>
      <c r="M296" s="475">
        <v>53001</v>
      </c>
      <c r="N296" s="496">
        <v>3136</v>
      </c>
      <c r="O296" s="496">
        <v>1500</v>
      </c>
      <c r="P296" s="412">
        <v>0.43</v>
      </c>
      <c r="Q296" s="497">
        <v>0.43</v>
      </c>
      <c r="R296" s="498">
        <v>0</v>
      </c>
      <c r="S296" s="499">
        <v>0</v>
      </c>
      <c r="T296" s="486">
        <v>0</v>
      </c>
      <c r="U296" s="486">
        <v>0</v>
      </c>
      <c r="V296" s="486">
        <f t="shared" si="373"/>
        <v>0</v>
      </c>
      <c r="W296" s="486">
        <v>0</v>
      </c>
      <c r="X296" s="486">
        <v>0</v>
      </c>
      <c r="Y296" s="486">
        <f t="shared" si="374"/>
        <v>0</v>
      </c>
      <c r="Z296" s="486">
        <f t="shared" si="375"/>
        <v>0</v>
      </c>
      <c r="AA296" s="178">
        <f t="shared" si="332"/>
        <v>0</v>
      </c>
      <c r="AB296" s="745">
        <f t="shared" si="376"/>
        <v>0</v>
      </c>
      <c r="AC296" s="486">
        <v>0</v>
      </c>
      <c r="AD296" s="486">
        <v>0</v>
      </c>
      <c r="AE296" s="486">
        <f t="shared" si="338"/>
        <v>0</v>
      </c>
      <c r="AF296" s="486">
        <f t="shared" si="339"/>
        <v>0</v>
      </c>
      <c r="AG296" s="501">
        <v>0</v>
      </c>
      <c r="AH296" s="501">
        <v>0</v>
      </c>
      <c r="AI296" s="501">
        <v>0</v>
      </c>
      <c r="AJ296" s="501">
        <v>0</v>
      </c>
      <c r="AK296" s="501">
        <v>0</v>
      </c>
      <c r="AL296" s="501">
        <f t="shared" si="377"/>
        <v>0</v>
      </c>
      <c r="AM296" s="501">
        <f t="shared" si="378"/>
        <v>0</v>
      </c>
      <c r="AN296" s="502">
        <f t="shared" si="342"/>
        <v>0</v>
      </c>
      <c r="AO296" s="499">
        <f t="shared" si="379"/>
        <v>214444</v>
      </c>
      <c r="AP296" s="486">
        <f t="shared" si="380"/>
        <v>156807</v>
      </c>
      <c r="AQ296" s="486">
        <f t="shared" si="381"/>
        <v>0</v>
      </c>
      <c r="AR296" s="486">
        <f t="shared" si="382"/>
        <v>0</v>
      </c>
      <c r="AS296" s="486">
        <f t="shared" si="383"/>
        <v>53001</v>
      </c>
      <c r="AT296" s="486">
        <f t="shared" si="383"/>
        <v>3136</v>
      </c>
      <c r="AU296" s="486">
        <f t="shared" si="384"/>
        <v>1500</v>
      </c>
      <c r="AV296" s="501">
        <f t="shared" si="385"/>
        <v>0.43</v>
      </c>
      <c r="AW296" s="501">
        <f t="shared" si="386"/>
        <v>0.43</v>
      </c>
      <c r="AX296" s="502">
        <f t="shared" si="386"/>
        <v>0</v>
      </c>
    </row>
    <row r="297" spans="1:50" ht="14.1" customHeight="1" x14ac:dyDescent="0.2">
      <c r="A297" s="585">
        <v>61</v>
      </c>
      <c r="B297" s="586">
        <v>2444</v>
      </c>
      <c r="C297" s="587">
        <v>600079848</v>
      </c>
      <c r="D297" s="586">
        <v>72742836</v>
      </c>
      <c r="E297" s="588" t="s">
        <v>696</v>
      </c>
      <c r="F297" s="585">
        <v>3141</v>
      </c>
      <c r="G297" s="588" t="s">
        <v>321</v>
      </c>
      <c r="H297" s="589" t="s">
        <v>284</v>
      </c>
      <c r="I297" s="495">
        <v>1160603</v>
      </c>
      <c r="J297" s="496">
        <v>850199</v>
      </c>
      <c r="K297" s="475">
        <v>0</v>
      </c>
      <c r="L297" s="475">
        <v>0</v>
      </c>
      <c r="M297" s="475">
        <v>287368</v>
      </c>
      <c r="N297" s="496">
        <v>17004</v>
      </c>
      <c r="O297" s="496">
        <v>6032</v>
      </c>
      <c r="P297" s="412">
        <v>2.89</v>
      </c>
      <c r="Q297" s="497">
        <v>0</v>
      </c>
      <c r="R297" s="498">
        <v>2.89</v>
      </c>
      <c r="S297" s="499">
        <v>0</v>
      </c>
      <c r="T297" s="486">
        <v>0</v>
      </c>
      <c r="U297" s="486">
        <v>0</v>
      </c>
      <c r="V297" s="486">
        <f t="shared" si="373"/>
        <v>0</v>
      </c>
      <c r="W297" s="486">
        <v>0</v>
      </c>
      <c r="X297" s="486">
        <v>0</v>
      </c>
      <c r="Y297" s="486">
        <f t="shared" si="374"/>
        <v>0</v>
      </c>
      <c r="Z297" s="486">
        <f t="shared" si="375"/>
        <v>0</v>
      </c>
      <c r="AA297" s="178">
        <f t="shared" si="332"/>
        <v>0</v>
      </c>
      <c r="AB297" s="745">
        <f t="shared" si="376"/>
        <v>0</v>
      </c>
      <c r="AC297" s="486">
        <v>0</v>
      </c>
      <c r="AD297" s="486">
        <v>0</v>
      </c>
      <c r="AE297" s="486">
        <f t="shared" si="338"/>
        <v>0</v>
      </c>
      <c r="AF297" s="486">
        <f t="shared" si="339"/>
        <v>0</v>
      </c>
      <c r="AG297" s="501">
        <v>0</v>
      </c>
      <c r="AH297" s="501">
        <v>0</v>
      </c>
      <c r="AI297" s="501">
        <v>0</v>
      </c>
      <c r="AJ297" s="501">
        <v>0</v>
      </c>
      <c r="AK297" s="501">
        <v>0</v>
      </c>
      <c r="AL297" s="501">
        <f t="shared" si="377"/>
        <v>0</v>
      </c>
      <c r="AM297" s="501">
        <f t="shared" si="378"/>
        <v>0</v>
      </c>
      <c r="AN297" s="502">
        <f t="shared" si="342"/>
        <v>0</v>
      </c>
      <c r="AO297" s="499">
        <f t="shared" si="379"/>
        <v>1160603</v>
      </c>
      <c r="AP297" s="486">
        <f t="shared" si="380"/>
        <v>850199</v>
      </c>
      <c r="AQ297" s="486">
        <f t="shared" si="381"/>
        <v>0</v>
      </c>
      <c r="AR297" s="486">
        <f t="shared" si="382"/>
        <v>0</v>
      </c>
      <c r="AS297" s="486">
        <f t="shared" si="383"/>
        <v>287368</v>
      </c>
      <c r="AT297" s="486">
        <f t="shared" si="383"/>
        <v>17004</v>
      </c>
      <c r="AU297" s="486">
        <f t="shared" si="384"/>
        <v>6032</v>
      </c>
      <c r="AV297" s="501">
        <f t="shared" si="385"/>
        <v>2.89</v>
      </c>
      <c r="AW297" s="501">
        <f t="shared" si="386"/>
        <v>0</v>
      </c>
      <c r="AX297" s="502">
        <f t="shared" si="386"/>
        <v>2.89</v>
      </c>
    </row>
    <row r="298" spans="1:50" ht="14.1" customHeight="1" x14ac:dyDescent="0.2">
      <c r="A298" s="585">
        <v>61</v>
      </c>
      <c r="B298" s="586">
        <v>2444</v>
      </c>
      <c r="C298" s="587">
        <v>600079848</v>
      </c>
      <c r="D298" s="586">
        <v>72742836</v>
      </c>
      <c r="E298" s="588" t="s">
        <v>696</v>
      </c>
      <c r="F298" s="585">
        <v>3143</v>
      </c>
      <c r="G298" s="208" t="s">
        <v>634</v>
      </c>
      <c r="H298" s="589" t="s">
        <v>283</v>
      </c>
      <c r="I298" s="495">
        <v>696047</v>
      </c>
      <c r="J298" s="411">
        <v>512553</v>
      </c>
      <c r="K298" s="520">
        <v>0</v>
      </c>
      <c r="L298" s="520">
        <v>0</v>
      </c>
      <c r="M298" s="475">
        <v>173243</v>
      </c>
      <c r="N298" s="496">
        <v>10251</v>
      </c>
      <c r="O298" s="591">
        <v>0</v>
      </c>
      <c r="P298" s="412">
        <v>1</v>
      </c>
      <c r="Q298" s="415">
        <v>1</v>
      </c>
      <c r="R298" s="498">
        <v>0</v>
      </c>
      <c r="S298" s="499">
        <v>0</v>
      </c>
      <c r="T298" s="486">
        <v>0</v>
      </c>
      <c r="U298" s="486">
        <v>0</v>
      </c>
      <c r="V298" s="486">
        <f t="shared" si="373"/>
        <v>0</v>
      </c>
      <c r="W298" s="486">
        <v>0</v>
      </c>
      <c r="X298" s="486">
        <v>0</v>
      </c>
      <c r="Y298" s="486">
        <f t="shared" si="374"/>
        <v>0</v>
      </c>
      <c r="Z298" s="486">
        <f t="shared" si="375"/>
        <v>0</v>
      </c>
      <c r="AA298" s="178">
        <f t="shared" si="332"/>
        <v>0</v>
      </c>
      <c r="AB298" s="745">
        <f t="shared" si="376"/>
        <v>0</v>
      </c>
      <c r="AC298" s="486">
        <v>0</v>
      </c>
      <c r="AD298" s="486">
        <v>0</v>
      </c>
      <c r="AE298" s="486">
        <f t="shared" si="338"/>
        <v>0</v>
      </c>
      <c r="AF298" s="486">
        <f t="shared" si="339"/>
        <v>0</v>
      </c>
      <c r="AG298" s="501">
        <v>0</v>
      </c>
      <c r="AH298" s="501">
        <v>0</v>
      </c>
      <c r="AI298" s="501">
        <v>0</v>
      </c>
      <c r="AJ298" s="501">
        <v>0</v>
      </c>
      <c r="AK298" s="501">
        <v>0</v>
      </c>
      <c r="AL298" s="501">
        <f t="shared" si="377"/>
        <v>0</v>
      </c>
      <c r="AM298" s="501">
        <f t="shared" si="378"/>
        <v>0</v>
      </c>
      <c r="AN298" s="502">
        <f t="shared" si="342"/>
        <v>0</v>
      </c>
      <c r="AO298" s="499">
        <f t="shared" si="379"/>
        <v>696047</v>
      </c>
      <c r="AP298" s="486">
        <f t="shared" si="380"/>
        <v>512553</v>
      </c>
      <c r="AQ298" s="486">
        <f t="shared" si="381"/>
        <v>0</v>
      </c>
      <c r="AR298" s="486">
        <f t="shared" si="382"/>
        <v>0</v>
      </c>
      <c r="AS298" s="486">
        <f t="shared" si="383"/>
        <v>173243</v>
      </c>
      <c r="AT298" s="486">
        <f t="shared" si="383"/>
        <v>10251</v>
      </c>
      <c r="AU298" s="486">
        <f t="shared" si="384"/>
        <v>0</v>
      </c>
      <c r="AV298" s="501">
        <f t="shared" si="385"/>
        <v>1</v>
      </c>
      <c r="AW298" s="501">
        <f t="shared" si="386"/>
        <v>1</v>
      </c>
      <c r="AX298" s="502">
        <f t="shared" si="386"/>
        <v>0</v>
      </c>
    </row>
    <row r="299" spans="1:50" ht="14.1" customHeight="1" x14ac:dyDescent="0.2">
      <c r="A299" s="585">
        <v>61</v>
      </c>
      <c r="B299" s="586">
        <v>2444</v>
      </c>
      <c r="C299" s="587">
        <v>600079848</v>
      </c>
      <c r="D299" s="586">
        <v>72742836</v>
      </c>
      <c r="E299" s="588" t="s">
        <v>696</v>
      </c>
      <c r="F299" s="585">
        <v>3143</v>
      </c>
      <c r="G299" s="208" t="s">
        <v>635</v>
      </c>
      <c r="H299" s="589" t="s">
        <v>284</v>
      </c>
      <c r="I299" s="495">
        <v>19662</v>
      </c>
      <c r="J299" s="496">
        <v>13860</v>
      </c>
      <c r="K299" s="475">
        <v>0</v>
      </c>
      <c r="L299" s="475">
        <v>0</v>
      </c>
      <c r="M299" s="475">
        <v>4685</v>
      </c>
      <c r="N299" s="496">
        <v>277</v>
      </c>
      <c r="O299" s="496">
        <v>840</v>
      </c>
      <c r="P299" s="412">
        <v>0.06</v>
      </c>
      <c r="Q299" s="497">
        <v>0</v>
      </c>
      <c r="R299" s="498">
        <v>0.06</v>
      </c>
      <c r="S299" s="499">
        <v>0</v>
      </c>
      <c r="T299" s="486">
        <v>0</v>
      </c>
      <c r="U299" s="486">
        <v>0</v>
      </c>
      <c r="V299" s="486">
        <f t="shared" si="373"/>
        <v>0</v>
      </c>
      <c r="W299" s="486">
        <v>0</v>
      </c>
      <c r="X299" s="486">
        <v>0</v>
      </c>
      <c r="Y299" s="486">
        <f t="shared" si="374"/>
        <v>0</v>
      </c>
      <c r="Z299" s="486">
        <f t="shared" si="375"/>
        <v>0</v>
      </c>
      <c r="AA299" s="178">
        <f t="shared" si="332"/>
        <v>0</v>
      </c>
      <c r="AB299" s="745">
        <f t="shared" si="376"/>
        <v>0</v>
      </c>
      <c r="AC299" s="486">
        <v>0</v>
      </c>
      <c r="AD299" s="486">
        <v>0</v>
      </c>
      <c r="AE299" s="486">
        <f t="shared" si="338"/>
        <v>0</v>
      </c>
      <c r="AF299" s="486">
        <f t="shared" si="339"/>
        <v>0</v>
      </c>
      <c r="AG299" s="501">
        <v>0</v>
      </c>
      <c r="AH299" s="501">
        <v>0</v>
      </c>
      <c r="AI299" s="501">
        <v>0</v>
      </c>
      <c r="AJ299" s="501">
        <v>0</v>
      </c>
      <c r="AK299" s="501">
        <v>0</v>
      </c>
      <c r="AL299" s="501">
        <f t="shared" si="377"/>
        <v>0</v>
      </c>
      <c r="AM299" s="501">
        <f t="shared" si="378"/>
        <v>0</v>
      </c>
      <c r="AN299" s="502">
        <f t="shared" si="342"/>
        <v>0</v>
      </c>
      <c r="AO299" s="499">
        <f t="shared" si="379"/>
        <v>19662</v>
      </c>
      <c r="AP299" s="486">
        <f t="shared" si="380"/>
        <v>13860</v>
      </c>
      <c r="AQ299" s="486">
        <f t="shared" si="381"/>
        <v>0</v>
      </c>
      <c r="AR299" s="486">
        <f t="shared" si="382"/>
        <v>0</v>
      </c>
      <c r="AS299" s="486">
        <f t="shared" si="383"/>
        <v>4685</v>
      </c>
      <c r="AT299" s="486">
        <f t="shared" si="383"/>
        <v>277</v>
      </c>
      <c r="AU299" s="486">
        <f t="shared" si="384"/>
        <v>840</v>
      </c>
      <c r="AV299" s="501">
        <f t="shared" si="385"/>
        <v>0.06</v>
      </c>
      <c r="AW299" s="501">
        <f t="shared" si="386"/>
        <v>0</v>
      </c>
      <c r="AX299" s="502">
        <f t="shared" si="386"/>
        <v>0.06</v>
      </c>
    </row>
    <row r="300" spans="1:50" ht="14.1" customHeight="1" x14ac:dyDescent="0.2">
      <c r="A300" s="181">
        <v>61</v>
      </c>
      <c r="B300" s="179">
        <v>2444</v>
      </c>
      <c r="C300" s="180">
        <v>600079848</v>
      </c>
      <c r="D300" s="179">
        <v>72742836</v>
      </c>
      <c r="E300" s="578" t="s">
        <v>697</v>
      </c>
      <c r="F300" s="181"/>
      <c r="G300" s="578"/>
      <c r="H300" s="579"/>
      <c r="I300" s="580">
        <v>10118456</v>
      </c>
      <c r="J300" s="581">
        <v>7252848</v>
      </c>
      <c r="K300" s="581">
        <v>51844</v>
      </c>
      <c r="L300" s="581">
        <v>7844</v>
      </c>
      <c r="M300" s="581">
        <v>2466336</v>
      </c>
      <c r="N300" s="581">
        <v>145056</v>
      </c>
      <c r="O300" s="581">
        <v>202372</v>
      </c>
      <c r="P300" s="582">
        <v>17.2058</v>
      </c>
      <c r="Q300" s="582">
        <v>10.64</v>
      </c>
      <c r="R300" s="584">
        <v>6.5658000000000003</v>
      </c>
      <c r="S300" s="583">
        <f t="shared" ref="S300:AX300" si="387">SUM(S294:S299)</f>
        <v>0</v>
      </c>
      <c r="T300" s="581">
        <f t="shared" si="387"/>
        <v>0</v>
      </c>
      <c r="U300" s="581">
        <f t="shared" si="387"/>
        <v>0</v>
      </c>
      <c r="V300" s="581">
        <f t="shared" si="387"/>
        <v>0</v>
      </c>
      <c r="W300" s="581">
        <f t="shared" si="387"/>
        <v>0</v>
      </c>
      <c r="X300" s="581">
        <f t="shared" si="387"/>
        <v>0</v>
      </c>
      <c r="Y300" s="581">
        <f t="shared" si="387"/>
        <v>0</v>
      </c>
      <c r="Z300" s="581">
        <f t="shared" si="387"/>
        <v>0</v>
      </c>
      <c r="AA300" s="581">
        <f t="shared" si="387"/>
        <v>0</v>
      </c>
      <c r="AB300" s="583">
        <f t="shared" si="387"/>
        <v>0</v>
      </c>
      <c r="AC300" s="581">
        <f t="shared" si="387"/>
        <v>0</v>
      </c>
      <c r="AD300" s="581">
        <f t="shared" si="387"/>
        <v>0</v>
      </c>
      <c r="AE300" s="581">
        <f t="shared" si="387"/>
        <v>0</v>
      </c>
      <c r="AF300" s="581">
        <f t="shared" si="387"/>
        <v>0</v>
      </c>
      <c r="AG300" s="582">
        <f t="shared" si="387"/>
        <v>0</v>
      </c>
      <c r="AH300" s="582">
        <f t="shared" si="387"/>
        <v>0</v>
      </c>
      <c r="AI300" s="582">
        <f t="shared" si="387"/>
        <v>0</v>
      </c>
      <c r="AJ300" s="582">
        <f t="shared" si="387"/>
        <v>0</v>
      </c>
      <c r="AK300" s="582">
        <f t="shared" si="387"/>
        <v>0</v>
      </c>
      <c r="AL300" s="582">
        <f t="shared" si="387"/>
        <v>0</v>
      </c>
      <c r="AM300" s="582">
        <f t="shared" si="387"/>
        <v>0</v>
      </c>
      <c r="AN300" s="584">
        <f t="shared" si="387"/>
        <v>0</v>
      </c>
      <c r="AO300" s="583">
        <f t="shared" si="387"/>
        <v>10118456</v>
      </c>
      <c r="AP300" s="581">
        <f t="shared" si="387"/>
        <v>7252848</v>
      </c>
      <c r="AQ300" s="581">
        <f t="shared" si="387"/>
        <v>51844</v>
      </c>
      <c r="AR300" s="581">
        <f t="shared" si="387"/>
        <v>7844</v>
      </c>
      <c r="AS300" s="581">
        <f t="shared" si="387"/>
        <v>2466336</v>
      </c>
      <c r="AT300" s="581">
        <f t="shared" si="387"/>
        <v>145056</v>
      </c>
      <c r="AU300" s="581">
        <f t="shared" si="387"/>
        <v>202372</v>
      </c>
      <c r="AV300" s="582">
        <f t="shared" si="387"/>
        <v>17.2058</v>
      </c>
      <c r="AW300" s="582">
        <f t="shared" si="387"/>
        <v>10.64</v>
      </c>
      <c r="AX300" s="584">
        <f t="shared" si="387"/>
        <v>6.5658000000000003</v>
      </c>
    </row>
    <row r="301" spans="1:50" ht="14.1" customHeight="1" x14ac:dyDescent="0.2">
      <c r="A301" s="585">
        <v>62</v>
      </c>
      <c r="B301" s="586">
        <v>2457</v>
      </c>
      <c r="C301" s="587">
        <v>650021479</v>
      </c>
      <c r="D301" s="586">
        <v>72742577</v>
      </c>
      <c r="E301" s="588" t="s">
        <v>698</v>
      </c>
      <c r="F301" s="585">
        <v>3111</v>
      </c>
      <c r="G301" s="588" t="s">
        <v>317</v>
      </c>
      <c r="H301" s="589" t="s">
        <v>283</v>
      </c>
      <c r="I301" s="495">
        <v>1300969</v>
      </c>
      <c r="J301" s="411">
        <v>949241</v>
      </c>
      <c r="K301" s="520">
        <v>0</v>
      </c>
      <c r="L301" s="520">
        <v>0</v>
      </c>
      <c r="M301" s="475">
        <v>320843</v>
      </c>
      <c r="N301" s="496">
        <v>18985</v>
      </c>
      <c r="O301" s="411">
        <v>11900</v>
      </c>
      <c r="P301" s="412">
        <v>2.3963999999999999</v>
      </c>
      <c r="Q301" s="415">
        <v>1.9355</v>
      </c>
      <c r="R301" s="685">
        <v>0.46089999999999998</v>
      </c>
      <c r="S301" s="499">
        <v>0</v>
      </c>
      <c r="T301" s="486">
        <v>0</v>
      </c>
      <c r="U301" s="486">
        <v>0</v>
      </c>
      <c r="V301" s="486">
        <f t="shared" ref="V301:V306" si="388">SUM(S301:U301)</f>
        <v>0</v>
      </c>
      <c r="W301" s="486">
        <v>0</v>
      </c>
      <c r="X301" s="486">
        <v>0</v>
      </c>
      <c r="Y301" s="486">
        <f t="shared" ref="Y301:Y306" si="389">SUM(W301:X301)</f>
        <v>0</v>
      </c>
      <c r="Z301" s="486">
        <f t="shared" ref="Z301:Z306" si="390">V301+Y301</f>
        <v>0</v>
      </c>
      <c r="AA301" s="178">
        <f t="shared" si="332"/>
        <v>0</v>
      </c>
      <c r="AB301" s="745">
        <f t="shared" ref="AB301:AB306" si="391">ROUND(V301*2%,0)</f>
        <v>0</v>
      </c>
      <c r="AC301" s="486">
        <v>0</v>
      </c>
      <c r="AD301" s="486">
        <v>0</v>
      </c>
      <c r="AE301" s="486">
        <f t="shared" si="338"/>
        <v>0</v>
      </c>
      <c r="AF301" s="486">
        <f t="shared" si="339"/>
        <v>0</v>
      </c>
      <c r="AG301" s="501">
        <v>0</v>
      </c>
      <c r="AH301" s="501">
        <v>0</v>
      </c>
      <c r="AI301" s="501">
        <v>0</v>
      </c>
      <c r="AJ301" s="501">
        <v>0</v>
      </c>
      <c r="AK301" s="501">
        <v>0</v>
      </c>
      <c r="AL301" s="501">
        <f t="shared" ref="AL301:AL306" si="392">AG301+AI301+AJ301</f>
        <v>0</v>
      </c>
      <c r="AM301" s="501">
        <f t="shared" ref="AM301:AM306" si="393">AH301+AK301</f>
        <v>0</v>
      </c>
      <c r="AN301" s="502">
        <f t="shared" si="342"/>
        <v>0</v>
      </c>
      <c r="AO301" s="499">
        <f t="shared" ref="AO301:AO306" si="394">I301+AF301</f>
        <v>1300969</v>
      </c>
      <c r="AP301" s="486">
        <f t="shared" ref="AP301:AP306" si="395">J301+V301</f>
        <v>949241</v>
      </c>
      <c r="AQ301" s="486">
        <f t="shared" ref="AQ301:AQ306" si="396">K301+Y301</f>
        <v>0</v>
      </c>
      <c r="AR301" s="486">
        <f t="shared" ref="AR301:AR306" si="397">L301</f>
        <v>0</v>
      </c>
      <c r="AS301" s="486">
        <f t="shared" ref="AS301:AT306" si="398">M301+AA301</f>
        <v>320843</v>
      </c>
      <c r="AT301" s="486">
        <f t="shared" si="398"/>
        <v>18985</v>
      </c>
      <c r="AU301" s="486">
        <f t="shared" ref="AU301:AU306" si="399">O301+AE301</f>
        <v>11900</v>
      </c>
      <c r="AV301" s="501">
        <f t="shared" ref="AV301:AV306" si="400">P301+AN301</f>
        <v>2.3963999999999999</v>
      </c>
      <c r="AW301" s="501">
        <f t="shared" ref="AW301:AX306" si="401">Q301+AL301</f>
        <v>1.9355</v>
      </c>
      <c r="AX301" s="502">
        <f t="shared" si="401"/>
        <v>0.46089999999999998</v>
      </c>
    </row>
    <row r="302" spans="1:50" ht="14.1" customHeight="1" x14ac:dyDescent="0.2">
      <c r="A302" s="585">
        <v>62</v>
      </c>
      <c r="B302" s="586">
        <v>2457</v>
      </c>
      <c r="C302" s="587">
        <v>650021479</v>
      </c>
      <c r="D302" s="586">
        <v>72742577</v>
      </c>
      <c r="E302" s="588" t="s">
        <v>698</v>
      </c>
      <c r="F302" s="585">
        <v>3117</v>
      </c>
      <c r="G302" s="592" t="s">
        <v>320</v>
      </c>
      <c r="H302" s="589" t="s">
        <v>283</v>
      </c>
      <c r="I302" s="495">
        <v>1927106</v>
      </c>
      <c r="J302" s="411">
        <v>1376930</v>
      </c>
      <c r="K302" s="520">
        <v>9235</v>
      </c>
      <c r="L302" s="520">
        <v>9235</v>
      </c>
      <c r="M302" s="475">
        <v>465403</v>
      </c>
      <c r="N302" s="496">
        <v>27538</v>
      </c>
      <c r="O302" s="411">
        <v>48000</v>
      </c>
      <c r="P302" s="412">
        <v>2.9023000000000003</v>
      </c>
      <c r="Q302" s="415">
        <v>1.5882000000000001</v>
      </c>
      <c r="R302" s="685">
        <v>1.3141</v>
      </c>
      <c r="S302" s="499">
        <v>0</v>
      </c>
      <c r="T302" s="486">
        <v>0</v>
      </c>
      <c r="U302" s="486">
        <v>0</v>
      </c>
      <c r="V302" s="486">
        <f t="shared" si="388"/>
        <v>0</v>
      </c>
      <c r="W302" s="486">
        <v>0</v>
      </c>
      <c r="X302" s="486">
        <v>0</v>
      </c>
      <c r="Y302" s="486">
        <f t="shared" si="389"/>
        <v>0</v>
      </c>
      <c r="Z302" s="486">
        <f t="shared" si="390"/>
        <v>0</v>
      </c>
      <c r="AA302" s="178">
        <f t="shared" si="332"/>
        <v>0</v>
      </c>
      <c r="AB302" s="745">
        <f t="shared" si="391"/>
        <v>0</v>
      </c>
      <c r="AC302" s="486">
        <v>0</v>
      </c>
      <c r="AD302" s="486">
        <v>0</v>
      </c>
      <c r="AE302" s="486">
        <f t="shared" si="338"/>
        <v>0</v>
      </c>
      <c r="AF302" s="486">
        <f t="shared" si="339"/>
        <v>0</v>
      </c>
      <c r="AG302" s="501">
        <v>0</v>
      </c>
      <c r="AH302" s="501">
        <v>0</v>
      </c>
      <c r="AI302" s="501">
        <v>0</v>
      </c>
      <c r="AJ302" s="501">
        <v>0</v>
      </c>
      <c r="AK302" s="501">
        <v>0</v>
      </c>
      <c r="AL302" s="501">
        <f t="shared" si="392"/>
        <v>0</v>
      </c>
      <c r="AM302" s="501">
        <f t="shared" si="393"/>
        <v>0</v>
      </c>
      <c r="AN302" s="502">
        <f t="shared" si="342"/>
        <v>0</v>
      </c>
      <c r="AO302" s="499">
        <f t="shared" si="394"/>
        <v>1927106</v>
      </c>
      <c r="AP302" s="486">
        <f t="shared" si="395"/>
        <v>1376930</v>
      </c>
      <c r="AQ302" s="486">
        <f t="shared" si="396"/>
        <v>9235</v>
      </c>
      <c r="AR302" s="486">
        <f t="shared" si="397"/>
        <v>9235</v>
      </c>
      <c r="AS302" s="486">
        <f t="shared" si="398"/>
        <v>465403</v>
      </c>
      <c r="AT302" s="486">
        <f t="shared" si="398"/>
        <v>27538</v>
      </c>
      <c r="AU302" s="486">
        <f t="shared" si="399"/>
        <v>48000</v>
      </c>
      <c r="AV302" s="501">
        <f t="shared" si="400"/>
        <v>2.9023000000000003</v>
      </c>
      <c r="AW302" s="501">
        <f t="shared" si="401"/>
        <v>1.5882000000000001</v>
      </c>
      <c r="AX302" s="502">
        <f t="shared" si="401"/>
        <v>1.3141</v>
      </c>
    </row>
    <row r="303" spans="1:50" ht="14.1" customHeight="1" x14ac:dyDescent="0.2">
      <c r="A303" s="585">
        <v>62</v>
      </c>
      <c r="B303" s="586">
        <v>2457</v>
      </c>
      <c r="C303" s="587">
        <v>650021479</v>
      </c>
      <c r="D303" s="586">
        <v>72742577</v>
      </c>
      <c r="E303" s="588" t="s">
        <v>698</v>
      </c>
      <c r="F303" s="585">
        <v>3117</v>
      </c>
      <c r="G303" s="208" t="s">
        <v>318</v>
      </c>
      <c r="H303" s="589" t="s">
        <v>284</v>
      </c>
      <c r="I303" s="495">
        <v>2567</v>
      </c>
      <c r="J303" s="496">
        <v>1890</v>
      </c>
      <c r="K303" s="475">
        <v>0</v>
      </c>
      <c r="L303" s="475">
        <v>0</v>
      </c>
      <c r="M303" s="475">
        <v>639</v>
      </c>
      <c r="N303" s="496">
        <v>38</v>
      </c>
      <c r="O303" s="496">
        <v>0</v>
      </c>
      <c r="P303" s="412">
        <v>0</v>
      </c>
      <c r="Q303" s="497">
        <v>0</v>
      </c>
      <c r="R303" s="498">
        <v>0</v>
      </c>
      <c r="S303" s="499">
        <v>0</v>
      </c>
      <c r="T303" s="486">
        <v>0</v>
      </c>
      <c r="U303" s="486">
        <v>0</v>
      </c>
      <c r="V303" s="486">
        <f t="shared" si="388"/>
        <v>0</v>
      </c>
      <c r="W303" s="486">
        <v>0</v>
      </c>
      <c r="X303" s="486">
        <v>0</v>
      </c>
      <c r="Y303" s="486">
        <f t="shared" si="389"/>
        <v>0</v>
      </c>
      <c r="Z303" s="486">
        <f t="shared" si="390"/>
        <v>0</v>
      </c>
      <c r="AA303" s="178">
        <f t="shared" si="332"/>
        <v>0</v>
      </c>
      <c r="AB303" s="745">
        <f t="shared" si="391"/>
        <v>0</v>
      </c>
      <c r="AC303" s="486">
        <v>0</v>
      </c>
      <c r="AD303" s="486">
        <v>0</v>
      </c>
      <c r="AE303" s="486">
        <f t="shared" si="338"/>
        <v>0</v>
      </c>
      <c r="AF303" s="486">
        <f t="shared" si="339"/>
        <v>0</v>
      </c>
      <c r="AG303" s="501">
        <v>0</v>
      </c>
      <c r="AH303" s="501">
        <v>0</v>
      </c>
      <c r="AI303" s="501">
        <v>0</v>
      </c>
      <c r="AJ303" s="501">
        <v>0</v>
      </c>
      <c r="AK303" s="501">
        <v>0</v>
      </c>
      <c r="AL303" s="501">
        <f t="shared" si="392"/>
        <v>0</v>
      </c>
      <c r="AM303" s="501">
        <f t="shared" si="393"/>
        <v>0</v>
      </c>
      <c r="AN303" s="502">
        <f t="shared" si="342"/>
        <v>0</v>
      </c>
      <c r="AO303" s="499">
        <f t="shared" si="394"/>
        <v>2567</v>
      </c>
      <c r="AP303" s="486">
        <f t="shared" si="395"/>
        <v>1890</v>
      </c>
      <c r="AQ303" s="486">
        <f t="shared" si="396"/>
        <v>0</v>
      </c>
      <c r="AR303" s="486">
        <f t="shared" si="397"/>
        <v>0</v>
      </c>
      <c r="AS303" s="486">
        <f t="shared" si="398"/>
        <v>639</v>
      </c>
      <c r="AT303" s="486">
        <f t="shared" si="398"/>
        <v>38</v>
      </c>
      <c r="AU303" s="486">
        <f t="shared" si="399"/>
        <v>0</v>
      </c>
      <c r="AV303" s="501">
        <f t="shared" si="400"/>
        <v>0</v>
      </c>
      <c r="AW303" s="501">
        <f t="shared" si="401"/>
        <v>0</v>
      </c>
      <c r="AX303" s="502">
        <f t="shared" si="401"/>
        <v>0</v>
      </c>
    </row>
    <row r="304" spans="1:50" ht="14.1" customHeight="1" x14ac:dyDescent="0.2">
      <c r="A304" s="585">
        <v>62</v>
      </c>
      <c r="B304" s="586">
        <v>2457</v>
      </c>
      <c r="C304" s="587">
        <v>650021479</v>
      </c>
      <c r="D304" s="586">
        <v>72742577</v>
      </c>
      <c r="E304" s="588" t="s">
        <v>698</v>
      </c>
      <c r="F304" s="585">
        <v>3141</v>
      </c>
      <c r="G304" s="588" t="s">
        <v>321</v>
      </c>
      <c r="H304" s="589" t="s">
        <v>284</v>
      </c>
      <c r="I304" s="495">
        <v>468298</v>
      </c>
      <c r="J304" s="496">
        <v>235054</v>
      </c>
      <c r="K304" s="475">
        <v>110000</v>
      </c>
      <c r="L304" s="475">
        <v>0</v>
      </c>
      <c r="M304" s="475">
        <v>116629</v>
      </c>
      <c r="N304" s="496">
        <v>4701</v>
      </c>
      <c r="O304" s="496">
        <v>1914</v>
      </c>
      <c r="P304" s="412">
        <v>0.79999999999999993</v>
      </c>
      <c r="Q304" s="497">
        <v>0</v>
      </c>
      <c r="R304" s="498">
        <v>0.79999999999999993</v>
      </c>
      <c r="S304" s="499">
        <v>0</v>
      </c>
      <c r="T304" s="486">
        <v>0</v>
      </c>
      <c r="U304" s="486">
        <v>0</v>
      </c>
      <c r="V304" s="486">
        <f t="shared" si="388"/>
        <v>0</v>
      </c>
      <c r="W304" s="486">
        <v>0</v>
      </c>
      <c r="X304" s="486">
        <v>0</v>
      </c>
      <c r="Y304" s="486">
        <f t="shared" si="389"/>
        <v>0</v>
      </c>
      <c r="Z304" s="486">
        <f t="shared" si="390"/>
        <v>0</v>
      </c>
      <c r="AA304" s="178">
        <f t="shared" si="332"/>
        <v>0</v>
      </c>
      <c r="AB304" s="745">
        <f t="shared" si="391"/>
        <v>0</v>
      </c>
      <c r="AC304" s="486">
        <v>0</v>
      </c>
      <c r="AD304" s="486">
        <v>0</v>
      </c>
      <c r="AE304" s="486">
        <f t="shared" si="338"/>
        <v>0</v>
      </c>
      <c r="AF304" s="486">
        <f t="shared" si="339"/>
        <v>0</v>
      </c>
      <c r="AG304" s="501">
        <v>0</v>
      </c>
      <c r="AH304" s="501">
        <v>0</v>
      </c>
      <c r="AI304" s="501">
        <v>0</v>
      </c>
      <c r="AJ304" s="501">
        <v>0</v>
      </c>
      <c r="AK304" s="501">
        <v>0</v>
      </c>
      <c r="AL304" s="501">
        <f t="shared" si="392"/>
        <v>0</v>
      </c>
      <c r="AM304" s="501">
        <f t="shared" si="393"/>
        <v>0</v>
      </c>
      <c r="AN304" s="502">
        <f t="shared" si="342"/>
        <v>0</v>
      </c>
      <c r="AO304" s="499">
        <f t="shared" si="394"/>
        <v>468298</v>
      </c>
      <c r="AP304" s="486">
        <f t="shared" si="395"/>
        <v>235054</v>
      </c>
      <c r="AQ304" s="486">
        <f t="shared" si="396"/>
        <v>110000</v>
      </c>
      <c r="AR304" s="486">
        <f t="shared" si="397"/>
        <v>0</v>
      </c>
      <c r="AS304" s="486">
        <f t="shared" si="398"/>
        <v>116629</v>
      </c>
      <c r="AT304" s="486">
        <f t="shared" si="398"/>
        <v>4701</v>
      </c>
      <c r="AU304" s="486">
        <f t="shared" si="399"/>
        <v>1914</v>
      </c>
      <c r="AV304" s="501">
        <f t="shared" si="400"/>
        <v>0.79999999999999993</v>
      </c>
      <c r="AW304" s="501">
        <f t="shared" si="401"/>
        <v>0</v>
      </c>
      <c r="AX304" s="502">
        <f t="shared" si="401"/>
        <v>0.79999999999999993</v>
      </c>
    </row>
    <row r="305" spans="1:50" ht="14.1" customHeight="1" x14ac:dyDescent="0.2">
      <c r="A305" s="585">
        <v>62</v>
      </c>
      <c r="B305" s="586">
        <v>2457</v>
      </c>
      <c r="C305" s="587">
        <v>650021479</v>
      </c>
      <c r="D305" s="586">
        <v>72742577</v>
      </c>
      <c r="E305" s="588" t="s">
        <v>698</v>
      </c>
      <c r="F305" s="585">
        <v>3143</v>
      </c>
      <c r="G305" s="208" t="s">
        <v>634</v>
      </c>
      <c r="H305" s="589" t="s">
        <v>283</v>
      </c>
      <c r="I305" s="495">
        <v>62707</v>
      </c>
      <c r="J305" s="411">
        <v>46176</v>
      </c>
      <c r="K305" s="520">
        <v>0</v>
      </c>
      <c r="L305" s="520">
        <v>0</v>
      </c>
      <c r="M305" s="475">
        <v>15607</v>
      </c>
      <c r="N305" s="496">
        <v>924</v>
      </c>
      <c r="O305" s="496">
        <v>0</v>
      </c>
      <c r="P305" s="412">
        <v>0.1</v>
      </c>
      <c r="Q305" s="415">
        <v>0.1</v>
      </c>
      <c r="R305" s="498">
        <v>0</v>
      </c>
      <c r="S305" s="499">
        <v>0</v>
      </c>
      <c r="T305" s="486">
        <v>0</v>
      </c>
      <c r="U305" s="486">
        <v>0</v>
      </c>
      <c r="V305" s="486">
        <f t="shared" si="388"/>
        <v>0</v>
      </c>
      <c r="W305" s="486">
        <v>0</v>
      </c>
      <c r="X305" s="486">
        <v>0</v>
      </c>
      <c r="Y305" s="486">
        <f t="shared" si="389"/>
        <v>0</v>
      </c>
      <c r="Z305" s="486">
        <f t="shared" si="390"/>
        <v>0</v>
      </c>
      <c r="AA305" s="178">
        <f t="shared" si="332"/>
        <v>0</v>
      </c>
      <c r="AB305" s="745">
        <f t="shared" si="391"/>
        <v>0</v>
      </c>
      <c r="AC305" s="486">
        <v>0</v>
      </c>
      <c r="AD305" s="486">
        <v>0</v>
      </c>
      <c r="AE305" s="486">
        <f t="shared" si="338"/>
        <v>0</v>
      </c>
      <c r="AF305" s="486">
        <f t="shared" si="339"/>
        <v>0</v>
      </c>
      <c r="AG305" s="501">
        <v>0</v>
      </c>
      <c r="AH305" s="501">
        <v>0</v>
      </c>
      <c r="AI305" s="501">
        <v>0</v>
      </c>
      <c r="AJ305" s="501">
        <v>0</v>
      </c>
      <c r="AK305" s="501">
        <v>0</v>
      </c>
      <c r="AL305" s="501">
        <f t="shared" si="392"/>
        <v>0</v>
      </c>
      <c r="AM305" s="501">
        <f t="shared" si="393"/>
        <v>0</v>
      </c>
      <c r="AN305" s="502">
        <f t="shared" si="342"/>
        <v>0</v>
      </c>
      <c r="AO305" s="499">
        <f t="shared" si="394"/>
        <v>62707</v>
      </c>
      <c r="AP305" s="486">
        <f t="shared" si="395"/>
        <v>46176</v>
      </c>
      <c r="AQ305" s="486">
        <f t="shared" si="396"/>
        <v>0</v>
      </c>
      <c r="AR305" s="486">
        <f t="shared" si="397"/>
        <v>0</v>
      </c>
      <c r="AS305" s="486">
        <f t="shared" si="398"/>
        <v>15607</v>
      </c>
      <c r="AT305" s="486">
        <f t="shared" si="398"/>
        <v>924</v>
      </c>
      <c r="AU305" s="486">
        <f t="shared" si="399"/>
        <v>0</v>
      </c>
      <c r="AV305" s="501">
        <f t="shared" si="400"/>
        <v>0.1</v>
      </c>
      <c r="AW305" s="501">
        <f t="shared" si="401"/>
        <v>0.1</v>
      </c>
      <c r="AX305" s="502">
        <f t="shared" si="401"/>
        <v>0</v>
      </c>
    </row>
    <row r="306" spans="1:50" ht="14.1" customHeight="1" x14ac:dyDescent="0.2">
      <c r="A306" s="585">
        <v>62</v>
      </c>
      <c r="B306" s="586">
        <v>2457</v>
      </c>
      <c r="C306" s="587">
        <v>650021479</v>
      </c>
      <c r="D306" s="586">
        <v>72742577</v>
      </c>
      <c r="E306" s="588" t="s">
        <v>698</v>
      </c>
      <c r="F306" s="585">
        <v>3143</v>
      </c>
      <c r="G306" s="208" t="s">
        <v>635</v>
      </c>
      <c r="H306" s="589" t="s">
        <v>284</v>
      </c>
      <c r="I306" s="495">
        <v>10534</v>
      </c>
      <c r="J306" s="496">
        <v>7425</v>
      </c>
      <c r="K306" s="475">
        <v>0</v>
      </c>
      <c r="L306" s="475">
        <v>0</v>
      </c>
      <c r="M306" s="475">
        <v>2510</v>
      </c>
      <c r="N306" s="496">
        <v>149</v>
      </c>
      <c r="O306" s="496">
        <v>450</v>
      </c>
      <c r="P306" s="412">
        <v>0.03</v>
      </c>
      <c r="Q306" s="497">
        <v>0</v>
      </c>
      <c r="R306" s="498">
        <v>0.03</v>
      </c>
      <c r="S306" s="499">
        <v>0</v>
      </c>
      <c r="T306" s="486">
        <v>0</v>
      </c>
      <c r="U306" s="486">
        <v>0</v>
      </c>
      <c r="V306" s="486">
        <f t="shared" si="388"/>
        <v>0</v>
      </c>
      <c r="W306" s="486">
        <v>0</v>
      </c>
      <c r="X306" s="486">
        <v>0</v>
      </c>
      <c r="Y306" s="486">
        <f t="shared" si="389"/>
        <v>0</v>
      </c>
      <c r="Z306" s="486">
        <f t="shared" si="390"/>
        <v>0</v>
      </c>
      <c r="AA306" s="178">
        <f t="shared" si="332"/>
        <v>0</v>
      </c>
      <c r="AB306" s="745">
        <f t="shared" si="391"/>
        <v>0</v>
      </c>
      <c r="AC306" s="486">
        <v>0</v>
      </c>
      <c r="AD306" s="486">
        <v>0</v>
      </c>
      <c r="AE306" s="486">
        <f t="shared" si="338"/>
        <v>0</v>
      </c>
      <c r="AF306" s="486">
        <f t="shared" si="339"/>
        <v>0</v>
      </c>
      <c r="AG306" s="501">
        <v>0</v>
      </c>
      <c r="AH306" s="501">
        <v>0</v>
      </c>
      <c r="AI306" s="501">
        <v>0</v>
      </c>
      <c r="AJ306" s="501">
        <v>0</v>
      </c>
      <c r="AK306" s="501">
        <v>0</v>
      </c>
      <c r="AL306" s="501">
        <f t="shared" si="392"/>
        <v>0</v>
      </c>
      <c r="AM306" s="501">
        <f t="shared" si="393"/>
        <v>0</v>
      </c>
      <c r="AN306" s="502">
        <f t="shared" si="342"/>
        <v>0</v>
      </c>
      <c r="AO306" s="499">
        <f t="shared" si="394"/>
        <v>10534</v>
      </c>
      <c r="AP306" s="486">
        <f t="shared" si="395"/>
        <v>7425</v>
      </c>
      <c r="AQ306" s="486">
        <f t="shared" si="396"/>
        <v>0</v>
      </c>
      <c r="AR306" s="486">
        <f t="shared" si="397"/>
        <v>0</v>
      </c>
      <c r="AS306" s="486">
        <f t="shared" si="398"/>
        <v>2510</v>
      </c>
      <c r="AT306" s="486">
        <f t="shared" si="398"/>
        <v>149</v>
      </c>
      <c r="AU306" s="486">
        <f t="shared" si="399"/>
        <v>450</v>
      </c>
      <c r="AV306" s="501">
        <f t="shared" si="400"/>
        <v>0.03</v>
      </c>
      <c r="AW306" s="501">
        <f t="shared" si="401"/>
        <v>0</v>
      </c>
      <c r="AX306" s="502">
        <f t="shared" si="401"/>
        <v>0.03</v>
      </c>
    </row>
    <row r="307" spans="1:50" ht="14.1" customHeight="1" x14ac:dyDescent="0.2">
      <c r="A307" s="181">
        <v>62</v>
      </c>
      <c r="B307" s="179">
        <v>2457</v>
      </c>
      <c r="C307" s="180">
        <v>650021479</v>
      </c>
      <c r="D307" s="179">
        <v>72742577</v>
      </c>
      <c r="E307" s="578" t="s">
        <v>699</v>
      </c>
      <c r="F307" s="181"/>
      <c r="G307" s="578"/>
      <c r="H307" s="579"/>
      <c r="I307" s="580">
        <v>3772181</v>
      </c>
      <c r="J307" s="581">
        <v>2616716</v>
      </c>
      <c r="K307" s="581">
        <v>119235</v>
      </c>
      <c r="L307" s="581">
        <v>9235</v>
      </c>
      <c r="M307" s="581">
        <v>921631</v>
      </c>
      <c r="N307" s="581">
        <v>52335</v>
      </c>
      <c r="O307" s="581">
        <v>62264</v>
      </c>
      <c r="P307" s="582">
        <v>6.2286999999999999</v>
      </c>
      <c r="Q307" s="582">
        <v>3.6236999999999999</v>
      </c>
      <c r="R307" s="584">
        <v>2.6049999999999995</v>
      </c>
      <c r="S307" s="583">
        <f t="shared" ref="S307:AX307" si="402">SUM(S301:S306)</f>
        <v>0</v>
      </c>
      <c r="T307" s="581">
        <f t="shared" si="402"/>
        <v>0</v>
      </c>
      <c r="U307" s="581">
        <f t="shared" si="402"/>
        <v>0</v>
      </c>
      <c r="V307" s="581">
        <f t="shared" si="402"/>
        <v>0</v>
      </c>
      <c r="W307" s="581">
        <f t="shared" si="402"/>
        <v>0</v>
      </c>
      <c r="X307" s="581">
        <f t="shared" si="402"/>
        <v>0</v>
      </c>
      <c r="Y307" s="581">
        <f t="shared" si="402"/>
        <v>0</v>
      </c>
      <c r="Z307" s="581">
        <f t="shared" si="402"/>
        <v>0</v>
      </c>
      <c r="AA307" s="581">
        <f t="shared" si="402"/>
        <v>0</v>
      </c>
      <c r="AB307" s="583">
        <f t="shared" si="402"/>
        <v>0</v>
      </c>
      <c r="AC307" s="581">
        <f t="shared" si="402"/>
        <v>0</v>
      </c>
      <c r="AD307" s="581">
        <f t="shared" si="402"/>
        <v>0</v>
      </c>
      <c r="AE307" s="581">
        <f t="shared" si="402"/>
        <v>0</v>
      </c>
      <c r="AF307" s="581">
        <f t="shared" si="402"/>
        <v>0</v>
      </c>
      <c r="AG307" s="582">
        <f t="shared" si="402"/>
        <v>0</v>
      </c>
      <c r="AH307" s="582">
        <f t="shared" si="402"/>
        <v>0</v>
      </c>
      <c r="AI307" s="582">
        <f t="shared" si="402"/>
        <v>0</v>
      </c>
      <c r="AJ307" s="582">
        <f t="shared" si="402"/>
        <v>0</v>
      </c>
      <c r="AK307" s="582">
        <f t="shared" si="402"/>
        <v>0</v>
      </c>
      <c r="AL307" s="582">
        <f t="shared" si="402"/>
        <v>0</v>
      </c>
      <c r="AM307" s="582">
        <f t="shared" si="402"/>
        <v>0</v>
      </c>
      <c r="AN307" s="584">
        <f t="shared" si="402"/>
        <v>0</v>
      </c>
      <c r="AO307" s="583">
        <f t="shared" si="402"/>
        <v>3772181</v>
      </c>
      <c r="AP307" s="581">
        <f t="shared" si="402"/>
        <v>2616716</v>
      </c>
      <c r="AQ307" s="581">
        <f t="shared" si="402"/>
        <v>119235</v>
      </c>
      <c r="AR307" s="581">
        <f t="shared" si="402"/>
        <v>9235</v>
      </c>
      <c r="AS307" s="581">
        <f t="shared" si="402"/>
        <v>921631</v>
      </c>
      <c r="AT307" s="581">
        <f t="shared" si="402"/>
        <v>52335</v>
      </c>
      <c r="AU307" s="581">
        <f t="shared" si="402"/>
        <v>62264</v>
      </c>
      <c r="AV307" s="582">
        <f t="shared" si="402"/>
        <v>6.2286999999999999</v>
      </c>
      <c r="AW307" s="582">
        <f t="shared" si="402"/>
        <v>3.6236999999999999</v>
      </c>
      <c r="AX307" s="584">
        <f t="shared" si="402"/>
        <v>2.6049999999999995</v>
      </c>
    </row>
    <row r="308" spans="1:50" ht="14.1" customHeight="1" x14ac:dyDescent="0.2">
      <c r="A308" s="585">
        <v>63</v>
      </c>
      <c r="B308" s="586">
        <v>2403</v>
      </c>
      <c r="C308" s="587">
        <v>600078931</v>
      </c>
      <c r="D308" s="586">
        <v>72744324</v>
      </c>
      <c r="E308" s="588" t="s">
        <v>700</v>
      </c>
      <c r="F308" s="585">
        <v>3111</v>
      </c>
      <c r="G308" s="588" t="s">
        <v>317</v>
      </c>
      <c r="H308" s="589" t="s">
        <v>283</v>
      </c>
      <c r="I308" s="495">
        <v>6340259</v>
      </c>
      <c r="J308" s="411">
        <v>4620367</v>
      </c>
      <c r="K308" s="520">
        <v>0</v>
      </c>
      <c r="L308" s="520">
        <v>0</v>
      </c>
      <c r="M308" s="475">
        <v>1561684</v>
      </c>
      <c r="N308" s="496">
        <v>92408</v>
      </c>
      <c r="O308" s="411">
        <v>65800</v>
      </c>
      <c r="P308" s="412">
        <v>10.8782</v>
      </c>
      <c r="Q308" s="415">
        <v>8.01</v>
      </c>
      <c r="R308" s="685">
        <v>2.8681999999999999</v>
      </c>
      <c r="S308" s="499">
        <v>0</v>
      </c>
      <c r="T308" s="486">
        <v>0</v>
      </c>
      <c r="U308" s="486">
        <v>0</v>
      </c>
      <c r="V308" s="486">
        <f>SUM(S308:U308)</f>
        <v>0</v>
      </c>
      <c r="W308" s="486">
        <v>0</v>
      </c>
      <c r="X308" s="486">
        <v>0</v>
      </c>
      <c r="Y308" s="486">
        <f>SUM(W308:X308)</f>
        <v>0</v>
      </c>
      <c r="Z308" s="486">
        <f>V308+Y308</f>
        <v>0</v>
      </c>
      <c r="AA308" s="178">
        <f t="shared" si="332"/>
        <v>0</v>
      </c>
      <c r="AB308" s="745">
        <f>ROUND(V308*2%,0)</f>
        <v>0</v>
      </c>
      <c r="AC308" s="486">
        <v>0</v>
      </c>
      <c r="AD308" s="486">
        <v>0</v>
      </c>
      <c r="AE308" s="486">
        <f t="shared" si="338"/>
        <v>0</v>
      </c>
      <c r="AF308" s="486">
        <f t="shared" si="339"/>
        <v>0</v>
      </c>
      <c r="AG308" s="501">
        <v>0</v>
      </c>
      <c r="AH308" s="501">
        <v>0</v>
      </c>
      <c r="AI308" s="501">
        <v>0</v>
      </c>
      <c r="AJ308" s="501">
        <v>0</v>
      </c>
      <c r="AK308" s="501">
        <v>0</v>
      </c>
      <c r="AL308" s="501">
        <f t="shared" ref="AL308:AL310" si="403">AG308+AI308+AJ308</f>
        <v>0</v>
      </c>
      <c r="AM308" s="501">
        <f t="shared" ref="AM308:AM310" si="404">AH308+AK308</f>
        <v>0</v>
      </c>
      <c r="AN308" s="502">
        <f t="shared" si="342"/>
        <v>0</v>
      </c>
      <c r="AO308" s="499">
        <f>I308+AF308</f>
        <v>6340259</v>
      </c>
      <c r="AP308" s="486">
        <f>J308+V308</f>
        <v>4620367</v>
      </c>
      <c r="AQ308" s="486">
        <f>K308+Y308</f>
        <v>0</v>
      </c>
      <c r="AR308" s="486">
        <f>L308</f>
        <v>0</v>
      </c>
      <c r="AS308" s="486">
        <f t="shared" ref="AS308:AT310" si="405">M308+AA308</f>
        <v>1561684</v>
      </c>
      <c r="AT308" s="486">
        <f t="shared" si="405"/>
        <v>92408</v>
      </c>
      <c r="AU308" s="486">
        <f>O308+AE308</f>
        <v>65800</v>
      </c>
      <c r="AV308" s="501">
        <f>P308+AN308</f>
        <v>10.8782</v>
      </c>
      <c r="AW308" s="501">
        <f t="shared" ref="AW308:AX310" si="406">Q308+AL308</f>
        <v>8.01</v>
      </c>
      <c r="AX308" s="502">
        <f t="shared" si="406"/>
        <v>2.8681999999999999</v>
      </c>
    </row>
    <row r="309" spans="1:50" ht="14.1" customHeight="1" x14ac:dyDescent="0.2">
      <c r="A309" s="585">
        <v>63</v>
      </c>
      <c r="B309" s="586">
        <v>2403</v>
      </c>
      <c r="C309" s="587">
        <v>600078931</v>
      </c>
      <c r="D309" s="586">
        <v>72744324</v>
      </c>
      <c r="E309" s="588" t="s">
        <v>700</v>
      </c>
      <c r="F309" s="585">
        <v>3111</v>
      </c>
      <c r="G309" s="208" t="s">
        <v>318</v>
      </c>
      <c r="H309" s="589" t="s">
        <v>284</v>
      </c>
      <c r="I309" s="495">
        <v>232262</v>
      </c>
      <c r="J309" s="496">
        <v>167903</v>
      </c>
      <c r="K309" s="475">
        <v>0</v>
      </c>
      <c r="L309" s="475">
        <v>0</v>
      </c>
      <c r="M309" s="475">
        <v>56751</v>
      </c>
      <c r="N309" s="496">
        <v>3358</v>
      </c>
      <c r="O309" s="496">
        <v>4250</v>
      </c>
      <c r="P309" s="412">
        <v>0.57999999999999996</v>
      </c>
      <c r="Q309" s="497">
        <v>0.57999999999999996</v>
      </c>
      <c r="R309" s="498">
        <v>0</v>
      </c>
      <c r="S309" s="499">
        <v>0</v>
      </c>
      <c r="T309" s="486">
        <v>0</v>
      </c>
      <c r="U309" s="486">
        <v>0</v>
      </c>
      <c r="V309" s="486">
        <f>SUM(S309:U309)</f>
        <v>0</v>
      </c>
      <c r="W309" s="486">
        <v>0</v>
      </c>
      <c r="X309" s="486">
        <v>0</v>
      </c>
      <c r="Y309" s="486">
        <f>SUM(W309:X309)</f>
        <v>0</v>
      </c>
      <c r="Z309" s="486">
        <f>V309+Y309</f>
        <v>0</v>
      </c>
      <c r="AA309" s="178">
        <f t="shared" si="332"/>
        <v>0</v>
      </c>
      <c r="AB309" s="745">
        <f>ROUND(V309*2%,0)</f>
        <v>0</v>
      </c>
      <c r="AC309" s="486">
        <v>0</v>
      </c>
      <c r="AD309" s="486">
        <v>0</v>
      </c>
      <c r="AE309" s="486">
        <f t="shared" si="338"/>
        <v>0</v>
      </c>
      <c r="AF309" s="486">
        <f t="shared" si="339"/>
        <v>0</v>
      </c>
      <c r="AG309" s="501">
        <v>0</v>
      </c>
      <c r="AH309" s="501">
        <v>0</v>
      </c>
      <c r="AI309" s="501">
        <v>0</v>
      </c>
      <c r="AJ309" s="501">
        <v>0</v>
      </c>
      <c r="AK309" s="501">
        <v>0</v>
      </c>
      <c r="AL309" s="501">
        <f t="shared" si="403"/>
        <v>0</v>
      </c>
      <c r="AM309" s="501">
        <f t="shared" si="404"/>
        <v>0</v>
      </c>
      <c r="AN309" s="502">
        <f t="shared" si="342"/>
        <v>0</v>
      </c>
      <c r="AO309" s="499">
        <f>I309+AF309</f>
        <v>232262</v>
      </c>
      <c r="AP309" s="486">
        <f>J309+V309</f>
        <v>167903</v>
      </c>
      <c r="AQ309" s="486">
        <f>K309+Y309</f>
        <v>0</v>
      </c>
      <c r="AR309" s="486">
        <f>L309</f>
        <v>0</v>
      </c>
      <c r="AS309" s="486">
        <f t="shared" si="405"/>
        <v>56751</v>
      </c>
      <c r="AT309" s="486">
        <f t="shared" si="405"/>
        <v>3358</v>
      </c>
      <c r="AU309" s="486">
        <f>O309+AE309</f>
        <v>4250</v>
      </c>
      <c r="AV309" s="501">
        <f>P309+AN309</f>
        <v>0.57999999999999996</v>
      </c>
      <c r="AW309" s="501">
        <f t="shared" si="406"/>
        <v>0.57999999999999996</v>
      </c>
      <c r="AX309" s="502">
        <f t="shared" si="406"/>
        <v>0</v>
      </c>
    </row>
    <row r="310" spans="1:50" ht="14.1" customHeight="1" x14ac:dyDescent="0.2">
      <c r="A310" s="585">
        <v>63</v>
      </c>
      <c r="B310" s="586">
        <v>2403</v>
      </c>
      <c r="C310" s="587">
        <v>600078931</v>
      </c>
      <c r="D310" s="586">
        <v>72744324</v>
      </c>
      <c r="E310" s="588" t="s">
        <v>700</v>
      </c>
      <c r="F310" s="585">
        <v>3141</v>
      </c>
      <c r="G310" s="588" t="s">
        <v>321</v>
      </c>
      <c r="H310" s="589" t="s">
        <v>284</v>
      </c>
      <c r="I310" s="495">
        <v>972525</v>
      </c>
      <c r="J310" s="496">
        <v>712130</v>
      </c>
      <c r="K310" s="475">
        <v>0</v>
      </c>
      <c r="L310" s="475">
        <v>0</v>
      </c>
      <c r="M310" s="475">
        <v>240700</v>
      </c>
      <c r="N310" s="496">
        <v>14243</v>
      </c>
      <c r="O310" s="496">
        <v>5452</v>
      </c>
      <c r="P310" s="412">
        <v>2.4300000000000002</v>
      </c>
      <c r="Q310" s="497">
        <v>0</v>
      </c>
      <c r="R310" s="498">
        <v>2.4300000000000002</v>
      </c>
      <c r="S310" s="499">
        <v>0</v>
      </c>
      <c r="T310" s="486">
        <v>0</v>
      </c>
      <c r="U310" s="486">
        <v>0</v>
      </c>
      <c r="V310" s="486">
        <f>SUM(S310:U310)</f>
        <v>0</v>
      </c>
      <c r="W310" s="486">
        <v>0</v>
      </c>
      <c r="X310" s="486">
        <v>0</v>
      </c>
      <c r="Y310" s="486">
        <f>SUM(W310:X310)</f>
        <v>0</v>
      </c>
      <c r="Z310" s="486">
        <f>V310+Y310</f>
        <v>0</v>
      </c>
      <c r="AA310" s="178">
        <f t="shared" si="332"/>
        <v>0</v>
      </c>
      <c r="AB310" s="745">
        <f>ROUND(V310*2%,0)</f>
        <v>0</v>
      </c>
      <c r="AC310" s="486">
        <v>0</v>
      </c>
      <c r="AD310" s="486">
        <v>0</v>
      </c>
      <c r="AE310" s="486">
        <f t="shared" si="338"/>
        <v>0</v>
      </c>
      <c r="AF310" s="486">
        <f t="shared" si="339"/>
        <v>0</v>
      </c>
      <c r="AG310" s="501">
        <v>0</v>
      </c>
      <c r="AH310" s="501">
        <v>0</v>
      </c>
      <c r="AI310" s="501">
        <v>0</v>
      </c>
      <c r="AJ310" s="501">
        <v>0</v>
      </c>
      <c r="AK310" s="501">
        <v>0</v>
      </c>
      <c r="AL310" s="501">
        <f t="shared" si="403"/>
        <v>0</v>
      </c>
      <c r="AM310" s="501">
        <f t="shared" si="404"/>
        <v>0</v>
      </c>
      <c r="AN310" s="502">
        <f t="shared" si="342"/>
        <v>0</v>
      </c>
      <c r="AO310" s="499">
        <f>I310+AF310</f>
        <v>972525</v>
      </c>
      <c r="AP310" s="486">
        <f>J310+V310</f>
        <v>712130</v>
      </c>
      <c r="AQ310" s="486">
        <f>K310+Y310</f>
        <v>0</v>
      </c>
      <c r="AR310" s="486">
        <f>L310</f>
        <v>0</v>
      </c>
      <c r="AS310" s="486">
        <f t="shared" si="405"/>
        <v>240700</v>
      </c>
      <c r="AT310" s="486">
        <f t="shared" si="405"/>
        <v>14243</v>
      </c>
      <c r="AU310" s="486">
        <f>O310+AE310</f>
        <v>5452</v>
      </c>
      <c r="AV310" s="501">
        <f>P310+AN310</f>
        <v>2.4300000000000002</v>
      </c>
      <c r="AW310" s="501">
        <f t="shared" si="406"/>
        <v>0</v>
      </c>
      <c r="AX310" s="502">
        <f t="shared" si="406"/>
        <v>2.4300000000000002</v>
      </c>
    </row>
    <row r="311" spans="1:50" ht="14.1" customHeight="1" x14ac:dyDescent="0.2">
      <c r="A311" s="181">
        <v>63</v>
      </c>
      <c r="B311" s="179">
        <v>2403</v>
      </c>
      <c r="C311" s="180">
        <v>600078931</v>
      </c>
      <c r="D311" s="179">
        <v>72744324</v>
      </c>
      <c r="E311" s="578" t="s">
        <v>701</v>
      </c>
      <c r="F311" s="181"/>
      <c r="G311" s="578"/>
      <c r="H311" s="579"/>
      <c r="I311" s="580">
        <v>7545046</v>
      </c>
      <c r="J311" s="581">
        <v>5500400</v>
      </c>
      <c r="K311" s="581">
        <v>0</v>
      </c>
      <c r="L311" s="581">
        <v>0</v>
      </c>
      <c r="M311" s="581">
        <v>1859135</v>
      </c>
      <c r="N311" s="581">
        <v>110009</v>
      </c>
      <c r="O311" s="581">
        <v>75502</v>
      </c>
      <c r="P311" s="582">
        <v>13.888199999999999</v>
      </c>
      <c r="Q311" s="582">
        <v>8.59</v>
      </c>
      <c r="R311" s="584">
        <v>5.2981999999999996</v>
      </c>
      <c r="S311" s="583">
        <f t="shared" ref="S311:AX311" si="407">SUM(S308:S310)</f>
        <v>0</v>
      </c>
      <c r="T311" s="581">
        <f t="shared" si="407"/>
        <v>0</v>
      </c>
      <c r="U311" s="581">
        <f t="shared" si="407"/>
        <v>0</v>
      </c>
      <c r="V311" s="581">
        <f t="shared" si="407"/>
        <v>0</v>
      </c>
      <c r="W311" s="581">
        <f t="shared" si="407"/>
        <v>0</v>
      </c>
      <c r="X311" s="581">
        <f t="shared" si="407"/>
        <v>0</v>
      </c>
      <c r="Y311" s="581">
        <f t="shared" si="407"/>
        <v>0</v>
      </c>
      <c r="Z311" s="581">
        <f t="shared" si="407"/>
        <v>0</v>
      </c>
      <c r="AA311" s="581">
        <f t="shared" si="407"/>
        <v>0</v>
      </c>
      <c r="AB311" s="583">
        <f t="shared" si="407"/>
        <v>0</v>
      </c>
      <c r="AC311" s="581">
        <f t="shared" si="407"/>
        <v>0</v>
      </c>
      <c r="AD311" s="581">
        <f t="shared" si="407"/>
        <v>0</v>
      </c>
      <c r="AE311" s="581">
        <f t="shared" si="407"/>
        <v>0</v>
      </c>
      <c r="AF311" s="581">
        <f t="shared" si="407"/>
        <v>0</v>
      </c>
      <c r="AG311" s="582">
        <f t="shared" si="407"/>
        <v>0</v>
      </c>
      <c r="AH311" s="582">
        <f t="shared" si="407"/>
        <v>0</v>
      </c>
      <c r="AI311" s="582">
        <f t="shared" si="407"/>
        <v>0</v>
      </c>
      <c r="AJ311" s="582">
        <f t="shared" si="407"/>
        <v>0</v>
      </c>
      <c r="AK311" s="582">
        <f t="shared" si="407"/>
        <v>0</v>
      </c>
      <c r="AL311" s="582">
        <f t="shared" si="407"/>
        <v>0</v>
      </c>
      <c r="AM311" s="582">
        <f t="shared" si="407"/>
        <v>0</v>
      </c>
      <c r="AN311" s="584">
        <f t="shared" si="407"/>
        <v>0</v>
      </c>
      <c r="AO311" s="583">
        <f t="shared" si="407"/>
        <v>7545046</v>
      </c>
      <c r="AP311" s="581">
        <f t="shared" si="407"/>
        <v>5500400</v>
      </c>
      <c r="AQ311" s="581">
        <f t="shared" si="407"/>
        <v>0</v>
      </c>
      <c r="AR311" s="581">
        <f t="shared" si="407"/>
        <v>0</v>
      </c>
      <c r="AS311" s="581">
        <f t="shared" si="407"/>
        <v>1859135</v>
      </c>
      <c r="AT311" s="581">
        <f t="shared" si="407"/>
        <v>110009</v>
      </c>
      <c r="AU311" s="581">
        <f t="shared" si="407"/>
        <v>75502</v>
      </c>
      <c r="AV311" s="582">
        <f t="shared" si="407"/>
        <v>13.888199999999999</v>
      </c>
      <c r="AW311" s="582">
        <f t="shared" si="407"/>
        <v>8.59</v>
      </c>
      <c r="AX311" s="584">
        <f t="shared" si="407"/>
        <v>5.2981999999999996</v>
      </c>
    </row>
    <row r="312" spans="1:50" ht="14.1" customHeight="1" x14ac:dyDescent="0.2">
      <c r="A312" s="585">
        <v>64</v>
      </c>
      <c r="B312" s="586">
        <v>2458</v>
      </c>
      <c r="C312" s="587">
        <v>600079741</v>
      </c>
      <c r="D312" s="586">
        <v>72744243</v>
      </c>
      <c r="E312" s="588" t="s">
        <v>702</v>
      </c>
      <c r="F312" s="585">
        <v>3113</v>
      </c>
      <c r="G312" s="588" t="s">
        <v>320</v>
      </c>
      <c r="H312" s="589" t="s">
        <v>283</v>
      </c>
      <c r="I312" s="495">
        <v>21081033</v>
      </c>
      <c r="J312" s="411">
        <v>14974877</v>
      </c>
      <c r="K312" s="520">
        <v>94750</v>
      </c>
      <c r="L312" s="520">
        <v>94750</v>
      </c>
      <c r="M312" s="475">
        <v>5061508</v>
      </c>
      <c r="N312" s="496">
        <v>299498</v>
      </c>
      <c r="O312" s="411">
        <v>650400</v>
      </c>
      <c r="P312" s="412">
        <v>29.2302</v>
      </c>
      <c r="Q312" s="415">
        <v>22.273600000000002</v>
      </c>
      <c r="R312" s="685">
        <v>6.9565999999999999</v>
      </c>
      <c r="S312" s="499">
        <v>0</v>
      </c>
      <c r="T312" s="486">
        <v>0</v>
      </c>
      <c r="U312" s="486">
        <v>0</v>
      </c>
      <c r="V312" s="486">
        <f>SUM(S312:U312)</f>
        <v>0</v>
      </c>
      <c r="W312" s="486">
        <v>0</v>
      </c>
      <c r="X312" s="486">
        <v>0</v>
      </c>
      <c r="Y312" s="486">
        <f>SUM(W312:X312)</f>
        <v>0</v>
      </c>
      <c r="Z312" s="486">
        <f>V312+Y312</f>
        <v>0</v>
      </c>
      <c r="AA312" s="178">
        <f t="shared" si="332"/>
        <v>0</v>
      </c>
      <c r="AB312" s="745">
        <f>ROUND(V312*2%,0)</f>
        <v>0</v>
      </c>
      <c r="AC312" s="486">
        <v>0</v>
      </c>
      <c r="AD312" s="486">
        <v>0</v>
      </c>
      <c r="AE312" s="486">
        <f t="shared" si="338"/>
        <v>0</v>
      </c>
      <c r="AF312" s="486">
        <f t="shared" si="339"/>
        <v>0</v>
      </c>
      <c r="AG312" s="501">
        <v>0</v>
      </c>
      <c r="AH312" s="501">
        <v>0</v>
      </c>
      <c r="AI312" s="501">
        <v>0</v>
      </c>
      <c r="AJ312" s="501">
        <v>0</v>
      </c>
      <c r="AK312" s="501">
        <v>0</v>
      </c>
      <c r="AL312" s="501">
        <f t="shared" ref="AL312:AL316" si="408">AG312+AI312+AJ312</f>
        <v>0</v>
      </c>
      <c r="AM312" s="501">
        <f t="shared" ref="AM312:AM316" si="409">AH312+AK312</f>
        <v>0</v>
      </c>
      <c r="AN312" s="502">
        <f t="shared" si="342"/>
        <v>0</v>
      </c>
      <c r="AO312" s="499">
        <f>I312+AF312</f>
        <v>21081033</v>
      </c>
      <c r="AP312" s="486">
        <f>J312+V312</f>
        <v>14974877</v>
      </c>
      <c r="AQ312" s="486">
        <f>K312+Y312</f>
        <v>94750</v>
      </c>
      <c r="AR312" s="486">
        <f>L312</f>
        <v>94750</v>
      </c>
      <c r="AS312" s="486">
        <f t="shared" ref="AS312:AT316" si="410">M312+AA312</f>
        <v>5061508</v>
      </c>
      <c r="AT312" s="486">
        <f t="shared" si="410"/>
        <v>299498</v>
      </c>
      <c r="AU312" s="486">
        <f>O312+AE312</f>
        <v>650400</v>
      </c>
      <c r="AV312" s="501">
        <f>P312+AN312</f>
        <v>29.2302</v>
      </c>
      <c r="AW312" s="501">
        <f t="shared" ref="AW312:AX316" si="411">Q312+AL312</f>
        <v>22.273600000000002</v>
      </c>
      <c r="AX312" s="502">
        <f t="shared" si="411"/>
        <v>6.9565999999999999</v>
      </c>
    </row>
    <row r="313" spans="1:50" ht="14.1" customHeight="1" x14ac:dyDescent="0.2">
      <c r="A313" s="585">
        <v>64</v>
      </c>
      <c r="B313" s="586">
        <v>2458</v>
      </c>
      <c r="C313" s="587">
        <v>600079741</v>
      </c>
      <c r="D313" s="586">
        <v>72744243</v>
      </c>
      <c r="E313" s="588" t="s">
        <v>702</v>
      </c>
      <c r="F313" s="585">
        <v>3113</v>
      </c>
      <c r="G313" s="208" t="s">
        <v>318</v>
      </c>
      <c r="H313" s="589" t="s">
        <v>284</v>
      </c>
      <c r="I313" s="495">
        <v>937219</v>
      </c>
      <c r="J313" s="496">
        <v>687386</v>
      </c>
      <c r="K313" s="475">
        <v>0</v>
      </c>
      <c r="L313" s="475">
        <v>0</v>
      </c>
      <c r="M313" s="475">
        <v>232336</v>
      </c>
      <c r="N313" s="496">
        <v>13747</v>
      </c>
      <c r="O313" s="496">
        <v>3750</v>
      </c>
      <c r="P313" s="412">
        <v>2.02</v>
      </c>
      <c r="Q313" s="497">
        <v>2.02</v>
      </c>
      <c r="R313" s="498">
        <v>0</v>
      </c>
      <c r="S313" s="499">
        <v>0</v>
      </c>
      <c r="T313" s="486">
        <v>0</v>
      </c>
      <c r="U313" s="486">
        <v>0</v>
      </c>
      <c r="V313" s="486">
        <f>SUM(S313:U313)</f>
        <v>0</v>
      </c>
      <c r="W313" s="486">
        <v>0</v>
      </c>
      <c r="X313" s="486">
        <v>0</v>
      </c>
      <c r="Y313" s="486">
        <f>SUM(W313:X313)</f>
        <v>0</v>
      </c>
      <c r="Z313" s="486">
        <f>V313+Y313</f>
        <v>0</v>
      </c>
      <c r="AA313" s="178">
        <f t="shared" si="332"/>
        <v>0</v>
      </c>
      <c r="AB313" s="745">
        <f>ROUND(V313*2%,0)</f>
        <v>0</v>
      </c>
      <c r="AC313" s="486">
        <v>0</v>
      </c>
      <c r="AD313" s="486">
        <v>0</v>
      </c>
      <c r="AE313" s="486">
        <f t="shared" si="338"/>
        <v>0</v>
      </c>
      <c r="AF313" s="486">
        <f t="shared" si="339"/>
        <v>0</v>
      </c>
      <c r="AG313" s="501">
        <v>0</v>
      </c>
      <c r="AH313" s="501">
        <v>0</v>
      </c>
      <c r="AI313" s="501">
        <v>0</v>
      </c>
      <c r="AJ313" s="501">
        <v>0</v>
      </c>
      <c r="AK313" s="501">
        <v>0</v>
      </c>
      <c r="AL313" s="501">
        <f t="shared" si="408"/>
        <v>0</v>
      </c>
      <c r="AM313" s="501">
        <f t="shared" si="409"/>
        <v>0</v>
      </c>
      <c r="AN313" s="502">
        <f t="shared" si="342"/>
        <v>0</v>
      </c>
      <c r="AO313" s="499">
        <f>I313+AF313</f>
        <v>937219</v>
      </c>
      <c r="AP313" s="486">
        <f>J313+V313</f>
        <v>687386</v>
      </c>
      <c r="AQ313" s="486">
        <f>K313+Y313</f>
        <v>0</v>
      </c>
      <c r="AR313" s="486">
        <f>L313</f>
        <v>0</v>
      </c>
      <c r="AS313" s="486">
        <f t="shared" si="410"/>
        <v>232336</v>
      </c>
      <c r="AT313" s="486">
        <f t="shared" si="410"/>
        <v>13747</v>
      </c>
      <c r="AU313" s="486">
        <f>O313+AE313</f>
        <v>3750</v>
      </c>
      <c r="AV313" s="501">
        <f>P313+AN313</f>
        <v>2.02</v>
      </c>
      <c r="AW313" s="501">
        <f t="shared" si="411"/>
        <v>2.02</v>
      </c>
      <c r="AX313" s="502">
        <f t="shared" si="411"/>
        <v>0</v>
      </c>
    </row>
    <row r="314" spans="1:50" ht="14.1" customHeight="1" x14ac:dyDescent="0.2">
      <c r="A314" s="585">
        <v>64</v>
      </c>
      <c r="B314" s="586">
        <v>2458</v>
      </c>
      <c r="C314" s="587">
        <v>600079741</v>
      </c>
      <c r="D314" s="586">
        <v>72744243</v>
      </c>
      <c r="E314" s="588" t="s">
        <v>702</v>
      </c>
      <c r="F314" s="585">
        <v>3141</v>
      </c>
      <c r="G314" s="588" t="s">
        <v>321</v>
      </c>
      <c r="H314" s="589" t="s">
        <v>284</v>
      </c>
      <c r="I314" s="495">
        <v>1985156</v>
      </c>
      <c r="J314" s="496">
        <v>1449673</v>
      </c>
      <c r="K314" s="475">
        <v>0</v>
      </c>
      <c r="L314" s="475">
        <v>0</v>
      </c>
      <c r="M314" s="475">
        <v>489990</v>
      </c>
      <c r="N314" s="496">
        <v>28993</v>
      </c>
      <c r="O314" s="496">
        <v>16500</v>
      </c>
      <c r="P314" s="412">
        <v>4.9300000000000006</v>
      </c>
      <c r="Q314" s="497">
        <v>0</v>
      </c>
      <c r="R314" s="498">
        <v>4.9300000000000006</v>
      </c>
      <c r="S314" s="499">
        <v>0</v>
      </c>
      <c r="T314" s="486">
        <v>0</v>
      </c>
      <c r="U314" s="486">
        <v>0</v>
      </c>
      <c r="V314" s="486">
        <f>SUM(S314:U314)</f>
        <v>0</v>
      </c>
      <c r="W314" s="486">
        <v>0</v>
      </c>
      <c r="X314" s="486">
        <v>0</v>
      </c>
      <c r="Y314" s="486">
        <f>SUM(W314:X314)</f>
        <v>0</v>
      </c>
      <c r="Z314" s="486">
        <f>V314+Y314</f>
        <v>0</v>
      </c>
      <c r="AA314" s="178">
        <f t="shared" si="332"/>
        <v>0</v>
      </c>
      <c r="AB314" s="745">
        <f>ROUND(V314*2%,0)</f>
        <v>0</v>
      </c>
      <c r="AC314" s="486">
        <v>0</v>
      </c>
      <c r="AD314" s="486">
        <v>0</v>
      </c>
      <c r="AE314" s="486">
        <f t="shared" si="338"/>
        <v>0</v>
      </c>
      <c r="AF314" s="486">
        <f t="shared" si="339"/>
        <v>0</v>
      </c>
      <c r="AG314" s="501">
        <v>0</v>
      </c>
      <c r="AH314" s="501">
        <v>0</v>
      </c>
      <c r="AI314" s="501">
        <v>0</v>
      </c>
      <c r="AJ314" s="501">
        <v>0</v>
      </c>
      <c r="AK314" s="501">
        <v>0</v>
      </c>
      <c r="AL314" s="501">
        <f t="shared" si="408"/>
        <v>0</v>
      </c>
      <c r="AM314" s="501">
        <f t="shared" si="409"/>
        <v>0</v>
      </c>
      <c r="AN314" s="502">
        <f t="shared" si="342"/>
        <v>0</v>
      </c>
      <c r="AO314" s="499">
        <f>I314+AF314</f>
        <v>1985156</v>
      </c>
      <c r="AP314" s="486">
        <f>J314+V314</f>
        <v>1449673</v>
      </c>
      <c r="AQ314" s="486">
        <f>K314+Y314</f>
        <v>0</v>
      </c>
      <c r="AR314" s="486">
        <f>L314</f>
        <v>0</v>
      </c>
      <c r="AS314" s="486">
        <f t="shared" si="410"/>
        <v>489990</v>
      </c>
      <c r="AT314" s="486">
        <f t="shared" si="410"/>
        <v>28993</v>
      </c>
      <c r="AU314" s="486">
        <f>O314+AE314</f>
        <v>16500</v>
      </c>
      <c r="AV314" s="501">
        <f>P314+AN314</f>
        <v>4.9300000000000006</v>
      </c>
      <c r="AW314" s="501">
        <f t="shared" si="411"/>
        <v>0</v>
      </c>
      <c r="AX314" s="502">
        <f t="shared" si="411"/>
        <v>4.9300000000000006</v>
      </c>
    </row>
    <row r="315" spans="1:50" ht="14.1" customHeight="1" x14ac:dyDescent="0.2">
      <c r="A315" s="585">
        <v>64</v>
      </c>
      <c r="B315" s="586">
        <v>2458</v>
      </c>
      <c r="C315" s="587">
        <v>600079741</v>
      </c>
      <c r="D315" s="586">
        <v>72744243</v>
      </c>
      <c r="E315" s="588" t="s">
        <v>702</v>
      </c>
      <c r="F315" s="585">
        <v>3143</v>
      </c>
      <c r="G315" s="208" t="s">
        <v>634</v>
      </c>
      <c r="H315" s="589" t="s">
        <v>283</v>
      </c>
      <c r="I315" s="495">
        <v>1876050</v>
      </c>
      <c r="J315" s="411">
        <v>1381480</v>
      </c>
      <c r="K315" s="520">
        <v>0</v>
      </c>
      <c r="L315" s="520">
        <v>0</v>
      </c>
      <c r="M315" s="475">
        <v>466940</v>
      </c>
      <c r="N315" s="496">
        <v>27630</v>
      </c>
      <c r="O315" s="496">
        <v>0</v>
      </c>
      <c r="P315" s="412">
        <v>3.1118999999999999</v>
      </c>
      <c r="Q315" s="415">
        <v>3.1118999999999999</v>
      </c>
      <c r="R315" s="498">
        <v>0</v>
      </c>
      <c r="S315" s="499">
        <v>0</v>
      </c>
      <c r="T315" s="486">
        <v>0</v>
      </c>
      <c r="U315" s="486">
        <v>0</v>
      </c>
      <c r="V315" s="486">
        <f>SUM(S315:U315)</f>
        <v>0</v>
      </c>
      <c r="W315" s="486">
        <v>0</v>
      </c>
      <c r="X315" s="486">
        <v>0</v>
      </c>
      <c r="Y315" s="486">
        <f>SUM(W315:X315)</f>
        <v>0</v>
      </c>
      <c r="Z315" s="486">
        <f>V315+Y315</f>
        <v>0</v>
      </c>
      <c r="AA315" s="178">
        <f t="shared" si="332"/>
        <v>0</v>
      </c>
      <c r="AB315" s="745">
        <f>ROUND(V315*2%,0)</f>
        <v>0</v>
      </c>
      <c r="AC315" s="486">
        <v>0</v>
      </c>
      <c r="AD315" s="486">
        <v>0</v>
      </c>
      <c r="AE315" s="486">
        <f t="shared" si="338"/>
        <v>0</v>
      </c>
      <c r="AF315" s="486">
        <f t="shared" si="339"/>
        <v>0</v>
      </c>
      <c r="AG315" s="501">
        <v>0</v>
      </c>
      <c r="AH315" s="501">
        <v>0</v>
      </c>
      <c r="AI315" s="501">
        <v>0</v>
      </c>
      <c r="AJ315" s="501">
        <v>0</v>
      </c>
      <c r="AK315" s="501">
        <v>0</v>
      </c>
      <c r="AL315" s="501">
        <f t="shared" si="408"/>
        <v>0</v>
      </c>
      <c r="AM315" s="501">
        <f t="shared" si="409"/>
        <v>0</v>
      </c>
      <c r="AN315" s="502">
        <f t="shared" si="342"/>
        <v>0</v>
      </c>
      <c r="AO315" s="499">
        <f>I315+AF315</f>
        <v>1876050</v>
      </c>
      <c r="AP315" s="486">
        <f>J315+V315</f>
        <v>1381480</v>
      </c>
      <c r="AQ315" s="486">
        <f>K315+Y315</f>
        <v>0</v>
      </c>
      <c r="AR315" s="486">
        <f>L315</f>
        <v>0</v>
      </c>
      <c r="AS315" s="486">
        <f t="shared" si="410"/>
        <v>466940</v>
      </c>
      <c r="AT315" s="486">
        <f t="shared" si="410"/>
        <v>27630</v>
      </c>
      <c r="AU315" s="486">
        <f>O315+AE315</f>
        <v>0</v>
      </c>
      <c r="AV315" s="501">
        <f>P315+AN315</f>
        <v>3.1118999999999999</v>
      </c>
      <c r="AW315" s="501">
        <f t="shared" si="411"/>
        <v>3.1118999999999999</v>
      </c>
      <c r="AX315" s="502">
        <f t="shared" si="411"/>
        <v>0</v>
      </c>
    </row>
    <row r="316" spans="1:50" ht="14.1" customHeight="1" x14ac:dyDescent="0.2">
      <c r="A316" s="585">
        <v>64</v>
      </c>
      <c r="B316" s="586">
        <v>2458</v>
      </c>
      <c r="C316" s="587">
        <v>600079741</v>
      </c>
      <c r="D316" s="586">
        <v>72744243</v>
      </c>
      <c r="E316" s="588" t="s">
        <v>702</v>
      </c>
      <c r="F316" s="585">
        <v>3143</v>
      </c>
      <c r="G316" s="208" t="s">
        <v>635</v>
      </c>
      <c r="H316" s="589" t="s">
        <v>284</v>
      </c>
      <c r="I316" s="495">
        <v>59688</v>
      </c>
      <c r="J316" s="496">
        <v>42075</v>
      </c>
      <c r="K316" s="475">
        <v>0</v>
      </c>
      <c r="L316" s="475">
        <v>0</v>
      </c>
      <c r="M316" s="475">
        <v>14221</v>
      </c>
      <c r="N316" s="496">
        <v>842</v>
      </c>
      <c r="O316" s="496">
        <v>2550</v>
      </c>
      <c r="P316" s="412">
        <v>0.18</v>
      </c>
      <c r="Q316" s="497">
        <v>0</v>
      </c>
      <c r="R316" s="498">
        <v>0.18</v>
      </c>
      <c r="S316" s="499">
        <v>0</v>
      </c>
      <c r="T316" s="486">
        <v>0</v>
      </c>
      <c r="U316" s="486">
        <v>0</v>
      </c>
      <c r="V316" s="486">
        <f>SUM(S316:U316)</f>
        <v>0</v>
      </c>
      <c r="W316" s="486">
        <v>0</v>
      </c>
      <c r="X316" s="486">
        <v>0</v>
      </c>
      <c r="Y316" s="486">
        <f>SUM(W316:X316)</f>
        <v>0</v>
      </c>
      <c r="Z316" s="486">
        <f>V316+Y316</f>
        <v>0</v>
      </c>
      <c r="AA316" s="178">
        <f t="shared" si="332"/>
        <v>0</v>
      </c>
      <c r="AB316" s="745">
        <f>ROUND(V316*2%,0)</f>
        <v>0</v>
      </c>
      <c r="AC316" s="486">
        <v>0</v>
      </c>
      <c r="AD316" s="486">
        <v>0</v>
      </c>
      <c r="AE316" s="486">
        <f t="shared" si="338"/>
        <v>0</v>
      </c>
      <c r="AF316" s="486">
        <f t="shared" si="339"/>
        <v>0</v>
      </c>
      <c r="AG316" s="501">
        <v>0</v>
      </c>
      <c r="AH316" s="501">
        <v>0</v>
      </c>
      <c r="AI316" s="501">
        <v>0</v>
      </c>
      <c r="AJ316" s="501">
        <v>0</v>
      </c>
      <c r="AK316" s="501">
        <v>0</v>
      </c>
      <c r="AL316" s="501">
        <f t="shared" si="408"/>
        <v>0</v>
      </c>
      <c r="AM316" s="501">
        <f t="shared" si="409"/>
        <v>0</v>
      </c>
      <c r="AN316" s="502">
        <f t="shared" si="342"/>
        <v>0</v>
      </c>
      <c r="AO316" s="499">
        <f>I316+AF316</f>
        <v>59688</v>
      </c>
      <c r="AP316" s="486">
        <f>J316+V316</f>
        <v>42075</v>
      </c>
      <c r="AQ316" s="486">
        <f>K316+Y316</f>
        <v>0</v>
      </c>
      <c r="AR316" s="486">
        <f>L316</f>
        <v>0</v>
      </c>
      <c r="AS316" s="486">
        <f t="shared" si="410"/>
        <v>14221</v>
      </c>
      <c r="AT316" s="486">
        <f t="shared" si="410"/>
        <v>842</v>
      </c>
      <c r="AU316" s="486">
        <f>O316+AE316</f>
        <v>2550</v>
      </c>
      <c r="AV316" s="501">
        <f>P316+AN316</f>
        <v>0.18</v>
      </c>
      <c r="AW316" s="501">
        <f t="shared" si="411"/>
        <v>0</v>
      </c>
      <c r="AX316" s="502">
        <f t="shared" si="411"/>
        <v>0.18</v>
      </c>
    </row>
    <row r="317" spans="1:50" ht="14.1" customHeight="1" x14ac:dyDescent="0.2">
      <c r="A317" s="181">
        <v>64</v>
      </c>
      <c r="B317" s="179">
        <v>2458</v>
      </c>
      <c r="C317" s="180">
        <v>600079741</v>
      </c>
      <c r="D317" s="179">
        <v>72744243</v>
      </c>
      <c r="E317" s="578" t="s">
        <v>703</v>
      </c>
      <c r="F317" s="181"/>
      <c r="G317" s="578"/>
      <c r="H317" s="579"/>
      <c r="I317" s="580">
        <v>25939146</v>
      </c>
      <c r="J317" s="581">
        <v>18535491</v>
      </c>
      <c r="K317" s="581">
        <v>94750</v>
      </c>
      <c r="L317" s="581">
        <v>94750</v>
      </c>
      <c r="M317" s="581">
        <v>6264995</v>
      </c>
      <c r="N317" s="581">
        <v>370710</v>
      </c>
      <c r="O317" s="581">
        <v>673200</v>
      </c>
      <c r="P317" s="582">
        <v>39.472099999999998</v>
      </c>
      <c r="Q317" s="582">
        <v>27.4055</v>
      </c>
      <c r="R317" s="584">
        <v>12.066600000000001</v>
      </c>
      <c r="S317" s="583">
        <f t="shared" ref="S317:AX317" si="412">SUM(S312:S316)</f>
        <v>0</v>
      </c>
      <c r="T317" s="581">
        <f t="shared" si="412"/>
        <v>0</v>
      </c>
      <c r="U317" s="581">
        <f t="shared" si="412"/>
        <v>0</v>
      </c>
      <c r="V317" s="581">
        <f t="shared" si="412"/>
        <v>0</v>
      </c>
      <c r="W317" s="581">
        <f t="shared" si="412"/>
        <v>0</v>
      </c>
      <c r="X317" s="581">
        <f t="shared" si="412"/>
        <v>0</v>
      </c>
      <c r="Y317" s="581">
        <f t="shared" si="412"/>
        <v>0</v>
      </c>
      <c r="Z317" s="581">
        <f t="shared" si="412"/>
        <v>0</v>
      </c>
      <c r="AA317" s="581">
        <f t="shared" si="412"/>
        <v>0</v>
      </c>
      <c r="AB317" s="583">
        <f t="shared" si="412"/>
        <v>0</v>
      </c>
      <c r="AC317" s="581">
        <f t="shared" si="412"/>
        <v>0</v>
      </c>
      <c r="AD317" s="581">
        <f t="shared" si="412"/>
        <v>0</v>
      </c>
      <c r="AE317" s="581">
        <f t="shared" si="412"/>
        <v>0</v>
      </c>
      <c r="AF317" s="581">
        <f t="shared" si="412"/>
        <v>0</v>
      </c>
      <c r="AG317" s="582">
        <f t="shared" si="412"/>
        <v>0</v>
      </c>
      <c r="AH317" s="582">
        <f t="shared" si="412"/>
        <v>0</v>
      </c>
      <c r="AI317" s="582">
        <f t="shared" si="412"/>
        <v>0</v>
      </c>
      <c r="AJ317" s="582">
        <f t="shared" si="412"/>
        <v>0</v>
      </c>
      <c r="AK317" s="582">
        <f t="shared" si="412"/>
        <v>0</v>
      </c>
      <c r="AL317" s="582">
        <f t="shared" si="412"/>
        <v>0</v>
      </c>
      <c r="AM317" s="582">
        <f t="shared" si="412"/>
        <v>0</v>
      </c>
      <c r="AN317" s="584">
        <f t="shared" si="412"/>
        <v>0</v>
      </c>
      <c r="AO317" s="583">
        <f t="shared" si="412"/>
        <v>25939146</v>
      </c>
      <c r="AP317" s="581">
        <f t="shared" si="412"/>
        <v>18535491</v>
      </c>
      <c r="AQ317" s="581">
        <f t="shared" si="412"/>
        <v>94750</v>
      </c>
      <c r="AR317" s="581">
        <f t="shared" si="412"/>
        <v>94750</v>
      </c>
      <c r="AS317" s="581">
        <f t="shared" si="412"/>
        <v>6264995</v>
      </c>
      <c r="AT317" s="581">
        <f t="shared" si="412"/>
        <v>370710</v>
      </c>
      <c r="AU317" s="581">
        <f t="shared" si="412"/>
        <v>673200</v>
      </c>
      <c r="AV317" s="582">
        <f t="shared" si="412"/>
        <v>39.472099999999998</v>
      </c>
      <c r="AW317" s="582">
        <f t="shared" si="412"/>
        <v>27.4055</v>
      </c>
      <c r="AX317" s="584">
        <f t="shared" si="412"/>
        <v>12.066600000000001</v>
      </c>
    </row>
    <row r="318" spans="1:50" ht="14.1" customHeight="1" x14ac:dyDescent="0.2">
      <c r="A318" s="585">
        <v>65</v>
      </c>
      <c r="B318" s="586">
        <v>2316</v>
      </c>
      <c r="C318" s="587">
        <v>600080439</v>
      </c>
      <c r="D318" s="586">
        <v>70983224</v>
      </c>
      <c r="E318" s="588" t="s">
        <v>704</v>
      </c>
      <c r="F318" s="585">
        <v>3233</v>
      </c>
      <c r="G318" s="588" t="s">
        <v>324</v>
      </c>
      <c r="H318" s="589" t="s">
        <v>284</v>
      </c>
      <c r="I318" s="495">
        <v>2113056</v>
      </c>
      <c r="J318" s="496">
        <v>1530452</v>
      </c>
      <c r="K318" s="475">
        <v>15000</v>
      </c>
      <c r="L318" s="475">
        <v>0</v>
      </c>
      <c r="M318" s="475">
        <v>522362</v>
      </c>
      <c r="N318" s="496">
        <v>30609</v>
      </c>
      <c r="O318" s="496">
        <v>14633</v>
      </c>
      <c r="P318" s="412">
        <v>3.45</v>
      </c>
      <c r="Q318" s="497">
        <v>2.4900000000000002</v>
      </c>
      <c r="R318" s="498">
        <v>0.96</v>
      </c>
      <c r="S318" s="499">
        <v>0</v>
      </c>
      <c r="T318" s="486">
        <v>0</v>
      </c>
      <c r="U318" s="486">
        <v>0</v>
      </c>
      <c r="V318" s="486">
        <f>SUM(S318:U318)</f>
        <v>0</v>
      </c>
      <c r="W318" s="486">
        <v>0</v>
      </c>
      <c r="X318" s="486">
        <v>0</v>
      </c>
      <c r="Y318" s="486">
        <f>SUM(W318:X318)</f>
        <v>0</v>
      </c>
      <c r="Z318" s="486">
        <f>V318+Y318</f>
        <v>0</v>
      </c>
      <c r="AA318" s="178">
        <f t="shared" si="332"/>
        <v>0</v>
      </c>
      <c r="AB318" s="745">
        <f>ROUND(V318*2%,0)</f>
        <v>0</v>
      </c>
      <c r="AC318" s="486">
        <v>0</v>
      </c>
      <c r="AD318" s="486">
        <v>0</v>
      </c>
      <c r="AE318" s="486">
        <f t="shared" si="338"/>
        <v>0</v>
      </c>
      <c r="AF318" s="486">
        <f t="shared" si="339"/>
        <v>0</v>
      </c>
      <c r="AG318" s="501">
        <v>0</v>
      </c>
      <c r="AH318" s="501">
        <v>0</v>
      </c>
      <c r="AI318" s="501">
        <v>0</v>
      </c>
      <c r="AJ318" s="501">
        <v>0</v>
      </c>
      <c r="AK318" s="501">
        <v>0</v>
      </c>
      <c r="AL318" s="501">
        <f>AG318+AI318+AJ318</f>
        <v>0</v>
      </c>
      <c r="AM318" s="501">
        <f>AH318+AK318</f>
        <v>0</v>
      </c>
      <c r="AN318" s="502">
        <f t="shared" si="342"/>
        <v>0</v>
      </c>
      <c r="AO318" s="499">
        <f>I318+AF318</f>
        <v>2113056</v>
      </c>
      <c r="AP318" s="486">
        <f>J318+V318</f>
        <v>1530452</v>
      </c>
      <c r="AQ318" s="486">
        <f>K318+Y318</f>
        <v>15000</v>
      </c>
      <c r="AR318" s="486">
        <f>L318</f>
        <v>0</v>
      </c>
      <c r="AS318" s="486">
        <f>M318+AA318</f>
        <v>522362</v>
      </c>
      <c r="AT318" s="486">
        <f>N318+AB318</f>
        <v>30609</v>
      </c>
      <c r="AU318" s="486">
        <f>O318+AE318</f>
        <v>14633</v>
      </c>
      <c r="AV318" s="501">
        <f>P318+AN318</f>
        <v>3.45</v>
      </c>
      <c r="AW318" s="501">
        <f>Q318+AL318</f>
        <v>2.4900000000000002</v>
      </c>
      <c r="AX318" s="502">
        <f>R318+AM318</f>
        <v>0.96</v>
      </c>
    </row>
    <row r="319" spans="1:50" ht="14.1" customHeight="1" x14ac:dyDescent="0.2">
      <c r="A319" s="181">
        <v>65</v>
      </c>
      <c r="B319" s="179">
        <v>2316</v>
      </c>
      <c r="C319" s="180">
        <v>600080439</v>
      </c>
      <c r="D319" s="179">
        <v>70983224</v>
      </c>
      <c r="E319" s="578" t="s">
        <v>705</v>
      </c>
      <c r="F319" s="181"/>
      <c r="G319" s="578"/>
      <c r="H319" s="579"/>
      <c r="I319" s="580">
        <v>2113056</v>
      </c>
      <c r="J319" s="581">
        <v>1530452</v>
      </c>
      <c r="K319" s="581">
        <v>15000</v>
      </c>
      <c r="L319" s="581">
        <v>0</v>
      </c>
      <c r="M319" s="581">
        <v>522362</v>
      </c>
      <c r="N319" s="581">
        <v>30609</v>
      </c>
      <c r="O319" s="581">
        <v>14633</v>
      </c>
      <c r="P319" s="582">
        <v>3.45</v>
      </c>
      <c r="Q319" s="582">
        <v>2.4900000000000002</v>
      </c>
      <c r="R319" s="584">
        <v>0.96</v>
      </c>
      <c r="S319" s="583">
        <f t="shared" ref="S319:AX319" si="413">SUM(S318)</f>
        <v>0</v>
      </c>
      <c r="T319" s="581">
        <f t="shared" si="413"/>
        <v>0</v>
      </c>
      <c r="U319" s="581">
        <f t="shared" si="413"/>
        <v>0</v>
      </c>
      <c r="V319" s="581">
        <f t="shared" si="413"/>
        <v>0</v>
      </c>
      <c r="W319" s="581">
        <f t="shared" si="413"/>
        <v>0</v>
      </c>
      <c r="X319" s="581">
        <f t="shared" si="413"/>
        <v>0</v>
      </c>
      <c r="Y319" s="581">
        <f t="shared" si="413"/>
        <v>0</v>
      </c>
      <c r="Z319" s="581">
        <f t="shared" si="413"/>
        <v>0</v>
      </c>
      <c r="AA319" s="581">
        <f t="shared" si="413"/>
        <v>0</v>
      </c>
      <c r="AB319" s="583">
        <f t="shared" si="413"/>
        <v>0</v>
      </c>
      <c r="AC319" s="581">
        <f t="shared" si="413"/>
        <v>0</v>
      </c>
      <c r="AD319" s="581">
        <f t="shared" si="413"/>
        <v>0</v>
      </c>
      <c r="AE319" s="581">
        <f t="shared" si="413"/>
        <v>0</v>
      </c>
      <c r="AF319" s="581">
        <f t="shared" si="413"/>
        <v>0</v>
      </c>
      <c r="AG319" s="582">
        <f t="shared" si="413"/>
        <v>0</v>
      </c>
      <c r="AH319" s="582">
        <f t="shared" si="413"/>
        <v>0</v>
      </c>
      <c r="AI319" s="582">
        <f t="shared" si="413"/>
        <v>0</v>
      </c>
      <c r="AJ319" s="582">
        <f t="shared" si="413"/>
        <v>0</v>
      </c>
      <c r="AK319" s="582">
        <f t="shared" si="413"/>
        <v>0</v>
      </c>
      <c r="AL319" s="582">
        <f t="shared" si="413"/>
        <v>0</v>
      </c>
      <c r="AM319" s="582">
        <f t="shared" si="413"/>
        <v>0</v>
      </c>
      <c r="AN319" s="584">
        <f t="shared" si="413"/>
        <v>0</v>
      </c>
      <c r="AO319" s="583">
        <f t="shared" si="413"/>
        <v>2113056</v>
      </c>
      <c r="AP319" s="581">
        <f t="shared" si="413"/>
        <v>1530452</v>
      </c>
      <c r="AQ319" s="581">
        <f t="shared" si="413"/>
        <v>15000</v>
      </c>
      <c r="AR319" s="581">
        <f t="shared" si="413"/>
        <v>0</v>
      </c>
      <c r="AS319" s="581">
        <f t="shared" si="413"/>
        <v>522362</v>
      </c>
      <c r="AT319" s="581">
        <f t="shared" si="413"/>
        <v>30609</v>
      </c>
      <c r="AU319" s="581">
        <f t="shared" si="413"/>
        <v>14633</v>
      </c>
      <c r="AV319" s="582">
        <f t="shared" si="413"/>
        <v>3.45</v>
      </c>
      <c r="AW319" s="582">
        <f t="shared" si="413"/>
        <v>2.4900000000000002</v>
      </c>
      <c r="AX319" s="584">
        <f t="shared" si="413"/>
        <v>0.96</v>
      </c>
    </row>
    <row r="320" spans="1:50" ht="14.1" customHeight="1" x14ac:dyDescent="0.2">
      <c r="A320" s="585">
        <v>66</v>
      </c>
      <c r="B320" s="586">
        <v>2402</v>
      </c>
      <c r="C320" s="587">
        <v>600078949</v>
      </c>
      <c r="D320" s="586">
        <v>70983208</v>
      </c>
      <c r="E320" s="588" t="s">
        <v>706</v>
      </c>
      <c r="F320" s="585">
        <v>3111</v>
      </c>
      <c r="G320" s="588" t="s">
        <v>317</v>
      </c>
      <c r="H320" s="589" t="s">
        <v>283</v>
      </c>
      <c r="I320" s="495">
        <v>6355139</v>
      </c>
      <c r="J320" s="411">
        <v>4633386</v>
      </c>
      <c r="K320" s="520">
        <v>0</v>
      </c>
      <c r="L320" s="520">
        <v>0</v>
      </c>
      <c r="M320" s="475">
        <v>1566085</v>
      </c>
      <c r="N320" s="496">
        <v>92668</v>
      </c>
      <c r="O320" s="411">
        <v>63000</v>
      </c>
      <c r="P320" s="412">
        <v>11.179099999999998</v>
      </c>
      <c r="Q320" s="415">
        <v>7.9108999999999998</v>
      </c>
      <c r="R320" s="685">
        <v>3.2681999999999998</v>
      </c>
      <c r="S320" s="499">
        <v>0</v>
      </c>
      <c r="T320" s="486">
        <v>0</v>
      </c>
      <c r="U320" s="486">
        <v>0</v>
      </c>
      <c r="V320" s="486">
        <f>SUM(S320:U320)</f>
        <v>0</v>
      </c>
      <c r="W320" s="486">
        <v>0</v>
      </c>
      <c r="X320" s="486">
        <v>0</v>
      </c>
      <c r="Y320" s="486">
        <f>SUM(W320:X320)</f>
        <v>0</v>
      </c>
      <c r="Z320" s="486">
        <f>V320+Y320</f>
        <v>0</v>
      </c>
      <c r="AA320" s="178">
        <f t="shared" si="332"/>
        <v>0</v>
      </c>
      <c r="AB320" s="745">
        <f>ROUND(V320*2%,0)</f>
        <v>0</v>
      </c>
      <c r="AC320" s="486">
        <v>0</v>
      </c>
      <c r="AD320" s="486">
        <v>0</v>
      </c>
      <c r="AE320" s="486">
        <f t="shared" si="338"/>
        <v>0</v>
      </c>
      <c r="AF320" s="486">
        <f t="shared" si="339"/>
        <v>0</v>
      </c>
      <c r="AG320" s="501">
        <v>0</v>
      </c>
      <c r="AH320" s="501">
        <v>0</v>
      </c>
      <c r="AI320" s="501">
        <v>0</v>
      </c>
      <c r="AJ320" s="501">
        <v>0</v>
      </c>
      <c r="AK320" s="501">
        <v>0</v>
      </c>
      <c r="AL320" s="501">
        <f t="shared" ref="AL320:AL321" si="414">AG320+AI320+AJ320</f>
        <v>0</v>
      </c>
      <c r="AM320" s="501">
        <f t="shared" ref="AM320:AM321" si="415">AH320+AK320</f>
        <v>0</v>
      </c>
      <c r="AN320" s="502">
        <f t="shared" si="342"/>
        <v>0</v>
      </c>
      <c r="AO320" s="499">
        <f>I320+AF320</f>
        <v>6355139</v>
      </c>
      <c r="AP320" s="486">
        <f>J320+V320</f>
        <v>4633386</v>
      </c>
      <c r="AQ320" s="486">
        <f>K320+Y320</f>
        <v>0</v>
      </c>
      <c r="AR320" s="486">
        <f>L320</f>
        <v>0</v>
      </c>
      <c r="AS320" s="486">
        <f>M320+AA320</f>
        <v>1566085</v>
      </c>
      <c r="AT320" s="486">
        <f>N320+AB320</f>
        <v>92668</v>
      </c>
      <c r="AU320" s="486">
        <f>O320+AE320</f>
        <v>63000</v>
      </c>
      <c r="AV320" s="501">
        <f>P320+AN320</f>
        <v>11.179099999999998</v>
      </c>
      <c r="AW320" s="501">
        <f>Q320+AL320</f>
        <v>7.9108999999999998</v>
      </c>
      <c r="AX320" s="502">
        <f>R320+AM320</f>
        <v>3.2681999999999998</v>
      </c>
    </row>
    <row r="321" spans="1:50" ht="14.1" customHeight="1" x14ac:dyDescent="0.2">
      <c r="A321" s="585">
        <v>66</v>
      </c>
      <c r="B321" s="586">
        <v>2402</v>
      </c>
      <c r="C321" s="587">
        <v>600078949</v>
      </c>
      <c r="D321" s="586">
        <v>70983208</v>
      </c>
      <c r="E321" s="588" t="s">
        <v>706</v>
      </c>
      <c r="F321" s="585">
        <v>3141</v>
      </c>
      <c r="G321" s="588" t="s">
        <v>321</v>
      </c>
      <c r="H321" s="589" t="s">
        <v>284</v>
      </c>
      <c r="I321" s="495">
        <v>1144114</v>
      </c>
      <c r="J321" s="496">
        <v>838324</v>
      </c>
      <c r="K321" s="475">
        <v>0</v>
      </c>
      <c r="L321" s="475">
        <v>0</v>
      </c>
      <c r="M321" s="475">
        <v>283353</v>
      </c>
      <c r="N321" s="496">
        <v>16767</v>
      </c>
      <c r="O321" s="496">
        <v>5670</v>
      </c>
      <c r="P321" s="412">
        <v>2.85</v>
      </c>
      <c r="Q321" s="497">
        <v>0</v>
      </c>
      <c r="R321" s="498">
        <v>2.85</v>
      </c>
      <c r="S321" s="499">
        <v>0</v>
      </c>
      <c r="T321" s="486">
        <v>0</v>
      </c>
      <c r="U321" s="486">
        <v>0</v>
      </c>
      <c r="V321" s="486">
        <f>SUM(S321:U321)</f>
        <v>0</v>
      </c>
      <c r="W321" s="486">
        <v>0</v>
      </c>
      <c r="X321" s="486">
        <v>0</v>
      </c>
      <c r="Y321" s="486">
        <f>SUM(W321:X321)</f>
        <v>0</v>
      </c>
      <c r="Z321" s="486">
        <f>V321+Y321</f>
        <v>0</v>
      </c>
      <c r="AA321" s="178">
        <f t="shared" si="332"/>
        <v>0</v>
      </c>
      <c r="AB321" s="745">
        <f>ROUND(V321*2%,0)</f>
        <v>0</v>
      </c>
      <c r="AC321" s="486">
        <v>0</v>
      </c>
      <c r="AD321" s="486">
        <v>0</v>
      </c>
      <c r="AE321" s="486">
        <f t="shared" si="338"/>
        <v>0</v>
      </c>
      <c r="AF321" s="486">
        <f t="shared" si="339"/>
        <v>0</v>
      </c>
      <c r="AG321" s="501">
        <v>0</v>
      </c>
      <c r="AH321" s="501">
        <v>0</v>
      </c>
      <c r="AI321" s="501">
        <v>0</v>
      </c>
      <c r="AJ321" s="501">
        <v>0</v>
      </c>
      <c r="AK321" s="501">
        <v>0</v>
      </c>
      <c r="AL321" s="501">
        <f t="shared" si="414"/>
        <v>0</v>
      </c>
      <c r="AM321" s="501">
        <f t="shared" si="415"/>
        <v>0</v>
      </c>
      <c r="AN321" s="502">
        <f t="shared" si="342"/>
        <v>0</v>
      </c>
      <c r="AO321" s="499">
        <f>I321+AF321</f>
        <v>1144114</v>
      </c>
      <c r="AP321" s="486">
        <f>J321+V321</f>
        <v>838324</v>
      </c>
      <c r="AQ321" s="486">
        <f>K321+Y321</f>
        <v>0</v>
      </c>
      <c r="AR321" s="486">
        <f>L321</f>
        <v>0</v>
      </c>
      <c r="AS321" s="486">
        <f>M321+AA321</f>
        <v>283353</v>
      </c>
      <c r="AT321" s="486">
        <f>N321+AB321</f>
        <v>16767</v>
      </c>
      <c r="AU321" s="486">
        <f>O321+AE321</f>
        <v>5670</v>
      </c>
      <c r="AV321" s="501">
        <f>P321+AN321</f>
        <v>2.85</v>
      </c>
      <c r="AW321" s="501">
        <f>Q321+AL321</f>
        <v>0</v>
      </c>
      <c r="AX321" s="502">
        <f>R321+AM321</f>
        <v>2.85</v>
      </c>
    </row>
    <row r="322" spans="1:50" ht="14.1" customHeight="1" x14ac:dyDescent="0.2">
      <c r="A322" s="181">
        <v>66</v>
      </c>
      <c r="B322" s="179">
        <v>2402</v>
      </c>
      <c r="C322" s="180">
        <v>600078949</v>
      </c>
      <c r="D322" s="179">
        <v>70983208</v>
      </c>
      <c r="E322" s="578" t="s">
        <v>707</v>
      </c>
      <c r="F322" s="181"/>
      <c r="G322" s="578"/>
      <c r="H322" s="579"/>
      <c r="I322" s="580">
        <v>7499253</v>
      </c>
      <c r="J322" s="581">
        <v>5471710</v>
      </c>
      <c r="K322" s="581">
        <v>0</v>
      </c>
      <c r="L322" s="581">
        <v>0</v>
      </c>
      <c r="M322" s="581">
        <v>1849438</v>
      </c>
      <c r="N322" s="581">
        <v>109435</v>
      </c>
      <c r="O322" s="581">
        <v>68670</v>
      </c>
      <c r="P322" s="582">
        <v>14.029099999999998</v>
      </c>
      <c r="Q322" s="582">
        <v>7.9108999999999998</v>
      </c>
      <c r="R322" s="584">
        <v>6.1181999999999999</v>
      </c>
      <c r="S322" s="583">
        <f t="shared" ref="S322:AX322" si="416">SUM(S320:S321)</f>
        <v>0</v>
      </c>
      <c r="T322" s="581">
        <f t="shared" si="416"/>
        <v>0</v>
      </c>
      <c r="U322" s="581">
        <f t="shared" si="416"/>
        <v>0</v>
      </c>
      <c r="V322" s="581">
        <f t="shared" si="416"/>
        <v>0</v>
      </c>
      <c r="W322" s="581">
        <f t="shared" si="416"/>
        <v>0</v>
      </c>
      <c r="X322" s="581">
        <f t="shared" si="416"/>
        <v>0</v>
      </c>
      <c r="Y322" s="581">
        <f t="shared" si="416"/>
        <v>0</v>
      </c>
      <c r="Z322" s="581">
        <f t="shared" si="416"/>
        <v>0</v>
      </c>
      <c r="AA322" s="581">
        <f t="shared" si="416"/>
        <v>0</v>
      </c>
      <c r="AB322" s="583">
        <f t="shared" si="416"/>
        <v>0</v>
      </c>
      <c r="AC322" s="581">
        <f t="shared" si="416"/>
        <v>0</v>
      </c>
      <c r="AD322" s="581">
        <f t="shared" si="416"/>
        <v>0</v>
      </c>
      <c r="AE322" s="581">
        <f t="shared" si="416"/>
        <v>0</v>
      </c>
      <c r="AF322" s="581">
        <f t="shared" si="416"/>
        <v>0</v>
      </c>
      <c r="AG322" s="582">
        <f t="shared" si="416"/>
        <v>0</v>
      </c>
      <c r="AH322" s="582">
        <f t="shared" si="416"/>
        <v>0</v>
      </c>
      <c r="AI322" s="582">
        <f t="shared" si="416"/>
        <v>0</v>
      </c>
      <c r="AJ322" s="582">
        <f t="shared" si="416"/>
        <v>0</v>
      </c>
      <c r="AK322" s="582">
        <f t="shared" si="416"/>
        <v>0</v>
      </c>
      <c r="AL322" s="582">
        <f t="shared" si="416"/>
        <v>0</v>
      </c>
      <c r="AM322" s="582">
        <f t="shared" si="416"/>
        <v>0</v>
      </c>
      <c r="AN322" s="584">
        <f t="shared" si="416"/>
        <v>0</v>
      </c>
      <c r="AO322" s="583">
        <f t="shared" si="416"/>
        <v>7499253</v>
      </c>
      <c r="AP322" s="581">
        <f t="shared" si="416"/>
        <v>5471710</v>
      </c>
      <c r="AQ322" s="581">
        <f t="shared" si="416"/>
        <v>0</v>
      </c>
      <c r="AR322" s="581">
        <f t="shared" si="416"/>
        <v>0</v>
      </c>
      <c r="AS322" s="581">
        <f t="shared" si="416"/>
        <v>1849438</v>
      </c>
      <c r="AT322" s="581">
        <f t="shared" si="416"/>
        <v>109435</v>
      </c>
      <c r="AU322" s="581">
        <f t="shared" si="416"/>
        <v>68670</v>
      </c>
      <c r="AV322" s="582">
        <f t="shared" si="416"/>
        <v>14.029099999999998</v>
      </c>
      <c r="AW322" s="582">
        <f t="shared" si="416"/>
        <v>7.9108999999999998</v>
      </c>
      <c r="AX322" s="584">
        <f t="shared" si="416"/>
        <v>6.1181999999999999</v>
      </c>
    </row>
    <row r="323" spans="1:50" ht="14.1" customHeight="1" x14ac:dyDescent="0.2">
      <c r="A323" s="585">
        <v>67</v>
      </c>
      <c r="B323" s="586">
        <v>2404</v>
      </c>
      <c r="C323" s="587">
        <v>600078957</v>
      </c>
      <c r="D323" s="586">
        <v>70983135</v>
      </c>
      <c r="E323" s="588" t="s">
        <v>708</v>
      </c>
      <c r="F323" s="585">
        <v>3111</v>
      </c>
      <c r="G323" s="588" t="s">
        <v>317</v>
      </c>
      <c r="H323" s="589" t="s">
        <v>283</v>
      </c>
      <c r="I323" s="495">
        <v>4848634</v>
      </c>
      <c r="J323" s="411">
        <v>3534340</v>
      </c>
      <c r="K323" s="520">
        <v>0</v>
      </c>
      <c r="L323" s="520">
        <v>0</v>
      </c>
      <c r="M323" s="475">
        <v>1194607</v>
      </c>
      <c r="N323" s="496">
        <v>70687</v>
      </c>
      <c r="O323" s="411">
        <v>49000</v>
      </c>
      <c r="P323" s="412">
        <v>8.1341999999999999</v>
      </c>
      <c r="Q323" s="415">
        <v>6</v>
      </c>
      <c r="R323" s="685">
        <v>2.1341999999999999</v>
      </c>
      <c r="S323" s="499">
        <v>0</v>
      </c>
      <c r="T323" s="486">
        <v>0</v>
      </c>
      <c r="U323" s="486">
        <v>0</v>
      </c>
      <c r="V323" s="486">
        <f>SUM(S323:U323)</f>
        <v>0</v>
      </c>
      <c r="W323" s="486">
        <v>0</v>
      </c>
      <c r="X323" s="486">
        <v>0</v>
      </c>
      <c r="Y323" s="486">
        <f>SUM(W323:X323)</f>
        <v>0</v>
      </c>
      <c r="Z323" s="486">
        <f>V323+Y323</f>
        <v>0</v>
      </c>
      <c r="AA323" s="178">
        <f t="shared" si="332"/>
        <v>0</v>
      </c>
      <c r="AB323" s="745">
        <f>ROUND(V323*2%,0)</f>
        <v>0</v>
      </c>
      <c r="AC323" s="486">
        <v>0</v>
      </c>
      <c r="AD323" s="486">
        <v>0</v>
      </c>
      <c r="AE323" s="486">
        <f t="shared" si="338"/>
        <v>0</v>
      </c>
      <c r="AF323" s="486">
        <f t="shared" si="339"/>
        <v>0</v>
      </c>
      <c r="AG323" s="501">
        <v>0</v>
      </c>
      <c r="AH323" s="501">
        <v>0</v>
      </c>
      <c r="AI323" s="501">
        <v>0</v>
      </c>
      <c r="AJ323" s="501">
        <v>0</v>
      </c>
      <c r="AK323" s="501">
        <v>0</v>
      </c>
      <c r="AL323" s="501">
        <f t="shared" ref="AL323:AL325" si="417">AG323+AI323+AJ323</f>
        <v>0</v>
      </c>
      <c r="AM323" s="501">
        <f t="shared" ref="AM323:AM325" si="418">AH323+AK323</f>
        <v>0</v>
      </c>
      <c r="AN323" s="502">
        <f t="shared" si="342"/>
        <v>0</v>
      </c>
      <c r="AO323" s="499">
        <f>I323+AF323</f>
        <v>4848634</v>
      </c>
      <c r="AP323" s="486">
        <f>J323+V323</f>
        <v>3534340</v>
      </c>
      <c r="AQ323" s="486">
        <f>K323+Y323</f>
        <v>0</v>
      </c>
      <c r="AR323" s="486">
        <f>L323</f>
        <v>0</v>
      </c>
      <c r="AS323" s="486">
        <f t="shared" ref="AS323:AT325" si="419">M323+AA323</f>
        <v>1194607</v>
      </c>
      <c r="AT323" s="486">
        <f t="shared" si="419"/>
        <v>70687</v>
      </c>
      <c r="AU323" s="486">
        <f>O323+AE323</f>
        <v>49000</v>
      </c>
      <c r="AV323" s="501">
        <f>P323+AN323</f>
        <v>8.1341999999999999</v>
      </c>
      <c r="AW323" s="501">
        <f t="shared" ref="AW323:AX325" si="420">Q323+AL323</f>
        <v>6</v>
      </c>
      <c r="AX323" s="502">
        <f t="shared" si="420"/>
        <v>2.1341999999999999</v>
      </c>
    </row>
    <row r="324" spans="1:50" ht="14.1" customHeight="1" x14ac:dyDescent="0.2">
      <c r="A324" s="585">
        <v>67</v>
      </c>
      <c r="B324" s="586">
        <v>2404</v>
      </c>
      <c r="C324" s="587">
        <v>600078957</v>
      </c>
      <c r="D324" s="586">
        <v>70983135</v>
      </c>
      <c r="E324" s="588" t="s">
        <v>708</v>
      </c>
      <c r="F324" s="585">
        <v>3111</v>
      </c>
      <c r="G324" s="208" t="s">
        <v>318</v>
      </c>
      <c r="H324" s="589" t="s">
        <v>284</v>
      </c>
      <c r="I324" s="495">
        <v>343807</v>
      </c>
      <c r="J324" s="496">
        <v>252803</v>
      </c>
      <c r="K324" s="475">
        <v>0</v>
      </c>
      <c r="L324" s="475">
        <v>0</v>
      </c>
      <c r="M324" s="475">
        <v>85448</v>
      </c>
      <c r="N324" s="496">
        <v>5056</v>
      </c>
      <c r="O324" s="496">
        <v>500</v>
      </c>
      <c r="P324" s="412">
        <v>0.83000000000000007</v>
      </c>
      <c r="Q324" s="497">
        <v>0.83000000000000007</v>
      </c>
      <c r="R324" s="498">
        <v>0</v>
      </c>
      <c r="S324" s="499">
        <v>0</v>
      </c>
      <c r="T324" s="486">
        <v>0</v>
      </c>
      <c r="U324" s="486">
        <v>0</v>
      </c>
      <c r="V324" s="486">
        <f>SUM(S324:U324)</f>
        <v>0</v>
      </c>
      <c r="W324" s="486">
        <v>0</v>
      </c>
      <c r="X324" s="486">
        <v>0</v>
      </c>
      <c r="Y324" s="486">
        <f>SUM(W324:X324)</f>
        <v>0</v>
      </c>
      <c r="Z324" s="486">
        <f>V324+Y324</f>
        <v>0</v>
      </c>
      <c r="AA324" s="178">
        <f t="shared" si="332"/>
        <v>0</v>
      </c>
      <c r="AB324" s="745">
        <f>ROUND(V324*2%,0)</f>
        <v>0</v>
      </c>
      <c r="AC324" s="486">
        <v>0</v>
      </c>
      <c r="AD324" s="486">
        <v>0</v>
      </c>
      <c r="AE324" s="486">
        <f t="shared" si="338"/>
        <v>0</v>
      </c>
      <c r="AF324" s="486">
        <f t="shared" si="339"/>
        <v>0</v>
      </c>
      <c r="AG324" s="501">
        <v>0</v>
      </c>
      <c r="AH324" s="501">
        <v>0</v>
      </c>
      <c r="AI324" s="501">
        <v>0</v>
      </c>
      <c r="AJ324" s="501">
        <v>0</v>
      </c>
      <c r="AK324" s="501">
        <v>0</v>
      </c>
      <c r="AL324" s="501">
        <f t="shared" si="417"/>
        <v>0</v>
      </c>
      <c r="AM324" s="501">
        <f t="shared" si="418"/>
        <v>0</v>
      </c>
      <c r="AN324" s="502">
        <f t="shared" si="342"/>
        <v>0</v>
      </c>
      <c r="AO324" s="499">
        <f>I324+AF324</f>
        <v>343807</v>
      </c>
      <c r="AP324" s="486">
        <f>J324+V324</f>
        <v>252803</v>
      </c>
      <c r="AQ324" s="486">
        <f>K324+Y324</f>
        <v>0</v>
      </c>
      <c r="AR324" s="486">
        <f>L324</f>
        <v>0</v>
      </c>
      <c r="AS324" s="486">
        <f t="shared" si="419"/>
        <v>85448</v>
      </c>
      <c r="AT324" s="486">
        <f t="shared" si="419"/>
        <v>5056</v>
      </c>
      <c r="AU324" s="486">
        <f>O324+AE324</f>
        <v>500</v>
      </c>
      <c r="AV324" s="501">
        <f>P324+AN324</f>
        <v>0.83000000000000007</v>
      </c>
      <c r="AW324" s="501">
        <f t="shared" si="420"/>
        <v>0.83000000000000007</v>
      </c>
      <c r="AX324" s="502">
        <f t="shared" si="420"/>
        <v>0</v>
      </c>
    </row>
    <row r="325" spans="1:50" ht="14.1" customHeight="1" x14ac:dyDescent="0.2">
      <c r="A325" s="585">
        <v>67</v>
      </c>
      <c r="B325" s="586">
        <v>2404</v>
      </c>
      <c r="C325" s="587">
        <v>600078957</v>
      </c>
      <c r="D325" s="586">
        <v>70983135</v>
      </c>
      <c r="E325" s="588" t="s">
        <v>708</v>
      </c>
      <c r="F325" s="585">
        <v>3141</v>
      </c>
      <c r="G325" s="588" t="s">
        <v>321</v>
      </c>
      <c r="H325" s="589" t="s">
        <v>284</v>
      </c>
      <c r="I325" s="495">
        <v>799844</v>
      </c>
      <c r="J325" s="496">
        <v>585997</v>
      </c>
      <c r="K325" s="475">
        <v>0</v>
      </c>
      <c r="L325" s="475">
        <v>0</v>
      </c>
      <c r="M325" s="475">
        <v>198067</v>
      </c>
      <c r="N325" s="496">
        <v>11720</v>
      </c>
      <c r="O325" s="496">
        <v>4060</v>
      </c>
      <c r="P325" s="412">
        <v>1.99</v>
      </c>
      <c r="Q325" s="497">
        <v>0</v>
      </c>
      <c r="R325" s="498">
        <v>1.99</v>
      </c>
      <c r="S325" s="499">
        <v>0</v>
      </c>
      <c r="T325" s="486">
        <v>0</v>
      </c>
      <c r="U325" s="486">
        <v>0</v>
      </c>
      <c r="V325" s="486">
        <f>SUM(S325:U325)</f>
        <v>0</v>
      </c>
      <c r="W325" s="486">
        <v>0</v>
      </c>
      <c r="X325" s="486">
        <v>0</v>
      </c>
      <c r="Y325" s="486">
        <f>SUM(W325:X325)</f>
        <v>0</v>
      </c>
      <c r="Z325" s="486">
        <f>V325+Y325</f>
        <v>0</v>
      </c>
      <c r="AA325" s="178">
        <f t="shared" si="332"/>
        <v>0</v>
      </c>
      <c r="AB325" s="745">
        <f>ROUND(V325*2%,0)</f>
        <v>0</v>
      </c>
      <c r="AC325" s="486">
        <v>0</v>
      </c>
      <c r="AD325" s="486">
        <v>0</v>
      </c>
      <c r="AE325" s="486">
        <f t="shared" si="338"/>
        <v>0</v>
      </c>
      <c r="AF325" s="486">
        <f t="shared" si="339"/>
        <v>0</v>
      </c>
      <c r="AG325" s="501">
        <v>0</v>
      </c>
      <c r="AH325" s="501">
        <v>0</v>
      </c>
      <c r="AI325" s="501">
        <v>0</v>
      </c>
      <c r="AJ325" s="501">
        <v>0</v>
      </c>
      <c r="AK325" s="501">
        <v>0</v>
      </c>
      <c r="AL325" s="501">
        <f t="shared" si="417"/>
        <v>0</v>
      </c>
      <c r="AM325" s="501">
        <f t="shared" si="418"/>
        <v>0</v>
      </c>
      <c r="AN325" s="502">
        <f t="shared" si="342"/>
        <v>0</v>
      </c>
      <c r="AO325" s="499">
        <f>I325+AF325</f>
        <v>799844</v>
      </c>
      <c r="AP325" s="486">
        <f>J325+V325</f>
        <v>585997</v>
      </c>
      <c r="AQ325" s="486">
        <f>K325+Y325</f>
        <v>0</v>
      </c>
      <c r="AR325" s="486">
        <f>L325</f>
        <v>0</v>
      </c>
      <c r="AS325" s="486">
        <f t="shared" si="419"/>
        <v>198067</v>
      </c>
      <c r="AT325" s="486">
        <f t="shared" si="419"/>
        <v>11720</v>
      </c>
      <c r="AU325" s="486">
        <f>O325+AE325</f>
        <v>4060</v>
      </c>
      <c r="AV325" s="501">
        <f>P325+AN325</f>
        <v>1.99</v>
      </c>
      <c r="AW325" s="501">
        <f t="shared" si="420"/>
        <v>0</v>
      </c>
      <c r="AX325" s="502">
        <f t="shared" si="420"/>
        <v>1.99</v>
      </c>
    </row>
    <row r="326" spans="1:50" ht="14.1" customHeight="1" x14ac:dyDescent="0.2">
      <c r="A326" s="181">
        <v>67</v>
      </c>
      <c r="B326" s="179">
        <v>2404</v>
      </c>
      <c r="C326" s="180">
        <v>600078957</v>
      </c>
      <c r="D326" s="179">
        <v>70983135</v>
      </c>
      <c r="E326" s="578" t="s">
        <v>709</v>
      </c>
      <c r="F326" s="181"/>
      <c r="G326" s="578"/>
      <c r="H326" s="579"/>
      <c r="I326" s="580">
        <v>5992285</v>
      </c>
      <c r="J326" s="581">
        <v>4373140</v>
      </c>
      <c r="K326" s="581">
        <v>0</v>
      </c>
      <c r="L326" s="581">
        <v>0</v>
      </c>
      <c r="M326" s="581">
        <v>1478122</v>
      </c>
      <c r="N326" s="581">
        <v>87463</v>
      </c>
      <c r="O326" s="581">
        <v>53560</v>
      </c>
      <c r="P326" s="582">
        <v>10.9542</v>
      </c>
      <c r="Q326" s="582">
        <v>6.83</v>
      </c>
      <c r="R326" s="584">
        <v>4.1242000000000001</v>
      </c>
      <c r="S326" s="583">
        <f t="shared" ref="S326:AX326" si="421">SUM(S323:S325)</f>
        <v>0</v>
      </c>
      <c r="T326" s="581">
        <f t="shared" si="421"/>
        <v>0</v>
      </c>
      <c r="U326" s="581">
        <f t="shared" si="421"/>
        <v>0</v>
      </c>
      <c r="V326" s="581">
        <f t="shared" si="421"/>
        <v>0</v>
      </c>
      <c r="W326" s="581">
        <f t="shared" si="421"/>
        <v>0</v>
      </c>
      <c r="X326" s="581">
        <f t="shared" si="421"/>
        <v>0</v>
      </c>
      <c r="Y326" s="581">
        <f t="shared" si="421"/>
        <v>0</v>
      </c>
      <c r="Z326" s="581">
        <f t="shared" si="421"/>
        <v>0</v>
      </c>
      <c r="AA326" s="581">
        <f t="shared" si="421"/>
        <v>0</v>
      </c>
      <c r="AB326" s="583">
        <f t="shared" si="421"/>
        <v>0</v>
      </c>
      <c r="AC326" s="581">
        <f t="shared" si="421"/>
        <v>0</v>
      </c>
      <c r="AD326" s="581">
        <f t="shared" si="421"/>
        <v>0</v>
      </c>
      <c r="AE326" s="581">
        <f t="shared" si="421"/>
        <v>0</v>
      </c>
      <c r="AF326" s="581">
        <f t="shared" si="421"/>
        <v>0</v>
      </c>
      <c r="AG326" s="582">
        <f t="shared" si="421"/>
        <v>0</v>
      </c>
      <c r="AH326" s="582">
        <f t="shared" si="421"/>
        <v>0</v>
      </c>
      <c r="AI326" s="582">
        <f t="shared" si="421"/>
        <v>0</v>
      </c>
      <c r="AJ326" s="582">
        <f t="shared" si="421"/>
        <v>0</v>
      </c>
      <c r="AK326" s="582">
        <f t="shared" si="421"/>
        <v>0</v>
      </c>
      <c r="AL326" s="582">
        <f t="shared" si="421"/>
        <v>0</v>
      </c>
      <c r="AM326" s="582">
        <f t="shared" si="421"/>
        <v>0</v>
      </c>
      <c r="AN326" s="584">
        <f t="shared" si="421"/>
        <v>0</v>
      </c>
      <c r="AO326" s="583">
        <f t="shared" si="421"/>
        <v>5992285</v>
      </c>
      <c r="AP326" s="581">
        <f t="shared" si="421"/>
        <v>4373140</v>
      </c>
      <c r="AQ326" s="581">
        <f t="shared" si="421"/>
        <v>0</v>
      </c>
      <c r="AR326" s="581">
        <f t="shared" si="421"/>
        <v>0</v>
      </c>
      <c r="AS326" s="581">
        <f t="shared" si="421"/>
        <v>1478122</v>
      </c>
      <c r="AT326" s="581">
        <f t="shared" si="421"/>
        <v>87463</v>
      </c>
      <c r="AU326" s="581">
        <f t="shared" si="421"/>
        <v>53560</v>
      </c>
      <c r="AV326" s="582">
        <f t="shared" si="421"/>
        <v>10.9542</v>
      </c>
      <c r="AW326" s="582">
        <f t="shared" si="421"/>
        <v>6.83</v>
      </c>
      <c r="AX326" s="584">
        <f t="shared" si="421"/>
        <v>4.1242000000000001</v>
      </c>
    </row>
    <row r="327" spans="1:50" ht="14.1" customHeight="1" x14ac:dyDescent="0.2">
      <c r="A327" s="585">
        <v>68</v>
      </c>
      <c r="B327" s="586">
        <v>2439</v>
      </c>
      <c r="C327" s="587">
        <v>600078965</v>
      </c>
      <c r="D327" s="586">
        <v>70983143</v>
      </c>
      <c r="E327" s="588" t="s">
        <v>710</v>
      </c>
      <c r="F327" s="585">
        <v>3111</v>
      </c>
      <c r="G327" s="588" t="s">
        <v>317</v>
      </c>
      <c r="H327" s="589" t="s">
        <v>283</v>
      </c>
      <c r="I327" s="495">
        <v>3030824</v>
      </c>
      <c r="J327" s="411">
        <v>2211211</v>
      </c>
      <c r="K327" s="520">
        <v>0</v>
      </c>
      <c r="L327" s="520">
        <v>0</v>
      </c>
      <c r="M327" s="475">
        <v>747389</v>
      </c>
      <c r="N327" s="496">
        <v>44224</v>
      </c>
      <c r="O327" s="411">
        <v>28000</v>
      </c>
      <c r="P327" s="412">
        <v>5.3898000000000001</v>
      </c>
      <c r="Q327" s="415">
        <v>4</v>
      </c>
      <c r="R327" s="685">
        <v>1.3897999999999999</v>
      </c>
      <c r="S327" s="499">
        <v>0</v>
      </c>
      <c r="T327" s="486">
        <v>0</v>
      </c>
      <c r="U327" s="486">
        <v>0</v>
      </c>
      <c r="V327" s="486">
        <f>SUM(S327:U327)</f>
        <v>0</v>
      </c>
      <c r="W327" s="486">
        <v>0</v>
      </c>
      <c r="X327" s="486">
        <v>0</v>
      </c>
      <c r="Y327" s="486">
        <f>SUM(W327:X327)</f>
        <v>0</v>
      </c>
      <c r="Z327" s="486">
        <f>V327+Y327</f>
        <v>0</v>
      </c>
      <c r="AA327" s="178">
        <f t="shared" si="332"/>
        <v>0</v>
      </c>
      <c r="AB327" s="745">
        <f>ROUND(V327*2%,0)</f>
        <v>0</v>
      </c>
      <c r="AC327" s="486">
        <v>0</v>
      </c>
      <c r="AD327" s="486">
        <v>0</v>
      </c>
      <c r="AE327" s="486">
        <f t="shared" si="338"/>
        <v>0</v>
      </c>
      <c r="AF327" s="486">
        <f t="shared" si="339"/>
        <v>0</v>
      </c>
      <c r="AG327" s="501">
        <v>0</v>
      </c>
      <c r="AH327" s="501">
        <v>0</v>
      </c>
      <c r="AI327" s="501">
        <v>0</v>
      </c>
      <c r="AJ327" s="501">
        <v>0</v>
      </c>
      <c r="AK327" s="501">
        <v>0</v>
      </c>
      <c r="AL327" s="501">
        <f t="shared" ref="AL327:AL328" si="422">AG327+AI327+AJ327</f>
        <v>0</v>
      </c>
      <c r="AM327" s="501">
        <f t="shared" ref="AM327:AM328" si="423">AH327+AK327</f>
        <v>0</v>
      </c>
      <c r="AN327" s="502">
        <f t="shared" si="342"/>
        <v>0</v>
      </c>
      <c r="AO327" s="499">
        <f>I327+AF327</f>
        <v>3030824</v>
      </c>
      <c r="AP327" s="486">
        <f>J327+V327</f>
        <v>2211211</v>
      </c>
      <c r="AQ327" s="486">
        <f>K327+Y327</f>
        <v>0</v>
      </c>
      <c r="AR327" s="486">
        <f>L327</f>
        <v>0</v>
      </c>
      <c r="AS327" s="486">
        <f>M327+AA327</f>
        <v>747389</v>
      </c>
      <c r="AT327" s="486">
        <f>N327+AB327</f>
        <v>44224</v>
      </c>
      <c r="AU327" s="486">
        <f>O327+AE327</f>
        <v>28000</v>
      </c>
      <c r="AV327" s="501">
        <f>P327+AN327</f>
        <v>5.3898000000000001</v>
      </c>
      <c r="AW327" s="501">
        <f>Q327+AL327</f>
        <v>4</v>
      </c>
      <c r="AX327" s="502">
        <f>R327+AM327</f>
        <v>1.3897999999999999</v>
      </c>
    </row>
    <row r="328" spans="1:50" ht="14.1" customHeight="1" x14ac:dyDescent="0.2">
      <c r="A328" s="585">
        <v>68</v>
      </c>
      <c r="B328" s="586">
        <v>2439</v>
      </c>
      <c r="C328" s="587">
        <v>600078965</v>
      </c>
      <c r="D328" s="586">
        <v>70983143</v>
      </c>
      <c r="E328" s="588" t="s">
        <v>710</v>
      </c>
      <c r="F328" s="585">
        <v>3141</v>
      </c>
      <c r="G328" s="588" t="s">
        <v>321</v>
      </c>
      <c r="H328" s="589" t="s">
        <v>284</v>
      </c>
      <c r="I328" s="495">
        <v>545737</v>
      </c>
      <c r="J328" s="496">
        <v>400160</v>
      </c>
      <c r="K328" s="475">
        <v>0</v>
      </c>
      <c r="L328" s="475">
        <v>0</v>
      </c>
      <c r="M328" s="475">
        <v>135254</v>
      </c>
      <c r="N328" s="496">
        <v>8003</v>
      </c>
      <c r="O328" s="496">
        <v>2320</v>
      </c>
      <c r="P328" s="412">
        <v>1.36</v>
      </c>
      <c r="Q328" s="497">
        <v>0</v>
      </c>
      <c r="R328" s="498">
        <v>1.36</v>
      </c>
      <c r="S328" s="499">
        <v>0</v>
      </c>
      <c r="T328" s="486">
        <v>0</v>
      </c>
      <c r="U328" s="486">
        <v>0</v>
      </c>
      <c r="V328" s="486">
        <f>SUM(S328:U328)</f>
        <v>0</v>
      </c>
      <c r="W328" s="486">
        <v>0</v>
      </c>
      <c r="X328" s="486">
        <v>0</v>
      </c>
      <c r="Y328" s="486">
        <f>SUM(W328:X328)</f>
        <v>0</v>
      </c>
      <c r="Z328" s="486">
        <f>V328+Y328</f>
        <v>0</v>
      </c>
      <c r="AA328" s="178">
        <f t="shared" si="332"/>
        <v>0</v>
      </c>
      <c r="AB328" s="745">
        <f>ROUND(V328*2%,0)</f>
        <v>0</v>
      </c>
      <c r="AC328" s="486">
        <v>0</v>
      </c>
      <c r="AD328" s="486">
        <v>0</v>
      </c>
      <c r="AE328" s="486">
        <f t="shared" si="338"/>
        <v>0</v>
      </c>
      <c r="AF328" s="486">
        <f t="shared" si="339"/>
        <v>0</v>
      </c>
      <c r="AG328" s="501">
        <v>0</v>
      </c>
      <c r="AH328" s="501">
        <v>0</v>
      </c>
      <c r="AI328" s="501">
        <v>0</v>
      </c>
      <c r="AJ328" s="501">
        <v>0</v>
      </c>
      <c r="AK328" s="501">
        <v>0</v>
      </c>
      <c r="AL328" s="501">
        <f t="shared" si="422"/>
        <v>0</v>
      </c>
      <c r="AM328" s="501">
        <f t="shared" si="423"/>
        <v>0</v>
      </c>
      <c r="AN328" s="502">
        <f t="shared" si="342"/>
        <v>0</v>
      </c>
      <c r="AO328" s="499">
        <f>I328+AF328</f>
        <v>545737</v>
      </c>
      <c r="AP328" s="486">
        <f>J328+V328</f>
        <v>400160</v>
      </c>
      <c r="AQ328" s="486">
        <f>K328+Y328</f>
        <v>0</v>
      </c>
      <c r="AR328" s="486">
        <f>L328</f>
        <v>0</v>
      </c>
      <c r="AS328" s="486">
        <f>M328+AA328</f>
        <v>135254</v>
      </c>
      <c r="AT328" s="486">
        <f>N328+AB328</f>
        <v>8003</v>
      </c>
      <c r="AU328" s="486">
        <f>O328+AE328</f>
        <v>2320</v>
      </c>
      <c r="AV328" s="501">
        <f>P328+AN328</f>
        <v>1.36</v>
      </c>
      <c r="AW328" s="501">
        <f>Q328+AL328</f>
        <v>0</v>
      </c>
      <c r="AX328" s="502">
        <f>R328+AM328</f>
        <v>1.36</v>
      </c>
    </row>
    <row r="329" spans="1:50" ht="14.1" customHeight="1" x14ac:dyDescent="0.2">
      <c r="A329" s="181">
        <v>68</v>
      </c>
      <c r="B329" s="179">
        <v>2439</v>
      </c>
      <c r="C329" s="180">
        <v>600078965</v>
      </c>
      <c r="D329" s="179">
        <v>70983143</v>
      </c>
      <c r="E329" s="578" t="s">
        <v>711</v>
      </c>
      <c r="F329" s="181"/>
      <c r="G329" s="578"/>
      <c r="H329" s="579"/>
      <c r="I329" s="580">
        <v>3576561</v>
      </c>
      <c r="J329" s="581">
        <v>2611371</v>
      </c>
      <c r="K329" s="581">
        <v>0</v>
      </c>
      <c r="L329" s="581">
        <v>0</v>
      </c>
      <c r="M329" s="581">
        <v>882643</v>
      </c>
      <c r="N329" s="581">
        <v>52227</v>
      </c>
      <c r="O329" s="581">
        <v>30320</v>
      </c>
      <c r="P329" s="582">
        <v>6.7498000000000005</v>
      </c>
      <c r="Q329" s="582">
        <v>4</v>
      </c>
      <c r="R329" s="584">
        <v>2.7498</v>
      </c>
      <c r="S329" s="583">
        <f t="shared" ref="S329:AX329" si="424">SUM(S327:S328)</f>
        <v>0</v>
      </c>
      <c r="T329" s="581">
        <f t="shared" si="424"/>
        <v>0</v>
      </c>
      <c r="U329" s="581">
        <f t="shared" si="424"/>
        <v>0</v>
      </c>
      <c r="V329" s="581">
        <f t="shared" si="424"/>
        <v>0</v>
      </c>
      <c r="W329" s="581">
        <f t="shared" si="424"/>
        <v>0</v>
      </c>
      <c r="X329" s="581">
        <f t="shared" si="424"/>
        <v>0</v>
      </c>
      <c r="Y329" s="581">
        <f t="shared" si="424"/>
        <v>0</v>
      </c>
      <c r="Z329" s="581">
        <f t="shared" si="424"/>
        <v>0</v>
      </c>
      <c r="AA329" s="581">
        <f t="shared" si="424"/>
        <v>0</v>
      </c>
      <c r="AB329" s="583">
        <f t="shared" si="424"/>
        <v>0</v>
      </c>
      <c r="AC329" s="581">
        <f t="shared" si="424"/>
        <v>0</v>
      </c>
      <c r="AD329" s="581">
        <f t="shared" si="424"/>
        <v>0</v>
      </c>
      <c r="AE329" s="581">
        <f t="shared" si="424"/>
        <v>0</v>
      </c>
      <c r="AF329" s="581">
        <f t="shared" si="424"/>
        <v>0</v>
      </c>
      <c r="AG329" s="582">
        <f t="shared" si="424"/>
        <v>0</v>
      </c>
      <c r="AH329" s="582">
        <f t="shared" si="424"/>
        <v>0</v>
      </c>
      <c r="AI329" s="582">
        <f t="shared" si="424"/>
        <v>0</v>
      </c>
      <c r="AJ329" s="582">
        <f t="shared" si="424"/>
        <v>0</v>
      </c>
      <c r="AK329" s="582">
        <f t="shared" si="424"/>
        <v>0</v>
      </c>
      <c r="AL329" s="582">
        <f t="shared" si="424"/>
        <v>0</v>
      </c>
      <c r="AM329" s="582">
        <f t="shared" si="424"/>
        <v>0</v>
      </c>
      <c r="AN329" s="584">
        <f t="shared" si="424"/>
        <v>0</v>
      </c>
      <c r="AO329" s="583">
        <f t="shared" si="424"/>
        <v>3576561</v>
      </c>
      <c r="AP329" s="581">
        <f t="shared" si="424"/>
        <v>2611371</v>
      </c>
      <c r="AQ329" s="581">
        <f t="shared" si="424"/>
        <v>0</v>
      </c>
      <c r="AR329" s="581">
        <f t="shared" si="424"/>
        <v>0</v>
      </c>
      <c r="AS329" s="581">
        <f t="shared" si="424"/>
        <v>882643</v>
      </c>
      <c r="AT329" s="581">
        <f t="shared" si="424"/>
        <v>52227</v>
      </c>
      <c r="AU329" s="581">
        <f t="shared" si="424"/>
        <v>30320</v>
      </c>
      <c r="AV329" s="582">
        <f t="shared" si="424"/>
        <v>6.7498000000000005</v>
      </c>
      <c r="AW329" s="582">
        <f t="shared" si="424"/>
        <v>4</v>
      </c>
      <c r="AX329" s="584">
        <f t="shared" si="424"/>
        <v>2.7498</v>
      </c>
    </row>
    <row r="330" spans="1:50" ht="14.1" customHeight="1" x14ac:dyDescent="0.2">
      <c r="A330" s="585">
        <v>69</v>
      </c>
      <c r="B330" s="586">
        <v>2302</v>
      </c>
      <c r="C330" s="587">
        <v>600080366</v>
      </c>
      <c r="D330" s="586">
        <v>70983127</v>
      </c>
      <c r="E330" s="588" t="s">
        <v>712</v>
      </c>
      <c r="F330" s="585">
        <v>3111</v>
      </c>
      <c r="G330" s="588" t="s">
        <v>317</v>
      </c>
      <c r="H330" s="589" t="s">
        <v>283</v>
      </c>
      <c r="I330" s="495">
        <v>2855496</v>
      </c>
      <c r="J330" s="411">
        <v>2033873</v>
      </c>
      <c r="K330" s="520">
        <v>48428</v>
      </c>
      <c r="L330" s="520">
        <v>0</v>
      </c>
      <c r="M330" s="475">
        <v>703818</v>
      </c>
      <c r="N330" s="496">
        <v>40677</v>
      </c>
      <c r="O330" s="411">
        <v>28700</v>
      </c>
      <c r="P330" s="412">
        <v>5.2518000000000002</v>
      </c>
      <c r="Q330" s="415">
        <v>4.33</v>
      </c>
      <c r="R330" s="685">
        <v>0.92179999999999995</v>
      </c>
      <c r="S330" s="499">
        <v>48428</v>
      </c>
      <c r="T330" s="486">
        <v>0</v>
      </c>
      <c r="U330" s="486">
        <v>0</v>
      </c>
      <c r="V330" s="486">
        <f t="shared" ref="V330:V336" si="425">SUM(S330:U330)</f>
        <v>48428</v>
      </c>
      <c r="W330" s="486">
        <v>-48428</v>
      </c>
      <c r="X330" s="486">
        <v>0</v>
      </c>
      <c r="Y330" s="486">
        <f t="shared" ref="Y330:Y336" si="426">SUM(W330:X330)</f>
        <v>-48428</v>
      </c>
      <c r="Z330" s="486">
        <f t="shared" ref="Z330:Z336" si="427">V330+Y330</f>
        <v>0</v>
      </c>
      <c r="AA330" s="178">
        <f t="shared" si="332"/>
        <v>0</v>
      </c>
      <c r="AB330" s="745">
        <f t="shared" ref="AB330:AB336" si="428">ROUND(V330*2%,0)</f>
        <v>969</v>
      </c>
      <c r="AC330" s="486">
        <v>0</v>
      </c>
      <c r="AD330" s="486">
        <v>0</v>
      </c>
      <c r="AE330" s="486">
        <f t="shared" si="338"/>
        <v>0</v>
      </c>
      <c r="AF330" s="486">
        <f t="shared" si="339"/>
        <v>969</v>
      </c>
      <c r="AG330" s="501">
        <v>0</v>
      </c>
      <c r="AH330" s="501">
        <v>0</v>
      </c>
      <c r="AI330" s="501">
        <v>0</v>
      </c>
      <c r="AJ330" s="501">
        <v>0</v>
      </c>
      <c r="AK330" s="501">
        <v>0</v>
      </c>
      <c r="AL330" s="501">
        <f t="shared" ref="AL330:AL336" si="429">AG330+AI330+AJ330</f>
        <v>0</v>
      </c>
      <c r="AM330" s="501">
        <f t="shared" ref="AM330:AM336" si="430">AH330+AK330</f>
        <v>0</v>
      </c>
      <c r="AN330" s="502">
        <f t="shared" si="342"/>
        <v>0</v>
      </c>
      <c r="AO330" s="499">
        <f t="shared" ref="AO330:AO336" si="431">I330+AF330</f>
        <v>2856465</v>
      </c>
      <c r="AP330" s="486">
        <f t="shared" ref="AP330:AP336" si="432">J330+V330</f>
        <v>2082301</v>
      </c>
      <c r="AQ330" s="486">
        <f t="shared" ref="AQ330:AQ336" si="433">K330+Y330</f>
        <v>0</v>
      </c>
      <c r="AR330" s="486">
        <f t="shared" ref="AR330:AR336" si="434">L330</f>
        <v>0</v>
      </c>
      <c r="AS330" s="486">
        <f t="shared" ref="AS330:AT336" si="435">M330+AA330</f>
        <v>703818</v>
      </c>
      <c r="AT330" s="486">
        <f t="shared" si="435"/>
        <v>41646</v>
      </c>
      <c r="AU330" s="486">
        <f t="shared" ref="AU330:AU336" si="436">O330+AE330</f>
        <v>28700</v>
      </c>
      <c r="AV330" s="501">
        <f t="shared" ref="AV330:AV336" si="437">P330+AN330</f>
        <v>5.2518000000000002</v>
      </c>
      <c r="AW330" s="501">
        <f t="shared" ref="AW330:AX336" si="438">Q330+AL330</f>
        <v>4.33</v>
      </c>
      <c r="AX330" s="502">
        <f t="shared" si="438"/>
        <v>0.92179999999999995</v>
      </c>
    </row>
    <row r="331" spans="1:50" ht="14.1" customHeight="1" x14ac:dyDescent="0.2">
      <c r="A331" s="585">
        <v>69</v>
      </c>
      <c r="B331" s="586">
        <v>2302</v>
      </c>
      <c r="C331" s="587">
        <v>600080366</v>
      </c>
      <c r="D331" s="586">
        <v>70983127</v>
      </c>
      <c r="E331" s="588" t="s">
        <v>712</v>
      </c>
      <c r="F331" s="585">
        <v>3114</v>
      </c>
      <c r="G331" s="588" t="s">
        <v>320</v>
      </c>
      <c r="H331" s="589" t="s">
        <v>283</v>
      </c>
      <c r="I331" s="495">
        <v>8242513</v>
      </c>
      <c r="J331" s="411">
        <v>5716092</v>
      </c>
      <c r="K331" s="520">
        <v>161501</v>
      </c>
      <c r="L331" s="520">
        <v>5032</v>
      </c>
      <c r="M331" s="475">
        <v>1984925</v>
      </c>
      <c r="N331" s="496">
        <v>114322</v>
      </c>
      <c r="O331" s="411">
        <v>265673</v>
      </c>
      <c r="P331" s="412">
        <v>10.2355</v>
      </c>
      <c r="Q331" s="415">
        <v>7</v>
      </c>
      <c r="R331" s="685">
        <v>3.2355</v>
      </c>
      <c r="S331" s="499">
        <v>76469</v>
      </c>
      <c r="T331" s="486">
        <v>0</v>
      </c>
      <c r="U331" s="486">
        <v>0</v>
      </c>
      <c r="V331" s="486">
        <f t="shared" si="425"/>
        <v>76469</v>
      </c>
      <c r="W331" s="486">
        <v>-76469</v>
      </c>
      <c r="X331" s="486">
        <v>0</v>
      </c>
      <c r="Y331" s="486">
        <f t="shared" si="426"/>
        <v>-76469</v>
      </c>
      <c r="Z331" s="486">
        <f t="shared" si="427"/>
        <v>0</v>
      </c>
      <c r="AA331" s="178">
        <f t="shared" si="332"/>
        <v>0</v>
      </c>
      <c r="AB331" s="745">
        <f t="shared" si="428"/>
        <v>1529</v>
      </c>
      <c r="AC331" s="486">
        <v>0</v>
      </c>
      <c r="AD331" s="486">
        <v>0</v>
      </c>
      <c r="AE331" s="486">
        <f t="shared" si="338"/>
        <v>0</v>
      </c>
      <c r="AF331" s="486">
        <f t="shared" si="339"/>
        <v>1529</v>
      </c>
      <c r="AG331" s="501">
        <v>0</v>
      </c>
      <c r="AH331" s="501">
        <v>0</v>
      </c>
      <c r="AI331" s="501">
        <v>0</v>
      </c>
      <c r="AJ331" s="501">
        <v>0</v>
      </c>
      <c r="AK331" s="501">
        <v>0</v>
      </c>
      <c r="AL331" s="501">
        <f t="shared" si="429"/>
        <v>0</v>
      </c>
      <c r="AM331" s="501">
        <f t="shared" si="430"/>
        <v>0</v>
      </c>
      <c r="AN331" s="502">
        <f t="shared" si="342"/>
        <v>0</v>
      </c>
      <c r="AO331" s="499">
        <f t="shared" si="431"/>
        <v>8244042</v>
      </c>
      <c r="AP331" s="486">
        <f t="shared" si="432"/>
        <v>5792561</v>
      </c>
      <c r="AQ331" s="486">
        <f t="shared" si="433"/>
        <v>85032</v>
      </c>
      <c r="AR331" s="486">
        <f t="shared" si="434"/>
        <v>5032</v>
      </c>
      <c r="AS331" s="486">
        <f t="shared" si="435"/>
        <v>1984925</v>
      </c>
      <c r="AT331" s="486">
        <f t="shared" si="435"/>
        <v>115851</v>
      </c>
      <c r="AU331" s="486">
        <f t="shared" si="436"/>
        <v>265673</v>
      </c>
      <c r="AV331" s="501">
        <f t="shared" si="437"/>
        <v>10.2355</v>
      </c>
      <c r="AW331" s="501">
        <f t="shared" si="438"/>
        <v>7</v>
      </c>
      <c r="AX331" s="502">
        <f t="shared" si="438"/>
        <v>3.2355</v>
      </c>
    </row>
    <row r="332" spans="1:50" ht="14.1" customHeight="1" x14ac:dyDescent="0.2">
      <c r="A332" s="585">
        <v>69</v>
      </c>
      <c r="B332" s="586">
        <v>2302</v>
      </c>
      <c r="C332" s="587">
        <v>600080366</v>
      </c>
      <c r="D332" s="586">
        <v>70983127</v>
      </c>
      <c r="E332" s="588" t="s">
        <v>712</v>
      </c>
      <c r="F332" s="585">
        <v>3114</v>
      </c>
      <c r="G332" s="503" t="s">
        <v>319</v>
      </c>
      <c r="H332" s="589" t="s">
        <v>283</v>
      </c>
      <c r="I332" s="495">
        <v>1886632</v>
      </c>
      <c r="J332" s="496">
        <v>1365847</v>
      </c>
      <c r="K332" s="475">
        <v>23776</v>
      </c>
      <c r="L332" s="475">
        <v>0</v>
      </c>
      <c r="M332" s="475">
        <v>469693</v>
      </c>
      <c r="N332" s="496">
        <v>27316</v>
      </c>
      <c r="O332" s="496">
        <v>0</v>
      </c>
      <c r="P332" s="412">
        <v>3.6389</v>
      </c>
      <c r="Q332" s="497">
        <v>3.6389</v>
      </c>
      <c r="R332" s="498">
        <v>0</v>
      </c>
      <c r="S332" s="499">
        <v>23776</v>
      </c>
      <c r="T332" s="486">
        <v>0</v>
      </c>
      <c r="U332" s="486">
        <v>0</v>
      </c>
      <c r="V332" s="486">
        <f t="shared" si="425"/>
        <v>23776</v>
      </c>
      <c r="W332" s="486">
        <v>-23776</v>
      </c>
      <c r="X332" s="486">
        <v>0</v>
      </c>
      <c r="Y332" s="486">
        <f t="shared" si="426"/>
        <v>-23776</v>
      </c>
      <c r="Z332" s="486">
        <f t="shared" si="427"/>
        <v>0</v>
      </c>
      <c r="AA332" s="178">
        <f t="shared" si="332"/>
        <v>0</v>
      </c>
      <c r="AB332" s="745">
        <f t="shared" si="428"/>
        <v>476</v>
      </c>
      <c r="AC332" s="486">
        <v>0</v>
      </c>
      <c r="AD332" s="486">
        <v>0</v>
      </c>
      <c r="AE332" s="486">
        <f t="shared" si="338"/>
        <v>0</v>
      </c>
      <c r="AF332" s="486">
        <f t="shared" si="339"/>
        <v>476</v>
      </c>
      <c r="AG332" s="501">
        <v>0</v>
      </c>
      <c r="AH332" s="501">
        <v>0</v>
      </c>
      <c r="AI332" s="501">
        <v>0</v>
      </c>
      <c r="AJ332" s="501">
        <v>0</v>
      </c>
      <c r="AK332" s="501">
        <v>0</v>
      </c>
      <c r="AL332" s="501">
        <f t="shared" si="429"/>
        <v>0</v>
      </c>
      <c r="AM332" s="501">
        <f t="shared" si="430"/>
        <v>0</v>
      </c>
      <c r="AN332" s="502">
        <f t="shared" si="342"/>
        <v>0</v>
      </c>
      <c r="AO332" s="499">
        <f t="shared" si="431"/>
        <v>1887108</v>
      </c>
      <c r="AP332" s="486">
        <f t="shared" si="432"/>
        <v>1389623</v>
      </c>
      <c r="AQ332" s="486">
        <f t="shared" si="433"/>
        <v>0</v>
      </c>
      <c r="AR332" s="486">
        <f t="shared" si="434"/>
        <v>0</v>
      </c>
      <c r="AS332" s="486">
        <f t="shared" si="435"/>
        <v>469693</v>
      </c>
      <c r="AT332" s="486">
        <f t="shared" si="435"/>
        <v>27792</v>
      </c>
      <c r="AU332" s="486">
        <f t="shared" si="436"/>
        <v>0</v>
      </c>
      <c r="AV332" s="501">
        <f t="shared" si="437"/>
        <v>3.6389</v>
      </c>
      <c r="AW332" s="501">
        <f t="shared" si="438"/>
        <v>3.6389</v>
      </c>
      <c r="AX332" s="502">
        <f t="shared" si="438"/>
        <v>0</v>
      </c>
    </row>
    <row r="333" spans="1:50" ht="14.1" customHeight="1" x14ac:dyDescent="0.2">
      <c r="A333" s="585">
        <v>69</v>
      </c>
      <c r="B333" s="586">
        <v>2302</v>
      </c>
      <c r="C333" s="587">
        <v>600080366</v>
      </c>
      <c r="D333" s="586">
        <v>70983127</v>
      </c>
      <c r="E333" s="588" t="s">
        <v>712</v>
      </c>
      <c r="F333" s="585">
        <v>3114</v>
      </c>
      <c r="G333" s="208" t="s">
        <v>318</v>
      </c>
      <c r="H333" s="589" t="s">
        <v>284</v>
      </c>
      <c r="I333" s="495">
        <v>1116525</v>
      </c>
      <c r="J333" s="496">
        <v>818354</v>
      </c>
      <c r="K333" s="475">
        <v>0</v>
      </c>
      <c r="L333" s="475">
        <v>0</v>
      </c>
      <c r="M333" s="475">
        <v>276604</v>
      </c>
      <c r="N333" s="496">
        <v>16367</v>
      </c>
      <c r="O333" s="496">
        <v>5200</v>
      </c>
      <c r="P333" s="412">
        <v>2.42</v>
      </c>
      <c r="Q333" s="497">
        <v>2.42</v>
      </c>
      <c r="R333" s="498">
        <v>0</v>
      </c>
      <c r="S333" s="499">
        <v>0</v>
      </c>
      <c r="T333" s="486">
        <v>0</v>
      </c>
      <c r="U333" s="486">
        <v>0</v>
      </c>
      <c r="V333" s="486">
        <f t="shared" si="425"/>
        <v>0</v>
      </c>
      <c r="W333" s="486">
        <v>0</v>
      </c>
      <c r="X333" s="486">
        <v>0</v>
      </c>
      <c r="Y333" s="486">
        <f t="shared" si="426"/>
        <v>0</v>
      </c>
      <c r="Z333" s="486">
        <f t="shared" si="427"/>
        <v>0</v>
      </c>
      <c r="AA333" s="178">
        <f t="shared" si="332"/>
        <v>0</v>
      </c>
      <c r="AB333" s="745">
        <f t="shared" si="428"/>
        <v>0</v>
      </c>
      <c r="AC333" s="486">
        <v>0</v>
      </c>
      <c r="AD333" s="486">
        <v>0</v>
      </c>
      <c r="AE333" s="486">
        <f t="shared" si="338"/>
        <v>0</v>
      </c>
      <c r="AF333" s="486">
        <f t="shared" si="339"/>
        <v>0</v>
      </c>
      <c r="AG333" s="501">
        <v>0</v>
      </c>
      <c r="AH333" s="501">
        <v>0</v>
      </c>
      <c r="AI333" s="501">
        <v>0</v>
      </c>
      <c r="AJ333" s="501">
        <v>0</v>
      </c>
      <c r="AK333" s="501">
        <v>0</v>
      </c>
      <c r="AL333" s="501">
        <f t="shared" si="429"/>
        <v>0</v>
      </c>
      <c r="AM333" s="501">
        <f t="shared" si="430"/>
        <v>0</v>
      </c>
      <c r="AN333" s="502">
        <f t="shared" si="342"/>
        <v>0</v>
      </c>
      <c r="AO333" s="499">
        <f t="shared" si="431"/>
        <v>1116525</v>
      </c>
      <c r="AP333" s="486">
        <f t="shared" si="432"/>
        <v>818354</v>
      </c>
      <c r="AQ333" s="486">
        <f t="shared" si="433"/>
        <v>0</v>
      </c>
      <c r="AR333" s="486">
        <f t="shared" si="434"/>
        <v>0</v>
      </c>
      <c r="AS333" s="486">
        <f t="shared" si="435"/>
        <v>276604</v>
      </c>
      <c r="AT333" s="486">
        <f t="shared" si="435"/>
        <v>16367</v>
      </c>
      <c r="AU333" s="486">
        <f t="shared" si="436"/>
        <v>5200</v>
      </c>
      <c r="AV333" s="501">
        <f t="shared" si="437"/>
        <v>2.42</v>
      </c>
      <c r="AW333" s="501">
        <f t="shared" si="438"/>
        <v>2.42</v>
      </c>
      <c r="AX333" s="502">
        <f t="shared" si="438"/>
        <v>0</v>
      </c>
    </row>
    <row r="334" spans="1:50" ht="14.1" customHeight="1" x14ac:dyDescent="0.2">
      <c r="A334" s="585">
        <v>69</v>
      </c>
      <c r="B334" s="586">
        <v>2302</v>
      </c>
      <c r="C334" s="587">
        <v>600080366</v>
      </c>
      <c r="D334" s="586">
        <v>70983127</v>
      </c>
      <c r="E334" s="588" t="s">
        <v>712</v>
      </c>
      <c r="F334" s="585">
        <v>3141</v>
      </c>
      <c r="G334" s="588" t="s">
        <v>321</v>
      </c>
      <c r="H334" s="589" t="s">
        <v>284</v>
      </c>
      <c r="I334" s="495">
        <v>366029</v>
      </c>
      <c r="J334" s="496">
        <v>267492</v>
      </c>
      <c r="K334" s="475">
        <v>0</v>
      </c>
      <c r="L334" s="475">
        <v>0</v>
      </c>
      <c r="M334" s="475">
        <v>90413</v>
      </c>
      <c r="N334" s="496">
        <v>5350</v>
      </c>
      <c r="O334" s="496">
        <v>2774</v>
      </c>
      <c r="P334" s="412">
        <v>0.91</v>
      </c>
      <c r="Q334" s="497">
        <v>0</v>
      </c>
      <c r="R334" s="498">
        <v>0.91</v>
      </c>
      <c r="S334" s="499">
        <v>0</v>
      </c>
      <c r="T334" s="486">
        <v>0</v>
      </c>
      <c r="U334" s="486">
        <v>0</v>
      </c>
      <c r="V334" s="486">
        <f t="shared" si="425"/>
        <v>0</v>
      </c>
      <c r="W334" s="486">
        <v>0</v>
      </c>
      <c r="X334" s="486">
        <v>0</v>
      </c>
      <c r="Y334" s="486">
        <f t="shared" si="426"/>
        <v>0</v>
      </c>
      <c r="Z334" s="486">
        <f t="shared" si="427"/>
        <v>0</v>
      </c>
      <c r="AA334" s="178">
        <f t="shared" ref="AA334:AA397" si="439">ROUND((V334+W334)*33.8%,0)</f>
        <v>0</v>
      </c>
      <c r="AB334" s="745">
        <f t="shared" si="428"/>
        <v>0</v>
      </c>
      <c r="AC334" s="486">
        <v>0</v>
      </c>
      <c r="AD334" s="486">
        <v>0</v>
      </c>
      <c r="AE334" s="486">
        <f t="shared" si="338"/>
        <v>0</v>
      </c>
      <c r="AF334" s="486">
        <f t="shared" si="339"/>
        <v>0</v>
      </c>
      <c r="AG334" s="501">
        <v>0</v>
      </c>
      <c r="AH334" s="501">
        <v>0</v>
      </c>
      <c r="AI334" s="501">
        <v>0</v>
      </c>
      <c r="AJ334" s="501">
        <v>0</v>
      </c>
      <c r="AK334" s="501">
        <v>0</v>
      </c>
      <c r="AL334" s="501">
        <f t="shared" si="429"/>
        <v>0</v>
      </c>
      <c r="AM334" s="501">
        <f t="shared" si="430"/>
        <v>0</v>
      </c>
      <c r="AN334" s="502">
        <f t="shared" si="342"/>
        <v>0</v>
      </c>
      <c r="AO334" s="499">
        <f t="shared" si="431"/>
        <v>366029</v>
      </c>
      <c r="AP334" s="486">
        <f t="shared" si="432"/>
        <v>267492</v>
      </c>
      <c r="AQ334" s="486">
        <f t="shared" si="433"/>
        <v>0</v>
      </c>
      <c r="AR334" s="486">
        <f t="shared" si="434"/>
        <v>0</v>
      </c>
      <c r="AS334" s="486">
        <f t="shared" si="435"/>
        <v>90413</v>
      </c>
      <c r="AT334" s="486">
        <f t="shared" si="435"/>
        <v>5350</v>
      </c>
      <c r="AU334" s="486">
        <f t="shared" si="436"/>
        <v>2774</v>
      </c>
      <c r="AV334" s="501">
        <f t="shared" si="437"/>
        <v>0.91</v>
      </c>
      <c r="AW334" s="501">
        <f t="shared" si="438"/>
        <v>0</v>
      </c>
      <c r="AX334" s="502">
        <f t="shared" si="438"/>
        <v>0.91</v>
      </c>
    </row>
    <row r="335" spans="1:50" ht="14.1" customHeight="1" x14ac:dyDescent="0.2">
      <c r="A335" s="585">
        <v>69</v>
      </c>
      <c r="B335" s="586">
        <v>2302</v>
      </c>
      <c r="C335" s="587">
        <v>600080366</v>
      </c>
      <c r="D335" s="586">
        <v>70983127</v>
      </c>
      <c r="E335" s="588" t="s">
        <v>712</v>
      </c>
      <c r="F335" s="585">
        <v>3143</v>
      </c>
      <c r="G335" s="208" t="s">
        <v>634</v>
      </c>
      <c r="H335" s="589" t="s">
        <v>283</v>
      </c>
      <c r="I335" s="495">
        <v>608900</v>
      </c>
      <c r="J335" s="411">
        <v>448380</v>
      </c>
      <c r="K335" s="520">
        <v>0</v>
      </c>
      <c r="L335" s="520">
        <v>0</v>
      </c>
      <c r="M335" s="475">
        <v>151552</v>
      </c>
      <c r="N335" s="496">
        <v>8968</v>
      </c>
      <c r="O335" s="496">
        <v>0</v>
      </c>
      <c r="P335" s="412">
        <v>1</v>
      </c>
      <c r="Q335" s="415">
        <v>1</v>
      </c>
      <c r="R335" s="498">
        <v>0</v>
      </c>
      <c r="S335" s="499">
        <v>0</v>
      </c>
      <c r="T335" s="486">
        <v>0</v>
      </c>
      <c r="U335" s="486">
        <v>0</v>
      </c>
      <c r="V335" s="486">
        <f t="shared" si="425"/>
        <v>0</v>
      </c>
      <c r="W335" s="486">
        <v>0</v>
      </c>
      <c r="X335" s="486">
        <v>0</v>
      </c>
      <c r="Y335" s="486">
        <f t="shared" si="426"/>
        <v>0</v>
      </c>
      <c r="Z335" s="486">
        <f t="shared" si="427"/>
        <v>0</v>
      </c>
      <c r="AA335" s="178">
        <f t="shared" si="439"/>
        <v>0</v>
      </c>
      <c r="AB335" s="745">
        <f t="shared" si="428"/>
        <v>0</v>
      </c>
      <c r="AC335" s="486">
        <v>0</v>
      </c>
      <c r="AD335" s="486">
        <v>0</v>
      </c>
      <c r="AE335" s="486">
        <f t="shared" si="338"/>
        <v>0</v>
      </c>
      <c r="AF335" s="486">
        <f t="shared" si="339"/>
        <v>0</v>
      </c>
      <c r="AG335" s="501">
        <v>0</v>
      </c>
      <c r="AH335" s="501">
        <v>0</v>
      </c>
      <c r="AI335" s="501">
        <v>0</v>
      </c>
      <c r="AJ335" s="501">
        <v>0</v>
      </c>
      <c r="AK335" s="501">
        <v>0</v>
      </c>
      <c r="AL335" s="501">
        <f t="shared" si="429"/>
        <v>0</v>
      </c>
      <c r="AM335" s="501">
        <f t="shared" si="430"/>
        <v>0</v>
      </c>
      <c r="AN335" s="502">
        <f t="shared" si="342"/>
        <v>0</v>
      </c>
      <c r="AO335" s="499">
        <f t="shared" si="431"/>
        <v>608900</v>
      </c>
      <c r="AP335" s="486">
        <f t="shared" si="432"/>
        <v>448380</v>
      </c>
      <c r="AQ335" s="486">
        <f t="shared" si="433"/>
        <v>0</v>
      </c>
      <c r="AR335" s="486">
        <f t="shared" si="434"/>
        <v>0</v>
      </c>
      <c r="AS335" s="486">
        <f t="shared" si="435"/>
        <v>151552</v>
      </c>
      <c r="AT335" s="486">
        <f t="shared" si="435"/>
        <v>8968</v>
      </c>
      <c r="AU335" s="486">
        <f t="shared" si="436"/>
        <v>0</v>
      </c>
      <c r="AV335" s="501">
        <f t="shared" si="437"/>
        <v>1</v>
      </c>
      <c r="AW335" s="501">
        <f t="shared" si="438"/>
        <v>1</v>
      </c>
      <c r="AX335" s="502">
        <f t="shared" si="438"/>
        <v>0</v>
      </c>
    </row>
    <row r="336" spans="1:50" ht="14.1" customHeight="1" x14ac:dyDescent="0.2">
      <c r="A336" s="585">
        <v>69</v>
      </c>
      <c r="B336" s="586">
        <v>2302</v>
      </c>
      <c r="C336" s="587">
        <v>600080366</v>
      </c>
      <c r="D336" s="586">
        <v>70983127</v>
      </c>
      <c r="E336" s="588" t="s">
        <v>712</v>
      </c>
      <c r="F336" s="585">
        <v>3143</v>
      </c>
      <c r="G336" s="208" t="s">
        <v>635</v>
      </c>
      <c r="H336" s="589" t="s">
        <v>284</v>
      </c>
      <c r="I336" s="495">
        <v>9831</v>
      </c>
      <c r="J336" s="496">
        <v>6930</v>
      </c>
      <c r="K336" s="475">
        <v>0</v>
      </c>
      <c r="L336" s="475">
        <v>0</v>
      </c>
      <c r="M336" s="475">
        <v>2342</v>
      </c>
      <c r="N336" s="496">
        <v>139</v>
      </c>
      <c r="O336" s="496">
        <v>420</v>
      </c>
      <c r="P336" s="412">
        <v>0.03</v>
      </c>
      <c r="Q336" s="497">
        <v>0</v>
      </c>
      <c r="R336" s="498">
        <v>0.03</v>
      </c>
      <c r="S336" s="499">
        <v>0</v>
      </c>
      <c r="T336" s="486">
        <v>0</v>
      </c>
      <c r="U336" s="486">
        <v>0</v>
      </c>
      <c r="V336" s="486">
        <f t="shared" si="425"/>
        <v>0</v>
      </c>
      <c r="W336" s="486">
        <v>0</v>
      </c>
      <c r="X336" s="486">
        <v>0</v>
      </c>
      <c r="Y336" s="486">
        <f t="shared" si="426"/>
        <v>0</v>
      </c>
      <c r="Z336" s="486">
        <f t="shared" si="427"/>
        <v>0</v>
      </c>
      <c r="AA336" s="178">
        <f t="shared" si="439"/>
        <v>0</v>
      </c>
      <c r="AB336" s="745">
        <f t="shared" si="428"/>
        <v>0</v>
      </c>
      <c r="AC336" s="486">
        <v>0</v>
      </c>
      <c r="AD336" s="486">
        <v>0</v>
      </c>
      <c r="AE336" s="486">
        <f t="shared" ref="AE336:AE398" si="440">SUM(AC336:AD336)</f>
        <v>0</v>
      </c>
      <c r="AF336" s="486">
        <f t="shared" ref="AF336:AF398" si="441">Z336+AA336+AB336+AE336</f>
        <v>0</v>
      </c>
      <c r="AG336" s="501">
        <v>0</v>
      </c>
      <c r="AH336" s="501">
        <v>0</v>
      </c>
      <c r="AI336" s="501">
        <v>0</v>
      </c>
      <c r="AJ336" s="501">
        <v>0</v>
      </c>
      <c r="AK336" s="501">
        <v>0</v>
      </c>
      <c r="AL336" s="501">
        <f t="shared" si="429"/>
        <v>0</v>
      </c>
      <c r="AM336" s="501">
        <f t="shared" si="430"/>
        <v>0</v>
      </c>
      <c r="AN336" s="502">
        <f t="shared" ref="AN336:AN398" si="442">SUM(AL336:AM336)</f>
        <v>0</v>
      </c>
      <c r="AO336" s="499">
        <f t="shared" si="431"/>
        <v>9831</v>
      </c>
      <c r="AP336" s="486">
        <f t="shared" si="432"/>
        <v>6930</v>
      </c>
      <c r="AQ336" s="486">
        <f t="shared" si="433"/>
        <v>0</v>
      </c>
      <c r="AR336" s="486">
        <f t="shared" si="434"/>
        <v>0</v>
      </c>
      <c r="AS336" s="486">
        <f t="shared" si="435"/>
        <v>2342</v>
      </c>
      <c r="AT336" s="486">
        <f t="shared" si="435"/>
        <v>139</v>
      </c>
      <c r="AU336" s="486">
        <f t="shared" si="436"/>
        <v>420</v>
      </c>
      <c r="AV336" s="501">
        <f t="shared" si="437"/>
        <v>0.03</v>
      </c>
      <c r="AW336" s="501">
        <f t="shared" si="438"/>
        <v>0</v>
      </c>
      <c r="AX336" s="502">
        <f t="shared" si="438"/>
        <v>0.03</v>
      </c>
    </row>
    <row r="337" spans="1:50" ht="14.1" customHeight="1" x14ac:dyDescent="0.2">
      <c r="A337" s="181">
        <v>69</v>
      </c>
      <c r="B337" s="179">
        <v>2302</v>
      </c>
      <c r="C337" s="180">
        <v>600080366</v>
      </c>
      <c r="D337" s="179">
        <v>70983127</v>
      </c>
      <c r="E337" s="578" t="s">
        <v>713</v>
      </c>
      <c r="F337" s="181"/>
      <c r="G337" s="578"/>
      <c r="H337" s="579"/>
      <c r="I337" s="580">
        <v>15085926</v>
      </c>
      <c r="J337" s="581">
        <v>10656968</v>
      </c>
      <c r="K337" s="581">
        <v>233705</v>
      </c>
      <c r="L337" s="581">
        <v>5032</v>
      </c>
      <c r="M337" s="581">
        <v>3679347</v>
      </c>
      <c r="N337" s="581">
        <v>213139</v>
      </c>
      <c r="O337" s="581">
        <v>302767</v>
      </c>
      <c r="P337" s="582">
        <v>23.4862</v>
      </c>
      <c r="Q337" s="582">
        <v>18.3889</v>
      </c>
      <c r="R337" s="584">
        <v>5.0973000000000006</v>
      </c>
      <c r="S337" s="583">
        <f t="shared" ref="S337:AX337" si="443">SUM(S330:S336)</f>
        <v>148673</v>
      </c>
      <c r="T337" s="581">
        <f t="shared" si="443"/>
        <v>0</v>
      </c>
      <c r="U337" s="581">
        <f t="shared" si="443"/>
        <v>0</v>
      </c>
      <c r="V337" s="581">
        <f t="shared" si="443"/>
        <v>148673</v>
      </c>
      <c r="W337" s="581">
        <f t="shared" si="443"/>
        <v>-148673</v>
      </c>
      <c r="X337" s="581">
        <f t="shared" si="443"/>
        <v>0</v>
      </c>
      <c r="Y337" s="581">
        <f t="shared" si="443"/>
        <v>-148673</v>
      </c>
      <c r="Z337" s="581">
        <f t="shared" si="443"/>
        <v>0</v>
      </c>
      <c r="AA337" s="581">
        <f t="shared" si="443"/>
        <v>0</v>
      </c>
      <c r="AB337" s="583">
        <f t="shared" si="443"/>
        <v>2974</v>
      </c>
      <c r="AC337" s="581">
        <f t="shared" si="443"/>
        <v>0</v>
      </c>
      <c r="AD337" s="581">
        <f t="shared" si="443"/>
        <v>0</v>
      </c>
      <c r="AE337" s="581">
        <f t="shared" si="443"/>
        <v>0</v>
      </c>
      <c r="AF337" s="581">
        <f t="shared" si="443"/>
        <v>2974</v>
      </c>
      <c r="AG337" s="582">
        <f t="shared" si="443"/>
        <v>0</v>
      </c>
      <c r="AH337" s="582">
        <f t="shared" si="443"/>
        <v>0</v>
      </c>
      <c r="AI337" s="582">
        <f t="shared" si="443"/>
        <v>0</v>
      </c>
      <c r="AJ337" s="582">
        <f t="shared" si="443"/>
        <v>0</v>
      </c>
      <c r="AK337" s="582">
        <f t="shared" si="443"/>
        <v>0</v>
      </c>
      <c r="AL337" s="582">
        <f t="shared" si="443"/>
        <v>0</v>
      </c>
      <c r="AM337" s="582">
        <f t="shared" si="443"/>
        <v>0</v>
      </c>
      <c r="AN337" s="584">
        <f t="shared" si="443"/>
        <v>0</v>
      </c>
      <c r="AO337" s="583">
        <f t="shared" si="443"/>
        <v>15088900</v>
      </c>
      <c r="AP337" s="581">
        <f t="shared" si="443"/>
        <v>10805641</v>
      </c>
      <c r="AQ337" s="581">
        <f t="shared" si="443"/>
        <v>85032</v>
      </c>
      <c r="AR337" s="581">
        <f t="shared" si="443"/>
        <v>5032</v>
      </c>
      <c r="AS337" s="581">
        <f t="shared" si="443"/>
        <v>3679347</v>
      </c>
      <c r="AT337" s="581">
        <f t="shared" si="443"/>
        <v>216113</v>
      </c>
      <c r="AU337" s="581">
        <f t="shared" si="443"/>
        <v>302767</v>
      </c>
      <c r="AV337" s="582">
        <f t="shared" si="443"/>
        <v>23.4862</v>
      </c>
      <c r="AW337" s="582">
        <f t="shared" si="443"/>
        <v>18.3889</v>
      </c>
      <c r="AX337" s="584">
        <f t="shared" si="443"/>
        <v>5.0973000000000006</v>
      </c>
    </row>
    <row r="338" spans="1:50" ht="14.1" customHeight="1" x14ac:dyDescent="0.2">
      <c r="A338" s="585">
        <v>70</v>
      </c>
      <c r="B338" s="586">
        <v>2454</v>
      </c>
      <c r="C338" s="587">
        <v>600079759</v>
      </c>
      <c r="D338" s="586">
        <v>70983119</v>
      </c>
      <c r="E338" s="588" t="s">
        <v>714</v>
      </c>
      <c r="F338" s="585">
        <v>3117</v>
      </c>
      <c r="G338" s="588" t="s">
        <v>320</v>
      </c>
      <c r="H338" s="589" t="s">
        <v>283</v>
      </c>
      <c r="I338" s="495">
        <v>6167140</v>
      </c>
      <c r="J338" s="411">
        <v>4243199</v>
      </c>
      <c r="K338" s="520">
        <v>120216</v>
      </c>
      <c r="L338" s="520">
        <v>50216</v>
      </c>
      <c r="M338" s="475">
        <v>1457861</v>
      </c>
      <c r="N338" s="496">
        <v>84864</v>
      </c>
      <c r="O338" s="411">
        <v>261000</v>
      </c>
      <c r="P338" s="412">
        <v>8.7576999999999998</v>
      </c>
      <c r="Q338" s="415">
        <v>5.88</v>
      </c>
      <c r="R338" s="685">
        <v>2.8776999999999999</v>
      </c>
      <c r="S338" s="499">
        <v>0</v>
      </c>
      <c r="T338" s="486">
        <v>0</v>
      </c>
      <c r="U338" s="486">
        <v>0</v>
      </c>
      <c r="V338" s="486">
        <f>SUM(S338:U338)</f>
        <v>0</v>
      </c>
      <c r="W338" s="486">
        <v>0</v>
      </c>
      <c r="X338" s="486">
        <v>0</v>
      </c>
      <c r="Y338" s="486">
        <f>SUM(W338:X338)</f>
        <v>0</v>
      </c>
      <c r="Z338" s="486">
        <f>V338+Y338</f>
        <v>0</v>
      </c>
      <c r="AA338" s="178">
        <f t="shared" si="439"/>
        <v>0</v>
      </c>
      <c r="AB338" s="745">
        <f>ROUND(V338*2%,0)</f>
        <v>0</v>
      </c>
      <c r="AC338" s="486">
        <v>0</v>
      </c>
      <c r="AD338" s="486">
        <v>0</v>
      </c>
      <c r="AE338" s="486">
        <f t="shared" si="440"/>
        <v>0</v>
      </c>
      <c r="AF338" s="486">
        <f t="shared" si="441"/>
        <v>0</v>
      </c>
      <c r="AG338" s="501">
        <v>0</v>
      </c>
      <c r="AH338" s="501">
        <v>0</v>
      </c>
      <c r="AI338" s="501">
        <v>0</v>
      </c>
      <c r="AJ338" s="501">
        <v>0</v>
      </c>
      <c r="AK338" s="501">
        <v>0</v>
      </c>
      <c r="AL338" s="501">
        <f t="shared" ref="AL338:AL342" si="444">AG338+AI338+AJ338</f>
        <v>0</v>
      </c>
      <c r="AM338" s="501">
        <f t="shared" ref="AM338:AM342" si="445">AH338+AK338</f>
        <v>0</v>
      </c>
      <c r="AN338" s="502">
        <f t="shared" si="442"/>
        <v>0</v>
      </c>
      <c r="AO338" s="499">
        <f>I338+AF338</f>
        <v>6167140</v>
      </c>
      <c r="AP338" s="486">
        <f>J338+V338</f>
        <v>4243199</v>
      </c>
      <c r="AQ338" s="486">
        <f>K338+Y338</f>
        <v>120216</v>
      </c>
      <c r="AR338" s="486">
        <f>L338</f>
        <v>50216</v>
      </c>
      <c r="AS338" s="486">
        <f t="shared" ref="AS338:AT342" si="446">M338+AA338</f>
        <v>1457861</v>
      </c>
      <c r="AT338" s="486">
        <f t="shared" si="446"/>
        <v>84864</v>
      </c>
      <c r="AU338" s="486">
        <f>O338+AE338</f>
        <v>261000</v>
      </c>
      <c r="AV338" s="501">
        <f>P338+AN338</f>
        <v>8.7576999999999998</v>
      </c>
      <c r="AW338" s="501">
        <f t="shared" ref="AW338:AX342" si="447">Q338+AL338</f>
        <v>5.88</v>
      </c>
      <c r="AX338" s="502">
        <f t="shared" si="447"/>
        <v>2.8776999999999999</v>
      </c>
    </row>
    <row r="339" spans="1:50" ht="14.1" customHeight="1" x14ac:dyDescent="0.2">
      <c r="A339" s="585">
        <v>70</v>
      </c>
      <c r="B339" s="586">
        <v>2454</v>
      </c>
      <c r="C339" s="587">
        <v>600079759</v>
      </c>
      <c r="D339" s="586">
        <v>70983119</v>
      </c>
      <c r="E339" s="588" t="s">
        <v>714</v>
      </c>
      <c r="F339" s="585">
        <v>3117</v>
      </c>
      <c r="G339" s="208" t="s">
        <v>318</v>
      </c>
      <c r="H339" s="589" t="s">
        <v>284</v>
      </c>
      <c r="I339" s="495">
        <v>1663908</v>
      </c>
      <c r="J339" s="496">
        <v>1221397</v>
      </c>
      <c r="K339" s="475">
        <v>0</v>
      </c>
      <c r="L339" s="475">
        <v>0</v>
      </c>
      <c r="M339" s="475">
        <v>412833</v>
      </c>
      <c r="N339" s="496">
        <v>24428</v>
      </c>
      <c r="O339" s="496">
        <v>5250</v>
      </c>
      <c r="P339" s="412">
        <v>3.57</v>
      </c>
      <c r="Q339" s="497">
        <v>3.57</v>
      </c>
      <c r="R339" s="498">
        <v>0</v>
      </c>
      <c r="S339" s="499">
        <v>0</v>
      </c>
      <c r="T339" s="486">
        <v>1890</v>
      </c>
      <c r="U339" s="486">
        <v>0</v>
      </c>
      <c r="V339" s="486">
        <f>SUM(S339:U339)</f>
        <v>1890</v>
      </c>
      <c r="W339" s="486">
        <v>0</v>
      </c>
      <c r="X339" s="486">
        <v>0</v>
      </c>
      <c r="Y339" s="486">
        <f>SUM(W339:X339)</f>
        <v>0</v>
      </c>
      <c r="Z339" s="486">
        <f>V339+Y339</f>
        <v>1890</v>
      </c>
      <c r="AA339" s="178">
        <f t="shared" si="439"/>
        <v>639</v>
      </c>
      <c r="AB339" s="745">
        <f>ROUND(V339*2%,0)</f>
        <v>38</v>
      </c>
      <c r="AC339" s="486">
        <v>0</v>
      </c>
      <c r="AD339" s="486">
        <v>0</v>
      </c>
      <c r="AE339" s="486">
        <f t="shared" si="440"/>
        <v>0</v>
      </c>
      <c r="AF339" s="486">
        <f t="shared" si="441"/>
        <v>2567</v>
      </c>
      <c r="AG339" s="501">
        <v>0</v>
      </c>
      <c r="AH339" s="501">
        <v>0</v>
      </c>
      <c r="AI339" s="501">
        <v>0</v>
      </c>
      <c r="AJ339" s="501">
        <v>0</v>
      </c>
      <c r="AK339" s="501">
        <v>0</v>
      </c>
      <c r="AL339" s="501">
        <f t="shared" si="444"/>
        <v>0</v>
      </c>
      <c r="AM339" s="501">
        <f t="shared" si="445"/>
        <v>0</v>
      </c>
      <c r="AN339" s="502">
        <f t="shared" si="442"/>
        <v>0</v>
      </c>
      <c r="AO339" s="499">
        <f>I339+AF339</f>
        <v>1666475</v>
      </c>
      <c r="AP339" s="486">
        <f>J339+V339</f>
        <v>1223287</v>
      </c>
      <c r="AQ339" s="486">
        <f>K339+Y339</f>
        <v>0</v>
      </c>
      <c r="AR339" s="486">
        <f>L339</f>
        <v>0</v>
      </c>
      <c r="AS339" s="486">
        <f t="shared" si="446"/>
        <v>413472</v>
      </c>
      <c r="AT339" s="486">
        <f t="shared" si="446"/>
        <v>24466</v>
      </c>
      <c r="AU339" s="486">
        <f>O339+AE339</f>
        <v>5250</v>
      </c>
      <c r="AV339" s="501">
        <f>P339+AN339</f>
        <v>3.57</v>
      </c>
      <c r="AW339" s="501">
        <f t="shared" si="447"/>
        <v>3.57</v>
      </c>
      <c r="AX339" s="502">
        <f t="shared" si="447"/>
        <v>0</v>
      </c>
    </row>
    <row r="340" spans="1:50" ht="14.1" customHeight="1" x14ac:dyDescent="0.2">
      <c r="A340" s="585">
        <v>70</v>
      </c>
      <c r="B340" s="586">
        <v>2454</v>
      </c>
      <c r="C340" s="587">
        <v>600079759</v>
      </c>
      <c r="D340" s="586">
        <v>70983119</v>
      </c>
      <c r="E340" s="588" t="s">
        <v>714</v>
      </c>
      <c r="F340" s="585">
        <v>3141</v>
      </c>
      <c r="G340" s="588" t="s">
        <v>321</v>
      </c>
      <c r="H340" s="589" t="s">
        <v>284</v>
      </c>
      <c r="I340" s="495">
        <v>258889</v>
      </c>
      <c r="J340" s="496">
        <v>188597</v>
      </c>
      <c r="K340" s="475">
        <v>0</v>
      </c>
      <c r="L340" s="475">
        <v>0</v>
      </c>
      <c r="M340" s="475">
        <v>63746</v>
      </c>
      <c r="N340" s="496">
        <v>3772</v>
      </c>
      <c r="O340" s="496">
        <v>2774</v>
      </c>
      <c r="P340" s="412">
        <v>0.64</v>
      </c>
      <c r="Q340" s="497">
        <v>0</v>
      </c>
      <c r="R340" s="498">
        <v>0.64</v>
      </c>
      <c r="S340" s="499">
        <v>0</v>
      </c>
      <c r="T340" s="486">
        <v>0</v>
      </c>
      <c r="U340" s="486">
        <v>0</v>
      </c>
      <c r="V340" s="486">
        <f>SUM(S340:U340)</f>
        <v>0</v>
      </c>
      <c r="W340" s="486">
        <v>0</v>
      </c>
      <c r="X340" s="486">
        <v>0</v>
      </c>
      <c r="Y340" s="486">
        <f>SUM(W340:X340)</f>
        <v>0</v>
      </c>
      <c r="Z340" s="486">
        <f>V340+Y340</f>
        <v>0</v>
      </c>
      <c r="AA340" s="178">
        <f t="shared" si="439"/>
        <v>0</v>
      </c>
      <c r="AB340" s="745">
        <f>ROUND(V340*2%,0)</f>
        <v>0</v>
      </c>
      <c r="AC340" s="486">
        <v>0</v>
      </c>
      <c r="AD340" s="486">
        <v>0</v>
      </c>
      <c r="AE340" s="486">
        <f t="shared" si="440"/>
        <v>0</v>
      </c>
      <c r="AF340" s="486">
        <f t="shared" si="441"/>
        <v>0</v>
      </c>
      <c r="AG340" s="501">
        <v>0</v>
      </c>
      <c r="AH340" s="501">
        <v>0</v>
      </c>
      <c r="AI340" s="501">
        <v>0</v>
      </c>
      <c r="AJ340" s="501">
        <v>0</v>
      </c>
      <c r="AK340" s="501">
        <v>0</v>
      </c>
      <c r="AL340" s="501">
        <f t="shared" si="444"/>
        <v>0</v>
      </c>
      <c r="AM340" s="501">
        <f t="shared" si="445"/>
        <v>0</v>
      </c>
      <c r="AN340" s="502">
        <f t="shared" si="442"/>
        <v>0</v>
      </c>
      <c r="AO340" s="499">
        <f>I340+AF340</f>
        <v>258889</v>
      </c>
      <c r="AP340" s="486">
        <f>J340+V340</f>
        <v>188597</v>
      </c>
      <c r="AQ340" s="486">
        <f>K340+Y340</f>
        <v>0</v>
      </c>
      <c r="AR340" s="486">
        <f>L340</f>
        <v>0</v>
      </c>
      <c r="AS340" s="486">
        <f t="shared" si="446"/>
        <v>63746</v>
      </c>
      <c r="AT340" s="486">
        <f t="shared" si="446"/>
        <v>3772</v>
      </c>
      <c r="AU340" s="486">
        <f>O340+AE340</f>
        <v>2774</v>
      </c>
      <c r="AV340" s="501">
        <f>P340+AN340</f>
        <v>0.64</v>
      </c>
      <c r="AW340" s="501">
        <f t="shared" si="447"/>
        <v>0</v>
      </c>
      <c r="AX340" s="502">
        <f t="shared" si="447"/>
        <v>0.64</v>
      </c>
    </row>
    <row r="341" spans="1:50" ht="14.1" customHeight="1" x14ac:dyDescent="0.2">
      <c r="A341" s="585">
        <v>70</v>
      </c>
      <c r="B341" s="586">
        <v>2454</v>
      </c>
      <c r="C341" s="587">
        <v>600079759</v>
      </c>
      <c r="D341" s="586">
        <v>70983119</v>
      </c>
      <c r="E341" s="588" t="s">
        <v>714</v>
      </c>
      <c r="F341" s="585">
        <v>3143</v>
      </c>
      <c r="G341" s="208" t="s">
        <v>634</v>
      </c>
      <c r="H341" s="589" t="s">
        <v>283</v>
      </c>
      <c r="I341" s="495">
        <v>882226</v>
      </c>
      <c r="J341" s="411">
        <v>649651</v>
      </c>
      <c r="K341" s="520">
        <v>0</v>
      </c>
      <c r="L341" s="520">
        <v>0</v>
      </c>
      <c r="M341" s="475">
        <v>219582</v>
      </c>
      <c r="N341" s="496">
        <v>12993</v>
      </c>
      <c r="O341" s="496">
        <v>0</v>
      </c>
      <c r="P341" s="412">
        <v>1.45</v>
      </c>
      <c r="Q341" s="415">
        <v>1.45</v>
      </c>
      <c r="R341" s="498">
        <v>0</v>
      </c>
      <c r="S341" s="499">
        <v>0</v>
      </c>
      <c r="T341" s="486">
        <v>0</v>
      </c>
      <c r="U341" s="486">
        <v>0</v>
      </c>
      <c r="V341" s="486">
        <f>SUM(S341:U341)</f>
        <v>0</v>
      </c>
      <c r="W341" s="486">
        <v>0</v>
      </c>
      <c r="X341" s="486">
        <v>0</v>
      </c>
      <c r="Y341" s="486">
        <f>SUM(W341:X341)</f>
        <v>0</v>
      </c>
      <c r="Z341" s="486">
        <f>V341+Y341</f>
        <v>0</v>
      </c>
      <c r="AA341" s="178">
        <f t="shared" si="439"/>
        <v>0</v>
      </c>
      <c r="AB341" s="745">
        <f>ROUND(V341*2%,0)</f>
        <v>0</v>
      </c>
      <c r="AC341" s="486">
        <v>0</v>
      </c>
      <c r="AD341" s="486">
        <v>0</v>
      </c>
      <c r="AE341" s="486">
        <f t="shared" si="440"/>
        <v>0</v>
      </c>
      <c r="AF341" s="486">
        <f t="shared" si="441"/>
        <v>0</v>
      </c>
      <c r="AG341" s="501">
        <v>0</v>
      </c>
      <c r="AH341" s="501">
        <v>0</v>
      </c>
      <c r="AI341" s="501">
        <v>0</v>
      </c>
      <c r="AJ341" s="501">
        <v>0</v>
      </c>
      <c r="AK341" s="501">
        <v>0</v>
      </c>
      <c r="AL341" s="501">
        <f t="shared" si="444"/>
        <v>0</v>
      </c>
      <c r="AM341" s="501">
        <f t="shared" si="445"/>
        <v>0</v>
      </c>
      <c r="AN341" s="502">
        <f t="shared" si="442"/>
        <v>0</v>
      </c>
      <c r="AO341" s="499">
        <f>I341+AF341</f>
        <v>882226</v>
      </c>
      <c r="AP341" s="486">
        <f>J341+V341</f>
        <v>649651</v>
      </c>
      <c r="AQ341" s="486">
        <f>K341+Y341</f>
        <v>0</v>
      </c>
      <c r="AR341" s="486">
        <f>L341</f>
        <v>0</v>
      </c>
      <c r="AS341" s="486">
        <f t="shared" si="446"/>
        <v>219582</v>
      </c>
      <c r="AT341" s="486">
        <f t="shared" si="446"/>
        <v>12993</v>
      </c>
      <c r="AU341" s="486">
        <f>O341+AE341</f>
        <v>0</v>
      </c>
      <c r="AV341" s="501">
        <f>P341+AN341</f>
        <v>1.45</v>
      </c>
      <c r="AW341" s="501">
        <f t="shared" si="447"/>
        <v>1.45</v>
      </c>
      <c r="AX341" s="502">
        <f t="shared" si="447"/>
        <v>0</v>
      </c>
    </row>
    <row r="342" spans="1:50" ht="14.1" customHeight="1" x14ac:dyDescent="0.2">
      <c r="A342" s="585">
        <v>70</v>
      </c>
      <c r="B342" s="586">
        <v>2454</v>
      </c>
      <c r="C342" s="587">
        <v>600079759</v>
      </c>
      <c r="D342" s="586">
        <v>70983119</v>
      </c>
      <c r="E342" s="588" t="s">
        <v>714</v>
      </c>
      <c r="F342" s="585">
        <v>3143</v>
      </c>
      <c r="G342" s="208" t="s">
        <v>635</v>
      </c>
      <c r="H342" s="589" t="s">
        <v>284</v>
      </c>
      <c r="I342" s="495">
        <v>35111</v>
      </c>
      <c r="J342" s="496">
        <v>24750</v>
      </c>
      <c r="K342" s="475">
        <v>0</v>
      </c>
      <c r="L342" s="475">
        <v>0</v>
      </c>
      <c r="M342" s="475">
        <v>8366</v>
      </c>
      <c r="N342" s="496">
        <v>495</v>
      </c>
      <c r="O342" s="496">
        <v>1500</v>
      </c>
      <c r="P342" s="412">
        <v>0.1</v>
      </c>
      <c r="Q342" s="497">
        <v>0</v>
      </c>
      <c r="R342" s="498">
        <v>0.1</v>
      </c>
      <c r="S342" s="499">
        <v>0</v>
      </c>
      <c r="T342" s="486">
        <v>0</v>
      </c>
      <c r="U342" s="486">
        <v>0</v>
      </c>
      <c r="V342" s="486">
        <f>SUM(S342:U342)</f>
        <v>0</v>
      </c>
      <c r="W342" s="486">
        <v>0</v>
      </c>
      <c r="X342" s="486">
        <v>0</v>
      </c>
      <c r="Y342" s="486">
        <f>SUM(W342:X342)</f>
        <v>0</v>
      </c>
      <c r="Z342" s="486">
        <f>V342+Y342</f>
        <v>0</v>
      </c>
      <c r="AA342" s="178">
        <f t="shared" si="439"/>
        <v>0</v>
      </c>
      <c r="AB342" s="745">
        <f>ROUND(V342*2%,0)</f>
        <v>0</v>
      </c>
      <c r="AC342" s="486">
        <v>0</v>
      </c>
      <c r="AD342" s="486">
        <v>0</v>
      </c>
      <c r="AE342" s="486">
        <f t="shared" si="440"/>
        <v>0</v>
      </c>
      <c r="AF342" s="486">
        <f t="shared" si="441"/>
        <v>0</v>
      </c>
      <c r="AG342" s="501">
        <v>0</v>
      </c>
      <c r="AH342" s="501">
        <v>0</v>
      </c>
      <c r="AI342" s="501">
        <v>0</v>
      </c>
      <c r="AJ342" s="501">
        <v>0</v>
      </c>
      <c r="AK342" s="501">
        <v>0</v>
      </c>
      <c r="AL342" s="501">
        <f t="shared" si="444"/>
        <v>0</v>
      </c>
      <c r="AM342" s="501">
        <f t="shared" si="445"/>
        <v>0</v>
      </c>
      <c r="AN342" s="502">
        <f t="shared" si="442"/>
        <v>0</v>
      </c>
      <c r="AO342" s="499">
        <f>I342+AF342</f>
        <v>35111</v>
      </c>
      <c r="AP342" s="486">
        <f>J342+V342</f>
        <v>24750</v>
      </c>
      <c r="AQ342" s="486">
        <f>K342+Y342</f>
        <v>0</v>
      </c>
      <c r="AR342" s="486">
        <f>L342</f>
        <v>0</v>
      </c>
      <c r="AS342" s="486">
        <f t="shared" si="446"/>
        <v>8366</v>
      </c>
      <c r="AT342" s="486">
        <f t="shared" si="446"/>
        <v>495</v>
      </c>
      <c r="AU342" s="486">
        <f>O342+AE342</f>
        <v>1500</v>
      </c>
      <c r="AV342" s="501">
        <f>P342+AN342</f>
        <v>0.1</v>
      </c>
      <c r="AW342" s="501">
        <f t="shared" si="447"/>
        <v>0</v>
      </c>
      <c r="AX342" s="502">
        <f t="shared" si="447"/>
        <v>0.1</v>
      </c>
    </row>
    <row r="343" spans="1:50" ht="14.1" customHeight="1" x14ac:dyDescent="0.2">
      <c r="A343" s="181">
        <v>70</v>
      </c>
      <c r="B343" s="179">
        <v>2454</v>
      </c>
      <c r="C343" s="180">
        <v>600079759</v>
      </c>
      <c r="D343" s="179">
        <v>70983119</v>
      </c>
      <c r="E343" s="578" t="s">
        <v>715</v>
      </c>
      <c r="F343" s="181"/>
      <c r="G343" s="578"/>
      <c r="H343" s="579"/>
      <c r="I343" s="580">
        <v>9007274</v>
      </c>
      <c r="J343" s="581">
        <v>6327594</v>
      </c>
      <c r="K343" s="581">
        <v>120216</v>
      </c>
      <c r="L343" s="581">
        <v>50216</v>
      </c>
      <c r="M343" s="581">
        <v>2162388</v>
      </c>
      <c r="N343" s="581">
        <v>126552</v>
      </c>
      <c r="O343" s="581">
        <v>270524</v>
      </c>
      <c r="P343" s="582">
        <v>14.5177</v>
      </c>
      <c r="Q343" s="582">
        <v>10.899999999999999</v>
      </c>
      <c r="R343" s="584">
        <v>3.6177000000000001</v>
      </c>
      <c r="S343" s="583">
        <f t="shared" ref="S343:AX343" si="448">SUM(S338:S342)</f>
        <v>0</v>
      </c>
      <c r="T343" s="581">
        <f t="shared" si="448"/>
        <v>1890</v>
      </c>
      <c r="U343" s="581">
        <f t="shared" si="448"/>
        <v>0</v>
      </c>
      <c r="V343" s="581">
        <f t="shared" si="448"/>
        <v>1890</v>
      </c>
      <c r="W343" s="581">
        <f t="shared" si="448"/>
        <v>0</v>
      </c>
      <c r="X343" s="581">
        <f t="shared" si="448"/>
        <v>0</v>
      </c>
      <c r="Y343" s="581">
        <f t="shared" si="448"/>
        <v>0</v>
      </c>
      <c r="Z343" s="581">
        <f t="shared" si="448"/>
        <v>1890</v>
      </c>
      <c r="AA343" s="581">
        <f t="shared" si="448"/>
        <v>639</v>
      </c>
      <c r="AB343" s="583">
        <f t="shared" si="448"/>
        <v>38</v>
      </c>
      <c r="AC343" s="581">
        <f t="shared" si="448"/>
        <v>0</v>
      </c>
      <c r="AD343" s="581">
        <f t="shared" si="448"/>
        <v>0</v>
      </c>
      <c r="AE343" s="581">
        <f t="shared" si="448"/>
        <v>0</v>
      </c>
      <c r="AF343" s="581">
        <f t="shared" si="448"/>
        <v>2567</v>
      </c>
      <c r="AG343" s="582">
        <f t="shared" si="448"/>
        <v>0</v>
      </c>
      <c r="AH343" s="582">
        <f t="shared" si="448"/>
        <v>0</v>
      </c>
      <c r="AI343" s="582">
        <f t="shared" si="448"/>
        <v>0</v>
      </c>
      <c r="AJ343" s="582">
        <f t="shared" si="448"/>
        <v>0</v>
      </c>
      <c r="AK343" s="582">
        <f t="shared" si="448"/>
        <v>0</v>
      </c>
      <c r="AL343" s="582">
        <f t="shared" si="448"/>
        <v>0</v>
      </c>
      <c r="AM343" s="582">
        <f t="shared" si="448"/>
        <v>0</v>
      </c>
      <c r="AN343" s="584">
        <f t="shared" si="448"/>
        <v>0</v>
      </c>
      <c r="AO343" s="583">
        <f t="shared" si="448"/>
        <v>9009841</v>
      </c>
      <c r="AP343" s="581">
        <f t="shared" si="448"/>
        <v>6329484</v>
      </c>
      <c r="AQ343" s="581">
        <f t="shared" si="448"/>
        <v>120216</v>
      </c>
      <c r="AR343" s="581">
        <f t="shared" si="448"/>
        <v>50216</v>
      </c>
      <c r="AS343" s="581">
        <f t="shared" si="448"/>
        <v>2163027</v>
      </c>
      <c r="AT343" s="581">
        <f t="shared" si="448"/>
        <v>126590</v>
      </c>
      <c r="AU343" s="581">
        <f t="shared" si="448"/>
        <v>270524</v>
      </c>
      <c r="AV343" s="582">
        <f t="shared" si="448"/>
        <v>14.5177</v>
      </c>
      <c r="AW343" s="582">
        <f t="shared" si="448"/>
        <v>10.899999999999999</v>
      </c>
      <c r="AX343" s="584">
        <f t="shared" si="448"/>
        <v>3.6177000000000001</v>
      </c>
    </row>
    <row r="344" spans="1:50" ht="14.1" customHeight="1" x14ac:dyDescent="0.2">
      <c r="A344" s="585">
        <v>71</v>
      </c>
      <c r="B344" s="586">
        <v>2492</v>
      </c>
      <c r="C344" s="587">
        <v>600079767</v>
      </c>
      <c r="D344" s="586">
        <v>70983011</v>
      </c>
      <c r="E344" s="588" t="s">
        <v>806</v>
      </c>
      <c r="F344" s="585">
        <v>3113</v>
      </c>
      <c r="G344" s="588" t="s">
        <v>320</v>
      </c>
      <c r="H344" s="589" t="s">
        <v>283</v>
      </c>
      <c r="I344" s="495">
        <v>20036499</v>
      </c>
      <c r="J344" s="411">
        <v>14217310</v>
      </c>
      <c r="K344" s="520">
        <v>105454</v>
      </c>
      <c r="L344" s="520">
        <v>97354</v>
      </c>
      <c r="M344" s="475">
        <v>4808189</v>
      </c>
      <c r="N344" s="496">
        <v>284346</v>
      </c>
      <c r="O344" s="411">
        <v>621200</v>
      </c>
      <c r="P344" s="412">
        <v>27.030200000000001</v>
      </c>
      <c r="Q344" s="415">
        <v>20.72</v>
      </c>
      <c r="R344" s="685">
        <v>6.3102</v>
      </c>
      <c r="S344" s="499">
        <v>0</v>
      </c>
      <c r="T344" s="486">
        <v>0</v>
      </c>
      <c r="U344" s="486">
        <v>-29456</v>
      </c>
      <c r="V344" s="486">
        <f t="shared" ref="V344:V349" si="449">SUM(S344:U344)</f>
        <v>-29456</v>
      </c>
      <c r="W344" s="486">
        <v>0</v>
      </c>
      <c r="X344" s="486">
        <v>0</v>
      </c>
      <c r="Y344" s="486">
        <f t="shared" ref="Y344:Y349" si="450">SUM(W344:X344)</f>
        <v>0</v>
      </c>
      <c r="Z344" s="486">
        <f t="shared" ref="Z344:Z349" si="451">V344+Y344</f>
        <v>-29456</v>
      </c>
      <c r="AA344" s="178">
        <f t="shared" si="439"/>
        <v>-9956</v>
      </c>
      <c r="AB344" s="745">
        <f t="shared" ref="AB344:AB349" si="452">ROUND(V344*2%,0)</f>
        <v>-589</v>
      </c>
      <c r="AC344" s="486">
        <v>0</v>
      </c>
      <c r="AD344" s="486">
        <v>40001</v>
      </c>
      <c r="AE344" s="486">
        <f t="shared" si="440"/>
        <v>40001</v>
      </c>
      <c r="AF344" s="486">
        <f t="shared" si="441"/>
        <v>0</v>
      </c>
      <c r="AG344" s="501">
        <v>0</v>
      </c>
      <c r="AH344" s="501">
        <v>0</v>
      </c>
      <c r="AI344" s="501">
        <v>0</v>
      </c>
      <c r="AJ344" s="501">
        <v>0</v>
      </c>
      <c r="AK344" s="501">
        <v>0</v>
      </c>
      <c r="AL344" s="501">
        <f t="shared" ref="AL344:AL349" si="453">AG344+AI344+AJ344</f>
        <v>0</v>
      </c>
      <c r="AM344" s="501">
        <f t="shared" ref="AM344:AM349" si="454">AH344+AK344</f>
        <v>0</v>
      </c>
      <c r="AN344" s="502">
        <f t="shared" si="442"/>
        <v>0</v>
      </c>
      <c r="AO344" s="499">
        <f t="shared" ref="AO344:AO349" si="455">I344+AF344</f>
        <v>20036499</v>
      </c>
      <c r="AP344" s="486">
        <f t="shared" ref="AP344:AP349" si="456">J344+V344</f>
        <v>14187854</v>
      </c>
      <c r="AQ344" s="486">
        <f t="shared" ref="AQ344:AQ349" si="457">K344+Y344</f>
        <v>105454</v>
      </c>
      <c r="AR344" s="486">
        <f t="shared" ref="AR344:AR349" si="458">L344</f>
        <v>97354</v>
      </c>
      <c r="AS344" s="486">
        <f t="shared" ref="AS344:AT349" si="459">M344+AA344</f>
        <v>4798233</v>
      </c>
      <c r="AT344" s="486">
        <f t="shared" si="459"/>
        <v>283757</v>
      </c>
      <c r="AU344" s="486">
        <f t="shared" ref="AU344:AU349" si="460">O344+AE344</f>
        <v>661201</v>
      </c>
      <c r="AV344" s="501">
        <f t="shared" ref="AV344:AV349" si="461">P344+AN344</f>
        <v>27.030200000000001</v>
      </c>
      <c r="AW344" s="501">
        <f t="shared" ref="AW344:AX349" si="462">Q344+AL344</f>
        <v>20.72</v>
      </c>
      <c r="AX344" s="502">
        <f t="shared" si="462"/>
        <v>6.3102</v>
      </c>
    </row>
    <row r="345" spans="1:50" ht="14.1" customHeight="1" x14ac:dyDescent="0.2">
      <c r="A345" s="585">
        <v>71</v>
      </c>
      <c r="B345" s="586">
        <v>2492</v>
      </c>
      <c r="C345" s="587">
        <v>600079767</v>
      </c>
      <c r="D345" s="586">
        <v>70983011</v>
      </c>
      <c r="E345" s="588" t="s">
        <v>806</v>
      </c>
      <c r="F345" s="585">
        <v>3113</v>
      </c>
      <c r="G345" s="208" t="s">
        <v>318</v>
      </c>
      <c r="H345" s="589" t="s">
        <v>284</v>
      </c>
      <c r="I345" s="495">
        <v>2064287</v>
      </c>
      <c r="J345" s="496">
        <v>1516044</v>
      </c>
      <c r="K345" s="475">
        <v>0</v>
      </c>
      <c r="L345" s="475">
        <v>0</v>
      </c>
      <c r="M345" s="475">
        <v>512422</v>
      </c>
      <c r="N345" s="496">
        <v>30321</v>
      </c>
      <c r="O345" s="496">
        <v>5500</v>
      </c>
      <c r="P345" s="412">
        <v>4.38</v>
      </c>
      <c r="Q345" s="497">
        <v>4.38</v>
      </c>
      <c r="R345" s="498">
        <v>0</v>
      </c>
      <c r="S345" s="499">
        <v>0</v>
      </c>
      <c r="T345" s="486">
        <v>0</v>
      </c>
      <c r="U345" s="486">
        <v>0</v>
      </c>
      <c r="V345" s="486">
        <f t="shared" si="449"/>
        <v>0</v>
      </c>
      <c r="W345" s="486">
        <v>0</v>
      </c>
      <c r="X345" s="486">
        <v>0</v>
      </c>
      <c r="Y345" s="486">
        <f t="shared" si="450"/>
        <v>0</v>
      </c>
      <c r="Z345" s="486">
        <f t="shared" si="451"/>
        <v>0</v>
      </c>
      <c r="AA345" s="178">
        <f t="shared" si="439"/>
        <v>0</v>
      </c>
      <c r="AB345" s="745">
        <f t="shared" si="452"/>
        <v>0</v>
      </c>
      <c r="AC345" s="486">
        <v>0</v>
      </c>
      <c r="AD345" s="486">
        <v>0</v>
      </c>
      <c r="AE345" s="486">
        <f t="shared" si="440"/>
        <v>0</v>
      </c>
      <c r="AF345" s="486">
        <f t="shared" si="441"/>
        <v>0</v>
      </c>
      <c r="AG345" s="501">
        <v>0</v>
      </c>
      <c r="AH345" s="501">
        <v>0</v>
      </c>
      <c r="AI345" s="501">
        <v>0</v>
      </c>
      <c r="AJ345" s="501">
        <v>0</v>
      </c>
      <c r="AK345" s="501">
        <v>0</v>
      </c>
      <c r="AL345" s="501">
        <f t="shared" si="453"/>
        <v>0</v>
      </c>
      <c r="AM345" s="501">
        <f t="shared" si="454"/>
        <v>0</v>
      </c>
      <c r="AN345" s="502">
        <f t="shared" si="442"/>
        <v>0</v>
      </c>
      <c r="AO345" s="499">
        <f t="shared" si="455"/>
        <v>2064287</v>
      </c>
      <c r="AP345" s="486">
        <f t="shared" si="456"/>
        <v>1516044</v>
      </c>
      <c r="AQ345" s="486">
        <f t="shared" si="457"/>
        <v>0</v>
      </c>
      <c r="AR345" s="486">
        <f t="shared" si="458"/>
        <v>0</v>
      </c>
      <c r="AS345" s="486">
        <f t="shared" si="459"/>
        <v>512422</v>
      </c>
      <c r="AT345" s="486">
        <f t="shared" si="459"/>
        <v>30321</v>
      </c>
      <c r="AU345" s="486">
        <f t="shared" si="460"/>
        <v>5500</v>
      </c>
      <c r="AV345" s="501">
        <f t="shared" si="461"/>
        <v>4.38</v>
      </c>
      <c r="AW345" s="501">
        <f t="shared" si="462"/>
        <v>4.38</v>
      </c>
      <c r="AX345" s="502">
        <f t="shared" si="462"/>
        <v>0</v>
      </c>
    </row>
    <row r="346" spans="1:50" ht="14.1" customHeight="1" x14ac:dyDescent="0.2">
      <c r="A346" s="585">
        <v>71</v>
      </c>
      <c r="B346" s="586">
        <v>2492</v>
      </c>
      <c r="C346" s="587">
        <v>600079767</v>
      </c>
      <c r="D346" s="586">
        <v>70983011</v>
      </c>
      <c r="E346" s="588" t="s">
        <v>806</v>
      </c>
      <c r="F346" s="585">
        <v>3141</v>
      </c>
      <c r="G346" s="588" t="s">
        <v>321</v>
      </c>
      <c r="H346" s="589" t="s">
        <v>284</v>
      </c>
      <c r="I346" s="495">
        <v>3306360</v>
      </c>
      <c r="J346" s="496">
        <v>2413388</v>
      </c>
      <c r="K346" s="475">
        <v>0</v>
      </c>
      <c r="L346" s="475">
        <v>0</v>
      </c>
      <c r="M346" s="475">
        <v>815725</v>
      </c>
      <c r="N346" s="496">
        <v>48267</v>
      </c>
      <c r="O346" s="496">
        <v>28980</v>
      </c>
      <c r="P346" s="412">
        <v>8.2099999999999991</v>
      </c>
      <c r="Q346" s="497">
        <v>0</v>
      </c>
      <c r="R346" s="498">
        <v>8.2099999999999991</v>
      </c>
      <c r="S346" s="499">
        <v>0</v>
      </c>
      <c r="T346" s="486">
        <v>0</v>
      </c>
      <c r="U346" s="486">
        <v>0</v>
      </c>
      <c r="V346" s="486">
        <f t="shared" si="449"/>
        <v>0</v>
      </c>
      <c r="W346" s="486">
        <v>0</v>
      </c>
      <c r="X346" s="486">
        <v>0</v>
      </c>
      <c r="Y346" s="486">
        <f t="shared" si="450"/>
        <v>0</v>
      </c>
      <c r="Z346" s="486">
        <f t="shared" si="451"/>
        <v>0</v>
      </c>
      <c r="AA346" s="178">
        <f t="shared" si="439"/>
        <v>0</v>
      </c>
      <c r="AB346" s="745">
        <f t="shared" si="452"/>
        <v>0</v>
      </c>
      <c r="AC346" s="486">
        <v>0</v>
      </c>
      <c r="AD346" s="486">
        <v>0</v>
      </c>
      <c r="AE346" s="486">
        <f t="shared" si="440"/>
        <v>0</v>
      </c>
      <c r="AF346" s="486">
        <f t="shared" si="441"/>
        <v>0</v>
      </c>
      <c r="AG346" s="501">
        <v>0</v>
      </c>
      <c r="AH346" s="501">
        <v>0</v>
      </c>
      <c r="AI346" s="501">
        <v>0</v>
      </c>
      <c r="AJ346" s="501">
        <v>0</v>
      </c>
      <c r="AK346" s="501">
        <v>0</v>
      </c>
      <c r="AL346" s="501">
        <f t="shared" si="453"/>
        <v>0</v>
      </c>
      <c r="AM346" s="501">
        <f t="shared" si="454"/>
        <v>0</v>
      </c>
      <c r="AN346" s="502">
        <f t="shared" si="442"/>
        <v>0</v>
      </c>
      <c r="AO346" s="499">
        <f t="shared" si="455"/>
        <v>3306360</v>
      </c>
      <c r="AP346" s="486">
        <f t="shared" si="456"/>
        <v>2413388</v>
      </c>
      <c r="AQ346" s="486">
        <f t="shared" si="457"/>
        <v>0</v>
      </c>
      <c r="AR346" s="486">
        <f t="shared" si="458"/>
        <v>0</v>
      </c>
      <c r="AS346" s="486">
        <f t="shared" si="459"/>
        <v>815725</v>
      </c>
      <c r="AT346" s="486">
        <f t="shared" si="459"/>
        <v>48267</v>
      </c>
      <c r="AU346" s="486">
        <f t="shared" si="460"/>
        <v>28980</v>
      </c>
      <c r="AV346" s="501">
        <f t="shared" si="461"/>
        <v>8.2099999999999991</v>
      </c>
      <c r="AW346" s="501">
        <f t="shared" si="462"/>
        <v>0</v>
      </c>
      <c r="AX346" s="502">
        <f t="shared" si="462"/>
        <v>8.2099999999999991</v>
      </c>
    </row>
    <row r="347" spans="1:50" ht="14.1" customHeight="1" x14ac:dyDescent="0.2">
      <c r="A347" s="585">
        <v>71</v>
      </c>
      <c r="B347" s="586">
        <v>2492</v>
      </c>
      <c r="C347" s="587">
        <v>600079767</v>
      </c>
      <c r="D347" s="586">
        <v>70983011</v>
      </c>
      <c r="E347" s="588" t="s">
        <v>806</v>
      </c>
      <c r="F347" s="585">
        <v>3143</v>
      </c>
      <c r="G347" s="208" t="s">
        <v>634</v>
      </c>
      <c r="H347" s="589" t="s">
        <v>283</v>
      </c>
      <c r="I347" s="495">
        <v>1594358</v>
      </c>
      <c r="J347" s="411">
        <v>1172275</v>
      </c>
      <c r="K347" s="520">
        <v>1800</v>
      </c>
      <c r="L347" s="520">
        <v>0</v>
      </c>
      <c r="M347" s="475">
        <v>396837</v>
      </c>
      <c r="N347" s="496">
        <v>23446</v>
      </c>
      <c r="O347" s="496">
        <v>0</v>
      </c>
      <c r="P347" s="412">
        <v>2.5</v>
      </c>
      <c r="Q347" s="415">
        <v>2.5</v>
      </c>
      <c r="R347" s="498">
        <v>0</v>
      </c>
      <c r="S347" s="499">
        <v>0</v>
      </c>
      <c r="T347" s="486">
        <v>0</v>
      </c>
      <c r="U347" s="486">
        <v>0</v>
      </c>
      <c r="V347" s="486">
        <f t="shared" si="449"/>
        <v>0</v>
      </c>
      <c r="W347" s="486">
        <v>0</v>
      </c>
      <c r="X347" s="486">
        <v>0</v>
      </c>
      <c r="Y347" s="486">
        <f t="shared" si="450"/>
        <v>0</v>
      </c>
      <c r="Z347" s="486">
        <f t="shared" si="451"/>
        <v>0</v>
      </c>
      <c r="AA347" s="178">
        <f t="shared" si="439"/>
        <v>0</v>
      </c>
      <c r="AB347" s="745">
        <f t="shared" si="452"/>
        <v>0</v>
      </c>
      <c r="AC347" s="486">
        <v>0</v>
      </c>
      <c r="AD347" s="486">
        <v>0</v>
      </c>
      <c r="AE347" s="486">
        <f t="shared" si="440"/>
        <v>0</v>
      </c>
      <c r="AF347" s="486">
        <f t="shared" si="441"/>
        <v>0</v>
      </c>
      <c r="AG347" s="501">
        <v>0</v>
      </c>
      <c r="AH347" s="501">
        <v>0</v>
      </c>
      <c r="AI347" s="501">
        <v>0</v>
      </c>
      <c r="AJ347" s="501">
        <v>0</v>
      </c>
      <c r="AK347" s="501">
        <v>0</v>
      </c>
      <c r="AL347" s="501">
        <f t="shared" si="453"/>
        <v>0</v>
      </c>
      <c r="AM347" s="501">
        <f t="shared" si="454"/>
        <v>0</v>
      </c>
      <c r="AN347" s="502">
        <f t="shared" si="442"/>
        <v>0</v>
      </c>
      <c r="AO347" s="499">
        <f t="shared" si="455"/>
        <v>1594358</v>
      </c>
      <c r="AP347" s="486">
        <f t="shared" si="456"/>
        <v>1172275</v>
      </c>
      <c r="AQ347" s="486">
        <f t="shared" si="457"/>
        <v>1800</v>
      </c>
      <c r="AR347" s="486">
        <f t="shared" si="458"/>
        <v>0</v>
      </c>
      <c r="AS347" s="486">
        <f t="shared" si="459"/>
        <v>396837</v>
      </c>
      <c r="AT347" s="486">
        <f t="shared" si="459"/>
        <v>23446</v>
      </c>
      <c r="AU347" s="486">
        <f t="shared" si="460"/>
        <v>0</v>
      </c>
      <c r="AV347" s="501">
        <f t="shared" si="461"/>
        <v>2.5</v>
      </c>
      <c r="AW347" s="501">
        <f t="shared" si="462"/>
        <v>2.5</v>
      </c>
      <c r="AX347" s="502">
        <f t="shared" si="462"/>
        <v>0</v>
      </c>
    </row>
    <row r="348" spans="1:50" ht="14.1" customHeight="1" x14ac:dyDescent="0.2">
      <c r="A348" s="585">
        <v>71</v>
      </c>
      <c r="B348" s="586">
        <v>2492</v>
      </c>
      <c r="C348" s="587">
        <v>600079767</v>
      </c>
      <c r="D348" s="586">
        <v>70983011</v>
      </c>
      <c r="E348" s="588" t="s">
        <v>806</v>
      </c>
      <c r="F348" s="585">
        <v>3143</v>
      </c>
      <c r="G348" s="208" t="s">
        <v>635</v>
      </c>
      <c r="H348" s="589" t="s">
        <v>284</v>
      </c>
      <c r="I348" s="495">
        <v>47048</v>
      </c>
      <c r="J348" s="496">
        <v>33165</v>
      </c>
      <c r="K348" s="475">
        <v>0</v>
      </c>
      <c r="L348" s="475">
        <v>0</v>
      </c>
      <c r="M348" s="475">
        <v>11210</v>
      </c>
      <c r="N348" s="496">
        <v>663</v>
      </c>
      <c r="O348" s="496">
        <v>2010</v>
      </c>
      <c r="P348" s="412">
        <v>0.14000000000000001</v>
      </c>
      <c r="Q348" s="497">
        <v>0</v>
      </c>
      <c r="R348" s="498">
        <v>0.14000000000000001</v>
      </c>
      <c r="S348" s="499">
        <v>0</v>
      </c>
      <c r="T348" s="486">
        <v>0</v>
      </c>
      <c r="U348" s="486">
        <v>0</v>
      </c>
      <c r="V348" s="486">
        <f t="shared" si="449"/>
        <v>0</v>
      </c>
      <c r="W348" s="486">
        <v>0</v>
      </c>
      <c r="X348" s="486">
        <v>0</v>
      </c>
      <c r="Y348" s="486">
        <f t="shared" si="450"/>
        <v>0</v>
      </c>
      <c r="Z348" s="486">
        <f t="shared" si="451"/>
        <v>0</v>
      </c>
      <c r="AA348" s="178">
        <f t="shared" si="439"/>
        <v>0</v>
      </c>
      <c r="AB348" s="745">
        <f t="shared" si="452"/>
        <v>0</v>
      </c>
      <c r="AC348" s="486">
        <v>0</v>
      </c>
      <c r="AD348" s="486">
        <v>0</v>
      </c>
      <c r="AE348" s="486">
        <f t="shared" si="440"/>
        <v>0</v>
      </c>
      <c r="AF348" s="486">
        <f t="shared" si="441"/>
        <v>0</v>
      </c>
      <c r="AG348" s="501">
        <v>0</v>
      </c>
      <c r="AH348" s="501">
        <v>0</v>
      </c>
      <c r="AI348" s="501">
        <v>0</v>
      </c>
      <c r="AJ348" s="501">
        <v>0</v>
      </c>
      <c r="AK348" s="501">
        <v>0</v>
      </c>
      <c r="AL348" s="501">
        <f t="shared" si="453"/>
        <v>0</v>
      </c>
      <c r="AM348" s="501">
        <f t="shared" si="454"/>
        <v>0</v>
      </c>
      <c r="AN348" s="502">
        <f t="shared" si="442"/>
        <v>0</v>
      </c>
      <c r="AO348" s="499">
        <f t="shared" si="455"/>
        <v>47048</v>
      </c>
      <c r="AP348" s="486">
        <f t="shared" si="456"/>
        <v>33165</v>
      </c>
      <c r="AQ348" s="486">
        <f t="shared" si="457"/>
        <v>0</v>
      </c>
      <c r="AR348" s="486">
        <f t="shared" si="458"/>
        <v>0</v>
      </c>
      <c r="AS348" s="486">
        <f t="shared" si="459"/>
        <v>11210</v>
      </c>
      <c r="AT348" s="486">
        <f t="shared" si="459"/>
        <v>663</v>
      </c>
      <c r="AU348" s="486">
        <f t="shared" si="460"/>
        <v>2010</v>
      </c>
      <c r="AV348" s="501">
        <f t="shared" si="461"/>
        <v>0.14000000000000001</v>
      </c>
      <c r="AW348" s="501">
        <f t="shared" si="462"/>
        <v>0</v>
      </c>
      <c r="AX348" s="502">
        <f t="shared" si="462"/>
        <v>0.14000000000000001</v>
      </c>
    </row>
    <row r="349" spans="1:50" ht="14.1" customHeight="1" x14ac:dyDescent="0.2">
      <c r="A349" s="585">
        <v>71</v>
      </c>
      <c r="B349" s="586">
        <v>2492</v>
      </c>
      <c r="C349" s="587">
        <v>600079767</v>
      </c>
      <c r="D349" s="586">
        <v>70983011</v>
      </c>
      <c r="E349" s="588" t="s">
        <v>807</v>
      </c>
      <c r="F349" s="585">
        <v>3231</v>
      </c>
      <c r="G349" s="208" t="s">
        <v>322</v>
      </c>
      <c r="H349" s="589" t="s">
        <v>283</v>
      </c>
      <c r="I349" s="495">
        <v>1228163</v>
      </c>
      <c r="J349" s="496">
        <v>901740</v>
      </c>
      <c r="K349" s="475">
        <v>0</v>
      </c>
      <c r="L349" s="475">
        <v>0</v>
      </c>
      <c r="M349" s="475">
        <v>304788</v>
      </c>
      <c r="N349" s="496">
        <v>18035</v>
      </c>
      <c r="O349" s="496">
        <v>3600</v>
      </c>
      <c r="P349" s="412">
        <v>1.7669999999999999</v>
      </c>
      <c r="Q349" s="412">
        <v>1.5831</v>
      </c>
      <c r="R349" s="498">
        <v>0.18390000000000001</v>
      </c>
      <c r="S349" s="499">
        <v>0</v>
      </c>
      <c r="T349" s="486">
        <v>0</v>
      </c>
      <c r="U349" s="486">
        <v>0</v>
      </c>
      <c r="V349" s="486">
        <f t="shared" si="449"/>
        <v>0</v>
      </c>
      <c r="W349" s="486">
        <v>0</v>
      </c>
      <c r="X349" s="486">
        <v>0</v>
      </c>
      <c r="Y349" s="486">
        <f t="shared" si="450"/>
        <v>0</v>
      </c>
      <c r="Z349" s="486">
        <f t="shared" si="451"/>
        <v>0</v>
      </c>
      <c r="AA349" s="178">
        <f t="shared" si="439"/>
        <v>0</v>
      </c>
      <c r="AB349" s="745">
        <f t="shared" si="452"/>
        <v>0</v>
      </c>
      <c r="AC349" s="486">
        <v>0</v>
      </c>
      <c r="AD349" s="486">
        <v>0</v>
      </c>
      <c r="AE349" s="486">
        <f t="shared" si="440"/>
        <v>0</v>
      </c>
      <c r="AF349" s="486">
        <f t="shared" si="441"/>
        <v>0</v>
      </c>
      <c r="AG349" s="501">
        <v>0</v>
      </c>
      <c r="AH349" s="501">
        <v>0</v>
      </c>
      <c r="AI349" s="501">
        <v>0</v>
      </c>
      <c r="AJ349" s="501">
        <v>0</v>
      </c>
      <c r="AK349" s="501">
        <v>0</v>
      </c>
      <c r="AL349" s="501">
        <f t="shared" si="453"/>
        <v>0</v>
      </c>
      <c r="AM349" s="501">
        <f t="shared" si="454"/>
        <v>0</v>
      </c>
      <c r="AN349" s="502">
        <f t="shared" si="442"/>
        <v>0</v>
      </c>
      <c r="AO349" s="499">
        <f t="shared" si="455"/>
        <v>1228163</v>
      </c>
      <c r="AP349" s="486">
        <f t="shared" si="456"/>
        <v>901740</v>
      </c>
      <c r="AQ349" s="486">
        <f t="shared" si="457"/>
        <v>0</v>
      </c>
      <c r="AR349" s="486">
        <f t="shared" si="458"/>
        <v>0</v>
      </c>
      <c r="AS349" s="486">
        <f t="shared" si="459"/>
        <v>304788</v>
      </c>
      <c r="AT349" s="486">
        <f t="shared" si="459"/>
        <v>18035</v>
      </c>
      <c r="AU349" s="486">
        <f t="shared" si="460"/>
        <v>3600</v>
      </c>
      <c r="AV349" s="501">
        <f t="shared" si="461"/>
        <v>1.7669999999999999</v>
      </c>
      <c r="AW349" s="501">
        <f t="shared" si="462"/>
        <v>1.5831</v>
      </c>
      <c r="AX349" s="502">
        <f t="shared" si="462"/>
        <v>0.18390000000000001</v>
      </c>
    </row>
    <row r="350" spans="1:50" ht="14.1" customHeight="1" x14ac:dyDescent="0.2">
      <c r="A350" s="181">
        <v>71</v>
      </c>
      <c r="B350" s="179">
        <v>2492</v>
      </c>
      <c r="C350" s="180">
        <v>600079767</v>
      </c>
      <c r="D350" s="179">
        <v>70983011</v>
      </c>
      <c r="E350" s="578" t="s">
        <v>808</v>
      </c>
      <c r="F350" s="181"/>
      <c r="G350" s="578"/>
      <c r="H350" s="579"/>
      <c r="I350" s="580">
        <v>28276715</v>
      </c>
      <c r="J350" s="581">
        <v>20253922</v>
      </c>
      <c r="K350" s="581">
        <v>107254</v>
      </c>
      <c r="L350" s="581">
        <v>97354</v>
      </c>
      <c r="M350" s="581">
        <v>6849171</v>
      </c>
      <c r="N350" s="581">
        <v>405078</v>
      </c>
      <c r="O350" s="581">
        <v>661290</v>
      </c>
      <c r="P350" s="582">
        <v>44.027200000000001</v>
      </c>
      <c r="Q350" s="582">
        <v>29.183099999999996</v>
      </c>
      <c r="R350" s="584">
        <v>14.844099999999999</v>
      </c>
      <c r="S350" s="583">
        <f t="shared" ref="S350:AX350" si="463">SUM(S344:S349)</f>
        <v>0</v>
      </c>
      <c r="T350" s="581">
        <f t="shared" si="463"/>
        <v>0</v>
      </c>
      <c r="U350" s="581">
        <f t="shared" si="463"/>
        <v>-29456</v>
      </c>
      <c r="V350" s="581">
        <f t="shared" si="463"/>
        <v>-29456</v>
      </c>
      <c r="W350" s="581">
        <f t="shared" si="463"/>
        <v>0</v>
      </c>
      <c r="X350" s="581">
        <f t="shared" si="463"/>
        <v>0</v>
      </c>
      <c r="Y350" s="581">
        <f t="shared" si="463"/>
        <v>0</v>
      </c>
      <c r="Z350" s="581">
        <f t="shared" si="463"/>
        <v>-29456</v>
      </c>
      <c r="AA350" s="581">
        <f t="shared" si="463"/>
        <v>-9956</v>
      </c>
      <c r="AB350" s="583">
        <f t="shared" si="463"/>
        <v>-589</v>
      </c>
      <c r="AC350" s="581">
        <f t="shared" si="463"/>
        <v>0</v>
      </c>
      <c r="AD350" s="581">
        <f t="shared" si="463"/>
        <v>40001</v>
      </c>
      <c r="AE350" s="581">
        <f t="shared" si="463"/>
        <v>40001</v>
      </c>
      <c r="AF350" s="581">
        <f t="shared" si="463"/>
        <v>0</v>
      </c>
      <c r="AG350" s="582">
        <f t="shared" si="463"/>
        <v>0</v>
      </c>
      <c r="AH350" s="582">
        <f t="shared" si="463"/>
        <v>0</v>
      </c>
      <c r="AI350" s="582">
        <f t="shared" si="463"/>
        <v>0</v>
      </c>
      <c r="AJ350" s="582">
        <f t="shared" si="463"/>
        <v>0</v>
      </c>
      <c r="AK350" s="582">
        <f t="shared" si="463"/>
        <v>0</v>
      </c>
      <c r="AL350" s="582">
        <f t="shared" si="463"/>
        <v>0</v>
      </c>
      <c r="AM350" s="582">
        <f t="shared" si="463"/>
        <v>0</v>
      </c>
      <c r="AN350" s="584">
        <f t="shared" si="463"/>
        <v>0</v>
      </c>
      <c r="AO350" s="583">
        <f t="shared" si="463"/>
        <v>28276715</v>
      </c>
      <c r="AP350" s="581">
        <f t="shared" si="463"/>
        <v>20224466</v>
      </c>
      <c r="AQ350" s="581">
        <f t="shared" si="463"/>
        <v>107254</v>
      </c>
      <c r="AR350" s="581">
        <f t="shared" si="463"/>
        <v>97354</v>
      </c>
      <c r="AS350" s="581">
        <f t="shared" si="463"/>
        <v>6839215</v>
      </c>
      <c r="AT350" s="581">
        <f t="shared" si="463"/>
        <v>404489</v>
      </c>
      <c r="AU350" s="581">
        <f t="shared" si="463"/>
        <v>701291</v>
      </c>
      <c r="AV350" s="582">
        <f t="shared" si="463"/>
        <v>44.027200000000001</v>
      </c>
      <c r="AW350" s="582">
        <f t="shared" si="463"/>
        <v>29.183099999999996</v>
      </c>
      <c r="AX350" s="584">
        <f t="shared" si="463"/>
        <v>14.844099999999999</v>
      </c>
    </row>
    <row r="351" spans="1:50" ht="14.1" customHeight="1" x14ac:dyDescent="0.2">
      <c r="A351" s="585">
        <v>72</v>
      </c>
      <c r="B351" s="586">
        <v>2491</v>
      </c>
      <c r="C351" s="587">
        <v>600079775</v>
      </c>
      <c r="D351" s="586">
        <v>70983003</v>
      </c>
      <c r="E351" s="588" t="s">
        <v>716</v>
      </c>
      <c r="F351" s="585">
        <v>3113</v>
      </c>
      <c r="G351" s="588" t="s">
        <v>320</v>
      </c>
      <c r="H351" s="589" t="s">
        <v>283</v>
      </c>
      <c r="I351" s="495">
        <v>25461314</v>
      </c>
      <c r="J351" s="411">
        <v>18076292</v>
      </c>
      <c r="K351" s="520">
        <v>155220</v>
      </c>
      <c r="L351" s="520">
        <v>150220</v>
      </c>
      <c r="M351" s="475">
        <v>6111477</v>
      </c>
      <c r="N351" s="496">
        <v>361525</v>
      </c>
      <c r="O351" s="411">
        <v>756800</v>
      </c>
      <c r="P351" s="412">
        <v>33.905799999999999</v>
      </c>
      <c r="Q351" s="415">
        <v>26.949199999999998</v>
      </c>
      <c r="R351" s="685">
        <v>6.9565999999999999</v>
      </c>
      <c r="S351" s="499">
        <v>0</v>
      </c>
      <c r="T351" s="486">
        <v>0</v>
      </c>
      <c r="U351" s="486">
        <v>0</v>
      </c>
      <c r="V351" s="486">
        <f>SUM(S351:U351)</f>
        <v>0</v>
      </c>
      <c r="W351" s="486">
        <v>0</v>
      </c>
      <c r="X351" s="486">
        <v>0</v>
      </c>
      <c r="Y351" s="486">
        <f>SUM(W351:X351)</f>
        <v>0</v>
      </c>
      <c r="Z351" s="486">
        <f>V351+Y351</f>
        <v>0</v>
      </c>
      <c r="AA351" s="178">
        <f t="shared" si="439"/>
        <v>0</v>
      </c>
      <c r="AB351" s="745">
        <f>ROUND(V351*2%,0)</f>
        <v>0</v>
      </c>
      <c r="AC351" s="486">
        <v>0</v>
      </c>
      <c r="AD351" s="486">
        <v>0</v>
      </c>
      <c r="AE351" s="486">
        <f t="shared" si="440"/>
        <v>0</v>
      </c>
      <c r="AF351" s="486">
        <f t="shared" si="441"/>
        <v>0</v>
      </c>
      <c r="AG351" s="501">
        <v>0</v>
      </c>
      <c r="AH351" s="501">
        <v>0</v>
      </c>
      <c r="AI351" s="501">
        <v>0</v>
      </c>
      <c r="AJ351" s="501">
        <v>0</v>
      </c>
      <c r="AK351" s="501">
        <v>0</v>
      </c>
      <c r="AL351" s="501">
        <f t="shared" ref="AL351:AL354" si="464">AG351+AI351+AJ351</f>
        <v>0</v>
      </c>
      <c r="AM351" s="501">
        <f t="shared" ref="AM351:AM354" si="465">AH351+AK351</f>
        <v>0</v>
      </c>
      <c r="AN351" s="502">
        <f t="shared" si="442"/>
        <v>0</v>
      </c>
      <c r="AO351" s="499">
        <f>I351+AF351</f>
        <v>25461314</v>
      </c>
      <c r="AP351" s="486">
        <f>J351+V351</f>
        <v>18076292</v>
      </c>
      <c r="AQ351" s="486">
        <f>K351+Y351</f>
        <v>155220</v>
      </c>
      <c r="AR351" s="486">
        <f>L351</f>
        <v>150220</v>
      </c>
      <c r="AS351" s="486">
        <f t="shared" ref="AS351:AT354" si="466">M351+AA351</f>
        <v>6111477</v>
      </c>
      <c r="AT351" s="486">
        <f t="shared" si="466"/>
        <v>361525</v>
      </c>
      <c r="AU351" s="486">
        <f>O351+AE351</f>
        <v>756800</v>
      </c>
      <c r="AV351" s="501">
        <f>P351+AN351</f>
        <v>33.905799999999999</v>
      </c>
      <c r="AW351" s="501">
        <f t="shared" ref="AW351:AX354" si="467">Q351+AL351</f>
        <v>26.949199999999998</v>
      </c>
      <c r="AX351" s="502">
        <f t="shared" si="467"/>
        <v>6.9565999999999999</v>
      </c>
    </row>
    <row r="352" spans="1:50" ht="14.1" customHeight="1" x14ac:dyDescent="0.2">
      <c r="A352" s="585">
        <v>72</v>
      </c>
      <c r="B352" s="586">
        <v>2491</v>
      </c>
      <c r="C352" s="587">
        <v>600079775</v>
      </c>
      <c r="D352" s="586">
        <v>70983003</v>
      </c>
      <c r="E352" s="588" t="s">
        <v>716</v>
      </c>
      <c r="F352" s="585">
        <v>3113</v>
      </c>
      <c r="G352" s="208" t="s">
        <v>318</v>
      </c>
      <c r="H352" s="589" t="s">
        <v>284</v>
      </c>
      <c r="I352" s="495">
        <v>2353018</v>
      </c>
      <c r="J352" s="496">
        <v>1729947</v>
      </c>
      <c r="K352" s="475">
        <v>0</v>
      </c>
      <c r="L352" s="475">
        <v>0</v>
      </c>
      <c r="M352" s="475">
        <v>584722</v>
      </c>
      <c r="N352" s="496">
        <v>34599</v>
      </c>
      <c r="O352" s="496">
        <v>3750</v>
      </c>
      <c r="P352" s="412">
        <v>4.7</v>
      </c>
      <c r="Q352" s="497">
        <v>4.7</v>
      </c>
      <c r="R352" s="498">
        <v>0</v>
      </c>
      <c r="S352" s="499">
        <v>0</v>
      </c>
      <c r="T352" s="486">
        <v>0</v>
      </c>
      <c r="U352" s="486">
        <v>0</v>
      </c>
      <c r="V352" s="486">
        <f>SUM(S352:U352)</f>
        <v>0</v>
      </c>
      <c r="W352" s="486">
        <v>0</v>
      </c>
      <c r="X352" s="486">
        <v>0</v>
      </c>
      <c r="Y352" s="486">
        <f>SUM(W352:X352)</f>
        <v>0</v>
      </c>
      <c r="Z352" s="486">
        <f>V352+Y352</f>
        <v>0</v>
      </c>
      <c r="AA352" s="178">
        <f t="shared" si="439"/>
        <v>0</v>
      </c>
      <c r="AB352" s="745">
        <f>ROUND(V352*2%,0)</f>
        <v>0</v>
      </c>
      <c r="AC352" s="486">
        <v>0</v>
      </c>
      <c r="AD352" s="486">
        <v>0</v>
      </c>
      <c r="AE352" s="486">
        <f t="shared" si="440"/>
        <v>0</v>
      </c>
      <c r="AF352" s="486">
        <f t="shared" si="441"/>
        <v>0</v>
      </c>
      <c r="AG352" s="501">
        <v>0</v>
      </c>
      <c r="AH352" s="501">
        <v>0</v>
      </c>
      <c r="AI352" s="501">
        <v>0</v>
      </c>
      <c r="AJ352" s="501">
        <v>0</v>
      </c>
      <c r="AK352" s="501">
        <v>0</v>
      </c>
      <c r="AL352" s="501">
        <f t="shared" si="464"/>
        <v>0</v>
      </c>
      <c r="AM352" s="501">
        <f t="shared" si="465"/>
        <v>0</v>
      </c>
      <c r="AN352" s="502">
        <f t="shared" si="442"/>
        <v>0</v>
      </c>
      <c r="AO352" s="499">
        <f>I352+AF352</f>
        <v>2353018</v>
      </c>
      <c r="AP352" s="486">
        <f>J352+V352</f>
        <v>1729947</v>
      </c>
      <c r="AQ352" s="486">
        <f>K352+Y352</f>
        <v>0</v>
      </c>
      <c r="AR352" s="486">
        <f>L352</f>
        <v>0</v>
      </c>
      <c r="AS352" s="486">
        <f t="shared" si="466"/>
        <v>584722</v>
      </c>
      <c r="AT352" s="486">
        <f t="shared" si="466"/>
        <v>34599</v>
      </c>
      <c r="AU352" s="486">
        <f>O352+AE352</f>
        <v>3750</v>
      </c>
      <c r="AV352" s="501">
        <f>P352+AN352</f>
        <v>4.7</v>
      </c>
      <c r="AW352" s="501">
        <f t="shared" si="467"/>
        <v>4.7</v>
      </c>
      <c r="AX352" s="502">
        <f t="shared" si="467"/>
        <v>0</v>
      </c>
    </row>
    <row r="353" spans="1:50" ht="14.1" customHeight="1" x14ac:dyDescent="0.2">
      <c r="A353" s="585">
        <v>72</v>
      </c>
      <c r="B353" s="586">
        <v>2491</v>
      </c>
      <c r="C353" s="587">
        <v>600079775</v>
      </c>
      <c r="D353" s="586">
        <v>70983003</v>
      </c>
      <c r="E353" s="588" t="s">
        <v>716</v>
      </c>
      <c r="F353" s="585">
        <v>3143</v>
      </c>
      <c r="G353" s="208" t="s">
        <v>634</v>
      </c>
      <c r="H353" s="589" t="s">
        <v>283</v>
      </c>
      <c r="I353" s="495">
        <v>2206249</v>
      </c>
      <c r="J353" s="411">
        <v>1624631</v>
      </c>
      <c r="K353" s="520">
        <v>0</v>
      </c>
      <c r="L353" s="520">
        <v>0</v>
      </c>
      <c r="M353" s="475">
        <v>549125</v>
      </c>
      <c r="N353" s="496">
        <v>32493</v>
      </c>
      <c r="O353" s="496">
        <v>0</v>
      </c>
      <c r="P353" s="412">
        <v>3.5714000000000001</v>
      </c>
      <c r="Q353" s="415">
        <v>3.5714000000000001</v>
      </c>
      <c r="R353" s="498">
        <v>0</v>
      </c>
      <c r="S353" s="499">
        <v>0</v>
      </c>
      <c r="T353" s="486">
        <v>0</v>
      </c>
      <c r="U353" s="486">
        <v>0</v>
      </c>
      <c r="V353" s="486">
        <f>SUM(S353:U353)</f>
        <v>0</v>
      </c>
      <c r="W353" s="486">
        <v>0</v>
      </c>
      <c r="X353" s="486">
        <v>0</v>
      </c>
      <c r="Y353" s="486">
        <f>SUM(W353:X353)</f>
        <v>0</v>
      </c>
      <c r="Z353" s="486">
        <f>V353+Y353</f>
        <v>0</v>
      </c>
      <c r="AA353" s="178">
        <f t="shared" si="439"/>
        <v>0</v>
      </c>
      <c r="AB353" s="745">
        <f>ROUND(V353*2%,0)</f>
        <v>0</v>
      </c>
      <c r="AC353" s="486">
        <v>0</v>
      </c>
      <c r="AD353" s="486">
        <v>0</v>
      </c>
      <c r="AE353" s="486">
        <f t="shared" si="440"/>
        <v>0</v>
      </c>
      <c r="AF353" s="486">
        <f t="shared" si="441"/>
        <v>0</v>
      </c>
      <c r="AG353" s="501">
        <v>0</v>
      </c>
      <c r="AH353" s="501">
        <v>0</v>
      </c>
      <c r="AI353" s="501">
        <v>0</v>
      </c>
      <c r="AJ353" s="501">
        <v>0</v>
      </c>
      <c r="AK353" s="501">
        <v>0</v>
      </c>
      <c r="AL353" s="501">
        <f t="shared" si="464"/>
        <v>0</v>
      </c>
      <c r="AM353" s="501">
        <f t="shared" si="465"/>
        <v>0</v>
      </c>
      <c r="AN353" s="502">
        <f t="shared" si="442"/>
        <v>0</v>
      </c>
      <c r="AO353" s="499">
        <f>I353+AF353</f>
        <v>2206249</v>
      </c>
      <c r="AP353" s="486">
        <f>J353+V353</f>
        <v>1624631</v>
      </c>
      <c r="AQ353" s="486">
        <f>K353+Y353</f>
        <v>0</v>
      </c>
      <c r="AR353" s="486">
        <f>L353</f>
        <v>0</v>
      </c>
      <c r="AS353" s="486">
        <f t="shared" si="466"/>
        <v>549125</v>
      </c>
      <c r="AT353" s="486">
        <f t="shared" si="466"/>
        <v>32493</v>
      </c>
      <c r="AU353" s="486">
        <f>O353+AE353</f>
        <v>0</v>
      </c>
      <c r="AV353" s="501">
        <f>P353+AN353</f>
        <v>3.5714000000000001</v>
      </c>
      <c r="AW353" s="501">
        <f t="shared" si="467"/>
        <v>3.5714000000000001</v>
      </c>
      <c r="AX353" s="502">
        <f t="shared" si="467"/>
        <v>0</v>
      </c>
    </row>
    <row r="354" spans="1:50" ht="14.1" customHeight="1" x14ac:dyDescent="0.2">
      <c r="A354" s="585">
        <v>72</v>
      </c>
      <c r="B354" s="586">
        <v>2491</v>
      </c>
      <c r="C354" s="587">
        <v>600079775</v>
      </c>
      <c r="D354" s="586">
        <v>70983003</v>
      </c>
      <c r="E354" s="588" t="s">
        <v>716</v>
      </c>
      <c r="F354" s="585">
        <v>3143</v>
      </c>
      <c r="G354" s="208" t="s">
        <v>635</v>
      </c>
      <c r="H354" s="589" t="s">
        <v>284</v>
      </c>
      <c r="I354" s="495">
        <v>63199</v>
      </c>
      <c r="J354" s="496">
        <v>44550</v>
      </c>
      <c r="K354" s="475">
        <v>0</v>
      </c>
      <c r="L354" s="475">
        <v>0</v>
      </c>
      <c r="M354" s="475">
        <v>15058</v>
      </c>
      <c r="N354" s="496">
        <v>891</v>
      </c>
      <c r="O354" s="496">
        <v>2700</v>
      </c>
      <c r="P354" s="412">
        <v>0.19</v>
      </c>
      <c r="Q354" s="497">
        <v>0</v>
      </c>
      <c r="R354" s="498">
        <v>0.19</v>
      </c>
      <c r="S354" s="499">
        <v>0</v>
      </c>
      <c r="T354" s="486">
        <v>0</v>
      </c>
      <c r="U354" s="486">
        <v>0</v>
      </c>
      <c r="V354" s="486">
        <f>SUM(S354:U354)</f>
        <v>0</v>
      </c>
      <c r="W354" s="486">
        <v>0</v>
      </c>
      <c r="X354" s="486">
        <v>0</v>
      </c>
      <c r="Y354" s="486">
        <f>SUM(W354:X354)</f>
        <v>0</v>
      </c>
      <c r="Z354" s="486">
        <f>V354+Y354</f>
        <v>0</v>
      </c>
      <c r="AA354" s="178">
        <f t="shared" si="439"/>
        <v>0</v>
      </c>
      <c r="AB354" s="745">
        <f>ROUND(V354*2%,0)</f>
        <v>0</v>
      </c>
      <c r="AC354" s="486">
        <v>0</v>
      </c>
      <c r="AD354" s="486">
        <v>0</v>
      </c>
      <c r="AE354" s="486">
        <f t="shared" si="440"/>
        <v>0</v>
      </c>
      <c r="AF354" s="486">
        <f t="shared" si="441"/>
        <v>0</v>
      </c>
      <c r="AG354" s="501">
        <v>0</v>
      </c>
      <c r="AH354" s="501">
        <v>0</v>
      </c>
      <c r="AI354" s="501">
        <v>0</v>
      </c>
      <c r="AJ354" s="501">
        <v>0</v>
      </c>
      <c r="AK354" s="501">
        <v>0</v>
      </c>
      <c r="AL354" s="501">
        <f t="shared" si="464"/>
        <v>0</v>
      </c>
      <c r="AM354" s="501">
        <f t="shared" si="465"/>
        <v>0</v>
      </c>
      <c r="AN354" s="502">
        <f t="shared" si="442"/>
        <v>0</v>
      </c>
      <c r="AO354" s="499">
        <f>I354+AF354</f>
        <v>63199</v>
      </c>
      <c r="AP354" s="486">
        <f>J354+V354</f>
        <v>44550</v>
      </c>
      <c r="AQ354" s="486">
        <f>K354+Y354</f>
        <v>0</v>
      </c>
      <c r="AR354" s="486">
        <f>L354</f>
        <v>0</v>
      </c>
      <c r="AS354" s="486">
        <f t="shared" si="466"/>
        <v>15058</v>
      </c>
      <c r="AT354" s="486">
        <f t="shared" si="466"/>
        <v>891</v>
      </c>
      <c r="AU354" s="486">
        <f>O354+AE354</f>
        <v>2700</v>
      </c>
      <c r="AV354" s="501">
        <f>P354+AN354</f>
        <v>0.19</v>
      </c>
      <c r="AW354" s="501">
        <f t="shared" si="467"/>
        <v>0</v>
      </c>
      <c r="AX354" s="502">
        <f t="shared" si="467"/>
        <v>0.19</v>
      </c>
    </row>
    <row r="355" spans="1:50" ht="14.1" customHeight="1" x14ac:dyDescent="0.2">
      <c r="A355" s="181">
        <v>72</v>
      </c>
      <c r="B355" s="179">
        <v>2491</v>
      </c>
      <c r="C355" s="180">
        <v>600079775</v>
      </c>
      <c r="D355" s="179">
        <v>70983003</v>
      </c>
      <c r="E355" s="578" t="s">
        <v>717</v>
      </c>
      <c r="F355" s="181"/>
      <c r="G355" s="578"/>
      <c r="H355" s="579"/>
      <c r="I355" s="580">
        <v>30083780</v>
      </c>
      <c r="J355" s="581">
        <v>21475420</v>
      </c>
      <c r="K355" s="581">
        <v>155220</v>
      </c>
      <c r="L355" s="581">
        <v>150220</v>
      </c>
      <c r="M355" s="581">
        <v>7260382</v>
      </c>
      <c r="N355" s="581">
        <v>429508</v>
      </c>
      <c r="O355" s="581">
        <v>763250</v>
      </c>
      <c r="P355" s="582">
        <v>42.367199999999997</v>
      </c>
      <c r="Q355" s="582">
        <v>35.220599999999997</v>
      </c>
      <c r="R355" s="584">
        <v>7.1466000000000003</v>
      </c>
      <c r="S355" s="583">
        <f t="shared" ref="S355:AX355" si="468">SUM(S351:S354)</f>
        <v>0</v>
      </c>
      <c r="T355" s="581">
        <f t="shared" si="468"/>
        <v>0</v>
      </c>
      <c r="U355" s="581">
        <f t="shared" si="468"/>
        <v>0</v>
      </c>
      <c r="V355" s="581">
        <f t="shared" si="468"/>
        <v>0</v>
      </c>
      <c r="W355" s="581">
        <f t="shared" si="468"/>
        <v>0</v>
      </c>
      <c r="X355" s="581">
        <f t="shared" si="468"/>
        <v>0</v>
      </c>
      <c r="Y355" s="581">
        <f t="shared" si="468"/>
        <v>0</v>
      </c>
      <c r="Z355" s="581">
        <f t="shared" si="468"/>
        <v>0</v>
      </c>
      <c r="AA355" s="581">
        <f t="shared" si="468"/>
        <v>0</v>
      </c>
      <c r="AB355" s="583">
        <f t="shared" si="468"/>
        <v>0</v>
      </c>
      <c r="AC355" s="581">
        <f t="shared" si="468"/>
        <v>0</v>
      </c>
      <c r="AD355" s="581">
        <f t="shared" si="468"/>
        <v>0</v>
      </c>
      <c r="AE355" s="581">
        <f t="shared" si="468"/>
        <v>0</v>
      </c>
      <c r="AF355" s="581">
        <f t="shared" si="468"/>
        <v>0</v>
      </c>
      <c r="AG355" s="582">
        <f t="shared" si="468"/>
        <v>0</v>
      </c>
      <c r="AH355" s="582">
        <f t="shared" si="468"/>
        <v>0</v>
      </c>
      <c r="AI355" s="582">
        <f t="shared" si="468"/>
        <v>0</v>
      </c>
      <c r="AJ355" s="582">
        <f t="shared" si="468"/>
        <v>0</v>
      </c>
      <c r="AK355" s="582">
        <f t="shared" si="468"/>
        <v>0</v>
      </c>
      <c r="AL355" s="582">
        <f t="shared" si="468"/>
        <v>0</v>
      </c>
      <c r="AM355" s="582">
        <f t="shared" si="468"/>
        <v>0</v>
      </c>
      <c r="AN355" s="584">
        <f t="shared" si="468"/>
        <v>0</v>
      </c>
      <c r="AO355" s="583">
        <f t="shared" si="468"/>
        <v>30083780</v>
      </c>
      <c r="AP355" s="581">
        <f t="shared" si="468"/>
        <v>21475420</v>
      </c>
      <c r="AQ355" s="581">
        <f t="shared" si="468"/>
        <v>155220</v>
      </c>
      <c r="AR355" s="581">
        <f t="shared" si="468"/>
        <v>150220</v>
      </c>
      <c r="AS355" s="581">
        <f t="shared" si="468"/>
        <v>7260382</v>
      </c>
      <c r="AT355" s="581">
        <f t="shared" si="468"/>
        <v>429508</v>
      </c>
      <c r="AU355" s="581">
        <f t="shared" si="468"/>
        <v>763250</v>
      </c>
      <c r="AV355" s="582">
        <f t="shared" si="468"/>
        <v>42.367199999999997</v>
      </c>
      <c r="AW355" s="582">
        <f t="shared" si="468"/>
        <v>35.220599999999997</v>
      </c>
      <c r="AX355" s="584">
        <f t="shared" si="468"/>
        <v>7.1466000000000003</v>
      </c>
    </row>
    <row r="356" spans="1:50" ht="14.1" customHeight="1" x14ac:dyDescent="0.2">
      <c r="A356" s="585">
        <v>73</v>
      </c>
      <c r="B356" s="586">
        <v>2459</v>
      </c>
      <c r="C356" s="587">
        <v>650030583</v>
      </c>
      <c r="D356" s="586">
        <v>72744707</v>
      </c>
      <c r="E356" s="588" t="s">
        <v>718</v>
      </c>
      <c r="F356" s="585">
        <v>3111</v>
      </c>
      <c r="G356" s="588" t="s">
        <v>317</v>
      </c>
      <c r="H356" s="589" t="s">
        <v>283</v>
      </c>
      <c r="I356" s="495">
        <v>3069758</v>
      </c>
      <c r="J356" s="411">
        <v>2230830</v>
      </c>
      <c r="K356" s="520">
        <v>5000</v>
      </c>
      <c r="L356" s="520">
        <v>0</v>
      </c>
      <c r="M356" s="475">
        <v>755711</v>
      </c>
      <c r="N356" s="496">
        <v>44617</v>
      </c>
      <c r="O356" s="411">
        <v>33600</v>
      </c>
      <c r="P356" s="412">
        <v>5.0118</v>
      </c>
      <c r="Q356" s="415">
        <v>3.99</v>
      </c>
      <c r="R356" s="685">
        <v>1.0218</v>
      </c>
      <c r="S356" s="499">
        <v>0</v>
      </c>
      <c r="T356" s="486">
        <v>0</v>
      </c>
      <c r="U356" s="486">
        <v>0</v>
      </c>
      <c r="V356" s="486">
        <f t="shared" ref="V356:V361" si="469">SUM(S356:U356)</f>
        <v>0</v>
      </c>
      <c r="W356" s="486">
        <v>0</v>
      </c>
      <c r="X356" s="486">
        <v>0</v>
      </c>
      <c r="Y356" s="486">
        <f t="shared" ref="Y356:Y361" si="470">SUM(W356:X356)</f>
        <v>0</v>
      </c>
      <c r="Z356" s="486">
        <f t="shared" ref="Z356:Z361" si="471">V356+Y356</f>
        <v>0</v>
      </c>
      <c r="AA356" s="178">
        <f t="shared" si="439"/>
        <v>0</v>
      </c>
      <c r="AB356" s="745">
        <f t="shared" ref="AB356:AB361" si="472">ROUND(V356*2%,0)</f>
        <v>0</v>
      </c>
      <c r="AC356" s="486">
        <v>0</v>
      </c>
      <c r="AD356" s="486">
        <v>0</v>
      </c>
      <c r="AE356" s="486">
        <f t="shared" si="440"/>
        <v>0</v>
      </c>
      <c r="AF356" s="486">
        <f t="shared" si="441"/>
        <v>0</v>
      </c>
      <c r="AG356" s="501">
        <v>0</v>
      </c>
      <c r="AH356" s="501">
        <v>0</v>
      </c>
      <c r="AI356" s="501">
        <v>0</v>
      </c>
      <c r="AJ356" s="501">
        <v>0</v>
      </c>
      <c r="AK356" s="501">
        <v>0</v>
      </c>
      <c r="AL356" s="501">
        <f t="shared" ref="AL356:AL361" si="473">AG356+AI356+AJ356</f>
        <v>0</v>
      </c>
      <c r="AM356" s="501">
        <f t="shared" ref="AM356:AM361" si="474">AH356+AK356</f>
        <v>0</v>
      </c>
      <c r="AN356" s="502">
        <f t="shared" si="442"/>
        <v>0</v>
      </c>
      <c r="AO356" s="499">
        <f t="shared" ref="AO356:AO361" si="475">I356+AF356</f>
        <v>3069758</v>
      </c>
      <c r="AP356" s="486">
        <f t="shared" ref="AP356:AP361" si="476">J356+V356</f>
        <v>2230830</v>
      </c>
      <c r="AQ356" s="486">
        <f t="shared" ref="AQ356:AQ361" si="477">K356+Y356</f>
        <v>5000</v>
      </c>
      <c r="AR356" s="486">
        <f t="shared" ref="AR356:AR361" si="478">L356</f>
        <v>0</v>
      </c>
      <c r="AS356" s="486">
        <f t="shared" ref="AS356:AT361" si="479">M356+AA356</f>
        <v>755711</v>
      </c>
      <c r="AT356" s="486">
        <f t="shared" si="479"/>
        <v>44617</v>
      </c>
      <c r="AU356" s="486">
        <f t="shared" ref="AU356:AU361" si="480">O356+AE356</f>
        <v>33600</v>
      </c>
      <c r="AV356" s="501">
        <f t="shared" ref="AV356:AV361" si="481">P356+AN356</f>
        <v>5.0118</v>
      </c>
      <c r="AW356" s="501">
        <f t="shared" ref="AW356:AX361" si="482">Q356+AL356</f>
        <v>3.99</v>
      </c>
      <c r="AX356" s="502">
        <f t="shared" si="482"/>
        <v>1.0218</v>
      </c>
    </row>
    <row r="357" spans="1:50" ht="14.1" customHeight="1" x14ac:dyDescent="0.2">
      <c r="A357" s="585">
        <v>73</v>
      </c>
      <c r="B357" s="586">
        <v>2459</v>
      </c>
      <c r="C357" s="587">
        <v>650030583</v>
      </c>
      <c r="D357" s="586">
        <v>72744707</v>
      </c>
      <c r="E357" s="588" t="s">
        <v>718</v>
      </c>
      <c r="F357" s="585">
        <v>3117</v>
      </c>
      <c r="G357" s="588" t="s">
        <v>320</v>
      </c>
      <c r="H357" s="589" t="s">
        <v>283</v>
      </c>
      <c r="I357" s="495">
        <v>6075234</v>
      </c>
      <c r="J357" s="411">
        <v>4303571</v>
      </c>
      <c r="K357" s="520">
        <v>24916</v>
      </c>
      <c r="L357" s="520">
        <v>9916</v>
      </c>
      <c r="M357" s="475">
        <v>1459676</v>
      </c>
      <c r="N357" s="496">
        <v>86071</v>
      </c>
      <c r="O357" s="411">
        <v>201000</v>
      </c>
      <c r="P357" s="412">
        <v>7.9454000000000011</v>
      </c>
      <c r="Q357" s="415">
        <v>4.9800000000000004</v>
      </c>
      <c r="R357" s="685">
        <v>2.9653999999999998</v>
      </c>
      <c r="S357" s="499">
        <v>0</v>
      </c>
      <c r="T357" s="486">
        <v>0</v>
      </c>
      <c r="U357" s="486">
        <v>0</v>
      </c>
      <c r="V357" s="486">
        <f t="shared" si="469"/>
        <v>0</v>
      </c>
      <c r="W357" s="486">
        <v>0</v>
      </c>
      <c r="X357" s="486">
        <v>0</v>
      </c>
      <c r="Y357" s="486">
        <f t="shared" si="470"/>
        <v>0</v>
      </c>
      <c r="Z357" s="486">
        <f t="shared" si="471"/>
        <v>0</v>
      </c>
      <c r="AA357" s="178">
        <f t="shared" si="439"/>
        <v>0</v>
      </c>
      <c r="AB357" s="745">
        <f t="shared" si="472"/>
        <v>0</v>
      </c>
      <c r="AC357" s="486">
        <v>0</v>
      </c>
      <c r="AD357" s="486">
        <v>0</v>
      </c>
      <c r="AE357" s="486">
        <f t="shared" si="440"/>
        <v>0</v>
      </c>
      <c r="AF357" s="486">
        <f t="shared" si="441"/>
        <v>0</v>
      </c>
      <c r="AG357" s="501">
        <v>0</v>
      </c>
      <c r="AH357" s="501">
        <v>0</v>
      </c>
      <c r="AI357" s="501">
        <v>0</v>
      </c>
      <c r="AJ357" s="501">
        <v>0</v>
      </c>
      <c r="AK357" s="501">
        <v>0</v>
      </c>
      <c r="AL357" s="501">
        <f t="shared" si="473"/>
        <v>0</v>
      </c>
      <c r="AM357" s="501">
        <f t="shared" si="474"/>
        <v>0</v>
      </c>
      <c r="AN357" s="502">
        <f t="shared" si="442"/>
        <v>0</v>
      </c>
      <c r="AO357" s="499">
        <f t="shared" si="475"/>
        <v>6075234</v>
      </c>
      <c r="AP357" s="486">
        <f t="shared" si="476"/>
        <v>4303571</v>
      </c>
      <c r="AQ357" s="486">
        <f t="shared" si="477"/>
        <v>24916</v>
      </c>
      <c r="AR357" s="486">
        <f t="shared" si="478"/>
        <v>9916</v>
      </c>
      <c r="AS357" s="486">
        <f t="shared" si="479"/>
        <v>1459676</v>
      </c>
      <c r="AT357" s="486">
        <f t="shared" si="479"/>
        <v>86071</v>
      </c>
      <c r="AU357" s="486">
        <f t="shared" si="480"/>
        <v>201000</v>
      </c>
      <c r="AV357" s="501">
        <f t="shared" si="481"/>
        <v>7.9454000000000011</v>
      </c>
      <c r="AW357" s="501">
        <f t="shared" si="482"/>
        <v>4.9800000000000004</v>
      </c>
      <c r="AX357" s="502">
        <f t="shared" si="482"/>
        <v>2.9653999999999998</v>
      </c>
    </row>
    <row r="358" spans="1:50" ht="14.1" customHeight="1" x14ac:dyDescent="0.2">
      <c r="A358" s="585">
        <v>73</v>
      </c>
      <c r="B358" s="586">
        <v>2459</v>
      </c>
      <c r="C358" s="587">
        <v>650030583</v>
      </c>
      <c r="D358" s="586">
        <v>72744707</v>
      </c>
      <c r="E358" s="588" t="s">
        <v>718</v>
      </c>
      <c r="F358" s="585">
        <v>3117</v>
      </c>
      <c r="G358" s="208" t="s">
        <v>318</v>
      </c>
      <c r="H358" s="589" t="s">
        <v>284</v>
      </c>
      <c r="I358" s="495">
        <v>278721</v>
      </c>
      <c r="J358" s="496">
        <v>203771</v>
      </c>
      <c r="K358" s="475">
        <v>0</v>
      </c>
      <c r="L358" s="475">
        <v>0</v>
      </c>
      <c r="M358" s="475">
        <v>68875</v>
      </c>
      <c r="N358" s="496">
        <v>4075</v>
      </c>
      <c r="O358" s="496">
        <v>2000</v>
      </c>
      <c r="P358" s="412">
        <v>0.59000000000000008</v>
      </c>
      <c r="Q358" s="497">
        <v>0.59000000000000008</v>
      </c>
      <c r="R358" s="498">
        <v>0</v>
      </c>
      <c r="S358" s="499">
        <v>0</v>
      </c>
      <c r="T358" s="486">
        <v>0</v>
      </c>
      <c r="U358" s="486">
        <v>0</v>
      </c>
      <c r="V358" s="486">
        <f t="shared" si="469"/>
        <v>0</v>
      </c>
      <c r="W358" s="486">
        <v>0</v>
      </c>
      <c r="X358" s="486">
        <v>0</v>
      </c>
      <c r="Y358" s="486">
        <f t="shared" si="470"/>
        <v>0</v>
      </c>
      <c r="Z358" s="486">
        <f t="shared" si="471"/>
        <v>0</v>
      </c>
      <c r="AA358" s="178">
        <f t="shared" si="439"/>
        <v>0</v>
      </c>
      <c r="AB358" s="745">
        <f t="shared" si="472"/>
        <v>0</v>
      </c>
      <c r="AC358" s="486">
        <v>0</v>
      </c>
      <c r="AD358" s="486">
        <v>0</v>
      </c>
      <c r="AE358" s="486">
        <f t="shared" si="440"/>
        <v>0</v>
      </c>
      <c r="AF358" s="486">
        <f t="shared" si="441"/>
        <v>0</v>
      </c>
      <c r="AG358" s="501">
        <v>0</v>
      </c>
      <c r="AH358" s="501">
        <v>0</v>
      </c>
      <c r="AI358" s="501">
        <v>0</v>
      </c>
      <c r="AJ358" s="501">
        <v>0</v>
      </c>
      <c r="AK358" s="501">
        <v>0</v>
      </c>
      <c r="AL358" s="501">
        <f t="shared" si="473"/>
        <v>0</v>
      </c>
      <c r="AM358" s="501">
        <f t="shared" si="474"/>
        <v>0</v>
      </c>
      <c r="AN358" s="502">
        <f t="shared" si="442"/>
        <v>0</v>
      </c>
      <c r="AO358" s="499">
        <f t="shared" si="475"/>
        <v>278721</v>
      </c>
      <c r="AP358" s="486">
        <f t="shared" si="476"/>
        <v>203771</v>
      </c>
      <c r="AQ358" s="486">
        <f t="shared" si="477"/>
        <v>0</v>
      </c>
      <c r="AR358" s="486">
        <f t="shared" si="478"/>
        <v>0</v>
      </c>
      <c r="AS358" s="486">
        <f t="shared" si="479"/>
        <v>68875</v>
      </c>
      <c r="AT358" s="486">
        <f t="shared" si="479"/>
        <v>4075</v>
      </c>
      <c r="AU358" s="486">
        <f t="shared" si="480"/>
        <v>2000</v>
      </c>
      <c r="AV358" s="501">
        <f t="shared" si="481"/>
        <v>0.59000000000000008</v>
      </c>
      <c r="AW358" s="501">
        <f t="shared" si="482"/>
        <v>0.59000000000000008</v>
      </c>
      <c r="AX358" s="502">
        <f t="shared" si="482"/>
        <v>0</v>
      </c>
    </row>
    <row r="359" spans="1:50" ht="14.1" customHeight="1" x14ac:dyDescent="0.2">
      <c r="A359" s="585">
        <v>73</v>
      </c>
      <c r="B359" s="586">
        <v>2459</v>
      </c>
      <c r="C359" s="587">
        <v>650030583</v>
      </c>
      <c r="D359" s="586">
        <v>72744707</v>
      </c>
      <c r="E359" s="588" t="s">
        <v>718</v>
      </c>
      <c r="F359" s="585">
        <v>3141</v>
      </c>
      <c r="G359" s="588" t="s">
        <v>321</v>
      </c>
      <c r="H359" s="589" t="s">
        <v>284</v>
      </c>
      <c r="I359" s="495">
        <v>1158153</v>
      </c>
      <c r="J359" s="496">
        <v>848224</v>
      </c>
      <c r="K359" s="475">
        <v>0</v>
      </c>
      <c r="L359" s="475">
        <v>0</v>
      </c>
      <c r="M359" s="475">
        <v>286700</v>
      </c>
      <c r="N359" s="496">
        <v>16965</v>
      </c>
      <c r="O359" s="496">
        <v>6264</v>
      </c>
      <c r="P359" s="412">
        <v>2.8800000000000003</v>
      </c>
      <c r="Q359" s="497">
        <v>0</v>
      </c>
      <c r="R359" s="498">
        <v>2.8800000000000003</v>
      </c>
      <c r="S359" s="499">
        <v>0</v>
      </c>
      <c r="T359" s="486">
        <v>0</v>
      </c>
      <c r="U359" s="486">
        <v>0</v>
      </c>
      <c r="V359" s="486">
        <f t="shared" si="469"/>
        <v>0</v>
      </c>
      <c r="W359" s="486">
        <v>0</v>
      </c>
      <c r="X359" s="486">
        <v>0</v>
      </c>
      <c r="Y359" s="486">
        <f t="shared" si="470"/>
        <v>0</v>
      </c>
      <c r="Z359" s="486">
        <f t="shared" si="471"/>
        <v>0</v>
      </c>
      <c r="AA359" s="178">
        <f t="shared" si="439"/>
        <v>0</v>
      </c>
      <c r="AB359" s="745">
        <f t="shared" si="472"/>
        <v>0</v>
      </c>
      <c r="AC359" s="486">
        <v>0</v>
      </c>
      <c r="AD359" s="486">
        <v>0</v>
      </c>
      <c r="AE359" s="486">
        <f t="shared" si="440"/>
        <v>0</v>
      </c>
      <c r="AF359" s="486">
        <f t="shared" si="441"/>
        <v>0</v>
      </c>
      <c r="AG359" s="501">
        <v>0</v>
      </c>
      <c r="AH359" s="501">
        <v>0</v>
      </c>
      <c r="AI359" s="501">
        <v>0</v>
      </c>
      <c r="AJ359" s="501">
        <v>0</v>
      </c>
      <c r="AK359" s="501">
        <v>0</v>
      </c>
      <c r="AL359" s="501">
        <f t="shared" si="473"/>
        <v>0</v>
      </c>
      <c r="AM359" s="501">
        <f t="shared" si="474"/>
        <v>0</v>
      </c>
      <c r="AN359" s="502">
        <f t="shared" si="442"/>
        <v>0</v>
      </c>
      <c r="AO359" s="499">
        <f t="shared" si="475"/>
        <v>1158153</v>
      </c>
      <c r="AP359" s="486">
        <f t="shared" si="476"/>
        <v>848224</v>
      </c>
      <c r="AQ359" s="486">
        <f t="shared" si="477"/>
        <v>0</v>
      </c>
      <c r="AR359" s="486">
        <f t="shared" si="478"/>
        <v>0</v>
      </c>
      <c r="AS359" s="486">
        <f t="shared" si="479"/>
        <v>286700</v>
      </c>
      <c r="AT359" s="486">
        <f t="shared" si="479"/>
        <v>16965</v>
      </c>
      <c r="AU359" s="486">
        <f t="shared" si="480"/>
        <v>6264</v>
      </c>
      <c r="AV359" s="501">
        <f t="shared" si="481"/>
        <v>2.8800000000000003</v>
      </c>
      <c r="AW359" s="501">
        <f t="shared" si="482"/>
        <v>0</v>
      </c>
      <c r="AX359" s="502">
        <f t="shared" si="482"/>
        <v>2.8800000000000003</v>
      </c>
    </row>
    <row r="360" spans="1:50" ht="14.1" customHeight="1" x14ac:dyDescent="0.2">
      <c r="A360" s="585">
        <v>73</v>
      </c>
      <c r="B360" s="586">
        <v>2459</v>
      </c>
      <c r="C360" s="587">
        <v>650030583</v>
      </c>
      <c r="D360" s="586">
        <v>72744707</v>
      </c>
      <c r="E360" s="588" t="s">
        <v>718</v>
      </c>
      <c r="F360" s="585">
        <v>3143</v>
      </c>
      <c r="G360" s="208" t="s">
        <v>634</v>
      </c>
      <c r="H360" s="589" t="s">
        <v>283</v>
      </c>
      <c r="I360" s="495">
        <v>385954</v>
      </c>
      <c r="J360" s="411">
        <v>264502</v>
      </c>
      <c r="K360" s="520">
        <v>20000</v>
      </c>
      <c r="L360" s="520">
        <v>0</v>
      </c>
      <c r="M360" s="475">
        <v>96162</v>
      </c>
      <c r="N360" s="496">
        <v>5290</v>
      </c>
      <c r="O360" s="496">
        <v>0</v>
      </c>
      <c r="P360" s="412">
        <v>0.61</v>
      </c>
      <c r="Q360" s="415">
        <v>0.61</v>
      </c>
      <c r="R360" s="498">
        <v>0</v>
      </c>
      <c r="S360" s="499">
        <v>0</v>
      </c>
      <c r="T360" s="486">
        <v>0</v>
      </c>
      <c r="U360" s="486">
        <v>0</v>
      </c>
      <c r="V360" s="486">
        <f t="shared" si="469"/>
        <v>0</v>
      </c>
      <c r="W360" s="486">
        <v>0</v>
      </c>
      <c r="X360" s="486">
        <v>0</v>
      </c>
      <c r="Y360" s="486">
        <f t="shared" si="470"/>
        <v>0</v>
      </c>
      <c r="Z360" s="486">
        <f t="shared" si="471"/>
        <v>0</v>
      </c>
      <c r="AA360" s="178">
        <f t="shared" si="439"/>
        <v>0</v>
      </c>
      <c r="AB360" s="745">
        <f t="shared" si="472"/>
        <v>0</v>
      </c>
      <c r="AC360" s="486">
        <v>0</v>
      </c>
      <c r="AD360" s="486">
        <v>0</v>
      </c>
      <c r="AE360" s="486">
        <f t="shared" si="440"/>
        <v>0</v>
      </c>
      <c r="AF360" s="486">
        <f t="shared" si="441"/>
        <v>0</v>
      </c>
      <c r="AG360" s="501">
        <v>0</v>
      </c>
      <c r="AH360" s="501">
        <v>0</v>
      </c>
      <c r="AI360" s="501">
        <v>0</v>
      </c>
      <c r="AJ360" s="501">
        <v>0</v>
      </c>
      <c r="AK360" s="501">
        <v>0</v>
      </c>
      <c r="AL360" s="501">
        <f t="shared" si="473"/>
        <v>0</v>
      </c>
      <c r="AM360" s="501">
        <f t="shared" si="474"/>
        <v>0</v>
      </c>
      <c r="AN360" s="502">
        <f t="shared" si="442"/>
        <v>0</v>
      </c>
      <c r="AO360" s="499">
        <f t="shared" si="475"/>
        <v>385954</v>
      </c>
      <c r="AP360" s="486">
        <f t="shared" si="476"/>
        <v>264502</v>
      </c>
      <c r="AQ360" s="486">
        <f t="shared" si="477"/>
        <v>20000</v>
      </c>
      <c r="AR360" s="486">
        <f t="shared" si="478"/>
        <v>0</v>
      </c>
      <c r="AS360" s="486">
        <f t="shared" si="479"/>
        <v>96162</v>
      </c>
      <c r="AT360" s="486">
        <f t="shared" si="479"/>
        <v>5290</v>
      </c>
      <c r="AU360" s="486">
        <f t="shared" si="480"/>
        <v>0</v>
      </c>
      <c r="AV360" s="501">
        <f t="shared" si="481"/>
        <v>0.61</v>
      </c>
      <c r="AW360" s="501">
        <f t="shared" si="482"/>
        <v>0.61</v>
      </c>
      <c r="AX360" s="502">
        <f t="shared" si="482"/>
        <v>0</v>
      </c>
    </row>
    <row r="361" spans="1:50" ht="14.1" customHeight="1" x14ac:dyDescent="0.2">
      <c r="A361" s="585">
        <v>73</v>
      </c>
      <c r="B361" s="586">
        <v>2459</v>
      </c>
      <c r="C361" s="587">
        <v>650030583</v>
      </c>
      <c r="D361" s="586">
        <v>72744707</v>
      </c>
      <c r="E361" s="588" t="s">
        <v>718</v>
      </c>
      <c r="F361" s="585">
        <v>3143</v>
      </c>
      <c r="G361" s="208" t="s">
        <v>635</v>
      </c>
      <c r="H361" s="589" t="s">
        <v>284</v>
      </c>
      <c r="I361" s="495">
        <v>14044</v>
      </c>
      <c r="J361" s="496">
        <v>9900</v>
      </c>
      <c r="K361" s="475">
        <v>0</v>
      </c>
      <c r="L361" s="475">
        <v>0</v>
      </c>
      <c r="M361" s="475">
        <v>3346</v>
      </c>
      <c r="N361" s="496">
        <v>198</v>
      </c>
      <c r="O361" s="496">
        <v>600</v>
      </c>
      <c r="P361" s="412">
        <v>0.04</v>
      </c>
      <c r="Q361" s="497">
        <v>0</v>
      </c>
      <c r="R361" s="498">
        <v>0.04</v>
      </c>
      <c r="S361" s="499">
        <v>0</v>
      </c>
      <c r="T361" s="486">
        <v>0</v>
      </c>
      <c r="U361" s="486">
        <v>0</v>
      </c>
      <c r="V361" s="486">
        <f t="shared" si="469"/>
        <v>0</v>
      </c>
      <c r="W361" s="486">
        <v>0</v>
      </c>
      <c r="X361" s="486">
        <v>0</v>
      </c>
      <c r="Y361" s="486">
        <f t="shared" si="470"/>
        <v>0</v>
      </c>
      <c r="Z361" s="486">
        <f t="shared" si="471"/>
        <v>0</v>
      </c>
      <c r="AA361" s="178">
        <f t="shared" si="439"/>
        <v>0</v>
      </c>
      <c r="AB361" s="745">
        <f t="shared" si="472"/>
        <v>0</v>
      </c>
      <c r="AC361" s="486">
        <v>0</v>
      </c>
      <c r="AD361" s="486">
        <v>0</v>
      </c>
      <c r="AE361" s="486">
        <f t="shared" si="440"/>
        <v>0</v>
      </c>
      <c r="AF361" s="486">
        <f t="shared" si="441"/>
        <v>0</v>
      </c>
      <c r="AG361" s="501">
        <v>0</v>
      </c>
      <c r="AH361" s="501">
        <v>0</v>
      </c>
      <c r="AI361" s="501">
        <v>0</v>
      </c>
      <c r="AJ361" s="501">
        <v>0</v>
      </c>
      <c r="AK361" s="501">
        <v>0</v>
      </c>
      <c r="AL361" s="501">
        <f t="shared" si="473"/>
        <v>0</v>
      </c>
      <c r="AM361" s="501">
        <f t="shared" si="474"/>
        <v>0</v>
      </c>
      <c r="AN361" s="502">
        <f t="shared" si="442"/>
        <v>0</v>
      </c>
      <c r="AO361" s="499">
        <f t="shared" si="475"/>
        <v>14044</v>
      </c>
      <c r="AP361" s="486">
        <f t="shared" si="476"/>
        <v>9900</v>
      </c>
      <c r="AQ361" s="486">
        <f t="shared" si="477"/>
        <v>0</v>
      </c>
      <c r="AR361" s="486">
        <f t="shared" si="478"/>
        <v>0</v>
      </c>
      <c r="AS361" s="486">
        <f t="shared" si="479"/>
        <v>3346</v>
      </c>
      <c r="AT361" s="486">
        <f t="shared" si="479"/>
        <v>198</v>
      </c>
      <c r="AU361" s="486">
        <f t="shared" si="480"/>
        <v>600</v>
      </c>
      <c r="AV361" s="501">
        <f t="shared" si="481"/>
        <v>0.04</v>
      </c>
      <c r="AW361" s="501">
        <f t="shared" si="482"/>
        <v>0</v>
      </c>
      <c r="AX361" s="502">
        <f t="shared" si="482"/>
        <v>0.04</v>
      </c>
    </row>
    <row r="362" spans="1:50" ht="14.1" customHeight="1" x14ac:dyDescent="0.2">
      <c r="A362" s="181">
        <v>73</v>
      </c>
      <c r="B362" s="179">
        <v>2459</v>
      </c>
      <c r="C362" s="180">
        <v>650030583</v>
      </c>
      <c r="D362" s="179">
        <v>72744707</v>
      </c>
      <c r="E362" s="578" t="s">
        <v>719</v>
      </c>
      <c r="F362" s="181"/>
      <c r="G362" s="578"/>
      <c r="H362" s="579"/>
      <c r="I362" s="580">
        <v>10981864</v>
      </c>
      <c r="J362" s="581">
        <v>7860798</v>
      </c>
      <c r="K362" s="581">
        <v>49916</v>
      </c>
      <c r="L362" s="581">
        <v>9916</v>
      </c>
      <c r="M362" s="581">
        <v>2670470</v>
      </c>
      <c r="N362" s="581">
        <v>157216</v>
      </c>
      <c r="O362" s="581">
        <v>243464</v>
      </c>
      <c r="P362" s="582">
        <v>17.077199999999998</v>
      </c>
      <c r="Q362" s="582">
        <v>10.17</v>
      </c>
      <c r="R362" s="584">
        <v>6.9072000000000005</v>
      </c>
      <c r="S362" s="583">
        <f t="shared" ref="S362:AX362" si="483">SUM(S356:S361)</f>
        <v>0</v>
      </c>
      <c r="T362" s="581">
        <f t="shared" si="483"/>
        <v>0</v>
      </c>
      <c r="U362" s="581">
        <f t="shared" si="483"/>
        <v>0</v>
      </c>
      <c r="V362" s="581">
        <f t="shared" si="483"/>
        <v>0</v>
      </c>
      <c r="W362" s="581">
        <f t="shared" si="483"/>
        <v>0</v>
      </c>
      <c r="X362" s="581">
        <f t="shared" si="483"/>
        <v>0</v>
      </c>
      <c r="Y362" s="581">
        <f t="shared" si="483"/>
        <v>0</v>
      </c>
      <c r="Z362" s="581">
        <f t="shared" si="483"/>
        <v>0</v>
      </c>
      <c r="AA362" s="581">
        <f t="shared" si="483"/>
        <v>0</v>
      </c>
      <c r="AB362" s="583">
        <f t="shared" si="483"/>
        <v>0</v>
      </c>
      <c r="AC362" s="581">
        <f t="shared" si="483"/>
        <v>0</v>
      </c>
      <c r="AD362" s="581">
        <f t="shared" si="483"/>
        <v>0</v>
      </c>
      <c r="AE362" s="581">
        <f t="shared" si="483"/>
        <v>0</v>
      </c>
      <c r="AF362" s="581">
        <f t="shared" si="483"/>
        <v>0</v>
      </c>
      <c r="AG362" s="582">
        <f t="shared" si="483"/>
        <v>0</v>
      </c>
      <c r="AH362" s="582">
        <f t="shared" si="483"/>
        <v>0</v>
      </c>
      <c r="AI362" s="582">
        <f t="shared" si="483"/>
        <v>0</v>
      </c>
      <c r="AJ362" s="582">
        <f t="shared" si="483"/>
        <v>0</v>
      </c>
      <c r="AK362" s="582">
        <f t="shared" si="483"/>
        <v>0</v>
      </c>
      <c r="AL362" s="582">
        <f t="shared" si="483"/>
        <v>0</v>
      </c>
      <c r="AM362" s="582">
        <f t="shared" si="483"/>
        <v>0</v>
      </c>
      <c r="AN362" s="584">
        <f t="shared" si="483"/>
        <v>0</v>
      </c>
      <c r="AO362" s="583">
        <f t="shared" si="483"/>
        <v>10981864</v>
      </c>
      <c r="AP362" s="581">
        <f t="shared" si="483"/>
        <v>7860798</v>
      </c>
      <c r="AQ362" s="581">
        <f t="shared" si="483"/>
        <v>49916</v>
      </c>
      <c r="AR362" s="581">
        <f t="shared" si="483"/>
        <v>9916</v>
      </c>
      <c r="AS362" s="581">
        <f t="shared" si="483"/>
        <v>2670470</v>
      </c>
      <c r="AT362" s="581">
        <f t="shared" si="483"/>
        <v>157216</v>
      </c>
      <c r="AU362" s="581">
        <f t="shared" si="483"/>
        <v>243464</v>
      </c>
      <c r="AV362" s="582">
        <f t="shared" si="483"/>
        <v>17.077199999999998</v>
      </c>
      <c r="AW362" s="582">
        <f t="shared" si="483"/>
        <v>10.17</v>
      </c>
      <c r="AX362" s="584">
        <f t="shared" si="483"/>
        <v>6.9072000000000005</v>
      </c>
    </row>
    <row r="363" spans="1:50" ht="14.1" customHeight="1" x14ac:dyDescent="0.2">
      <c r="A363" s="585">
        <v>74</v>
      </c>
      <c r="B363" s="586">
        <v>2405</v>
      </c>
      <c r="C363" s="587">
        <v>600079023</v>
      </c>
      <c r="D363" s="586">
        <v>72741881</v>
      </c>
      <c r="E363" s="588" t="s">
        <v>720</v>
      </c>
      <c r="F363" s="585">
        <v>3111</v>
      </c>
      <c r="G363" s="588" t="s">
        <v>317</v>
      </c>
      <c r="H363" s="589" t="s">
        <v>283</v>
      </c>
      <c r="I363" s="495">
        <v>13272228</v>
      </c>
      <c r="J363" s="411">
        <v>9658415</v>
      </c>
      <c r="K363" s="520">
        <v>0</v>
      </c>
      <c r="L363" s="520">
        <v>0</v>
      </c>
      <c r="M363" s="475">
        <v>3264544</v>
      </c>
      <c r="N363" s="496">
        <v>193169</v>
      </c>
      <c r="O363" s="411">
        <v>156100</v>
      </c>
      <c r="P363" s="412">
        <v>22.959300000000002</v>
      </c>
      <c r="Q363" s="415">
        <v>16.709700000000002</v>
      </c>
      <c r="R363" s="685">
        <v>6.2496</v>
      </c>
      <c r="S363" s="499">
        <v>0</v>
      </c>
      <c r="T363" s="486">
        <v>0</v>
      </c>
      <c r="U363" s="486">
        <v>0</v>
      </c>
      <c r="V363" s="486">
        <f>SUM(S363:U363)</f>
        <v>0</v>
      </c>
      <c r="W363" s="486">
        <v>0</v>
      </c>
      <c r="X363" s="486">
        <v>0</v>
      </c>
      <c r="Y363" s="486">
        <f>SUM(W363:X363)</f>
        <v>0</v>
      </c>
      <c r="Z363" s="486">
        <f>V363+Y363</f>
        <v>0</v>
      </c>
      <c r="AA363" s="178">
        <f t="shared" si="439"/>
        <v>0</v>
      </c>
      <c r="AB363" s="745">
        <f>ROUND(V363*2%,0)</f>
        <v>0</v>
      </c>
      <c r="AC363" s="486">
        <v>0</v>
      </c>
      <c r="AD363" s="486">
        <v>0</v>
      </c>
      <c r="AE363" s="486">
        <f t="shared" si="440"/>
        <v>0</v>
      </c>
      <c r="AF363" s="486">
        <f t="shared" si="441"/>
        <v>0</v>
      </c>
      <c r="AG363" s="501">
        <v>0</v>
      </c>
      <c r="AH363" s="501">
        <v>0</v>
      </c>
      <c r="AI363" s="501">
        <v>0</v>
      </c>
      <c r="AJ363" s="501">
        <v>0</v>
      </c>
      <c r="AK363" s="501">
        <v>0</v>
      </c>
      <c r="AL363" s="501">
        <f t="shared" ref="AL363:AL365" si="484">AG363+AI363+AJ363</f>
        <v>0</v>
      </c>
      <c r="AM363" s="501">
        <f t="shared" ref="AM363:AM365" si="485">AH363+AK363</f>
        <v>0</v>
      </c>
      <c r="AN363" s="502">
        <f t="shared" si="442"/>
        <v>0</v>
      </c>
      <c r="AO363" s="499">
        <f>I363+AF363</f>
        <v>13272228</v>
      </c>
      <c r="AP363" s="486">
        <f>J363+V363</f>
        <v>9658415</v>
      </c>
      <c r="AQ363" s="486">
        <f>K363+Y363</f>
        <v>0</v>
      </c>
      <c r="AR363" s="486">
        <f>L363</f>
        <v>0</v>
      </c>
      <c r="AS363" s="486">
        <f t="shared" ref="AS363:AT365" si="486">M363+AA363</f>
        <v>3264544</v>
      </c>
      <c r="AT363" s="486">
        <f t="shared" si="486"/>
        <v>193169</v>
      </c>
      <c r="AU363" s="486">
        <f>O363+AE363</f>
        <v>156100</v>
      </c>
      <c r="AV363" s="501">
        <f>P363+AN363</f>
        <v>22.959300000000002</v>
      </c>
      <c r="AW363" s="501">
        <f t="shared" ref="AW363:AX365" si="487">Q363+AL363</f>
        <v>16.709700000000002</v>
      </c>
      <c r="AX363" s="502">
        <f t="shared" si="487"/>
        <v>6.2496</v>
      </c>
    </row>
    <row r="364" spans="1:50" ht="14.1" customHeight="1" x14ac:dyDescent="0.2">
      <c r="A364" s="585">
        <v>74</v>
      </c>
      <c r="B364" s="586">
        <v>2405</v>
      </c>
      <c r="C364" s="587">
        <v>600079023</v>
      </c>
      <c r="D364" s="586">
        <v>72741881</v>
      </c>
      <c r="E364" s="588" t="s">
        <v>720</v>
      </c>
      <c r="F364" s="585">
        <v>3111</v>
      </c>
      <c r="G364" s="208" t="s">
        <v>318</v>
      </c>
      <c r="H364" s="589" t="s">
        <v>284</v>
      </c>
      <c r="I364" s="495">
        <v>0</v>
      </c>
      <c r="J364" s="496">
        <v>0</v>
      </c>
      <c r="K364" s="475">
        <v>0</v>
      </c>
      <c r="L364" s="475">
        <v>0</v>
      </c>
      <c r="M364" s="475">
        <v>0</v>
      </c>
      <c r="N364" s="496">
        <v>0</v>
      </c>
      <c r="O364" s="496">
        <v>0</v>
      </c>
      <c r="P364" s="412">
        <v>0</v>
      </c>
      <c r="Q364" s="497">
        <v>0</v>
      </c>
      <c r="R364" s="498">
        <v>0</v>
      </c>
      <c r="S364" s="499">
        <v>0</v>
      </c>
      <c r="T364" s="486">
        <v>0</v>
      </c>
      <c r="U364" s="486">
        <v>0</v>
      </c>
      <c r="V364" s="486">
        <f>SUM(S364:U364)</f>
        <v>0</v>
      </c>
      <c r="W364" s="486">
        <v>0</v>
      </c>
      <c r="X364" s="486">
        <v>0</v>
      </c>
      <c r="Y364" s="486">
        <f>SUM(W364:X364)</f>
        <v>0</v>
      </c>
      <c r="Z364" s="486">
        <f>V364+Y364</f>
        <v>0</v>
      </c>
      <c r="AA364" s="178">
        <f t="shared" si="439"/>
        <v>0</v>
      </c>
      <c r="AB364" s="745">
        <f>ROUND(V364*2%,0)</f>
        <v>0</v>
      </c>
      <c r="AC364" s="486">
        <v>0</v>
      </c>
      <c r="AD364" s="486">
        <v>0</v>
      </c>
      <c r="AE364" s="486">
        <f t="shared" si="440"/>
        <v>0</v>
      </c>
      <c r="AF364" s="486">
        <f t="shared" si="441"/>
        <v>0</v>
      </c>
      <c r="AG364" s="501">
        <v>0</v>
      </c>
      <c r="AH364" s="501">
        <v>0</v>
      </c>
      <c r="AI364" s="501">
        <v>0</v>
      </c>
      <c r="AJ364" s="501">
        <v>0</v>
      </c>
      <c r="AK364" s="501">
        <v>0</v>
      </c>
      <c r="AL364" s="501">
        <f t="shared" si="484"/>
        <v>0</v>
      </c>
      <c r="AM364" s="501">
        <f t="shared" si="485"/>
        <v>0</v>
      </c>
      <c r="AN364" s="502">
        <f t="shared" si="442"/>
        <v>0</v>
      </c>
      <c r="AO364" s="499">
        <f>I364+AF364</f>
        <v>0</v>
      </c>
      <c r="AP364" s="486">
        <f>J364+V364</f>
        <v>0</v>
      </c>
      <c r="AQ364" s="486">
        <f>K364+Y364</f>
        <v>0</v>
      </c>
      <c r="AR364" s="486">
        <f>L364</f>
        <v>0</v>
      </c>
      <c r="AS364" s="486">
        <f t="shared" si="486"/>
        <v>0</v>
      </c>
      <c r="AT364" s="486">
        <f t="shared" si="486"/>
        <v>0</v>
      </c>
      <c r="AU364" s="486">
        <f>O364+AE364</f>
        <v>0</v>
      </c>
      <c r="AV364" s="501">
        <f>P364+AN364</f>
        <v>0</v>
      </c>
      <c r="AW364" s="501">
        <f t="shared" si="487"/>
        <v>0</v>
      </c>
      <c r="AX364" s="502">
        <f t="shared" si="487"/>
        <v>0</v>
      </c>
    </row>
    <row r="365" spans="1:50" ht="14.1" customHeight="1" x14ac:dyDescent="0.2">
      <c r="A365" s="585">
        <v>74</v>
      </c>
      <c r="B365" s="586">
        <v>2405</v>
      </c>
      <c r="C365" s="587">
        <v>600079023</v>
      </c>
      <c r="D365" s="586">
        <v>72741881</v>
      </c>
      <c r="E365" s="588" t="s">
        <v>720</v>
      </c>
      <c r="F365" s="585">
        <v>3141</v>
      </c>
      <c r="G365" s="588" t="s">
        <v>321</v>
      </c>
      <c r="H365" s="589" t="s">
        <v>284</v>
      </c>
      <c r="I365" s="495">
        <v>1243760</v>
      </c>
      <c r="J365" s="496">
        <v>910049</v>
      </c>
      <c r="K365" s="475">
        <v>0</v>
      </c>
      <c r="L365" s="475">
        <v>0</v>
      </c>
      <c r="M365" s="475">
        <v>307596</v>
      </c>
      <c r="N365" s="496">
        <v>18201</v>
      </c>
      <c r="O365" s="496">
        <v>7914</v>
      </c>
      <c r="P365" s="412">
        <v>3.09</v>
      </c>
      <c r="Q365" s="497">
        <v>0</v>
      </c>
      <c r="R365" s="498">
        <v>3.09</v>
      </c>
      <c r="S365" s="499">
        <v>0</v>
      </c>
      <c r="T365" s="486">
        <v>0</v>
      </c>
      <c r="U365" s="486">
        <v>0</v>
      </c>
      <c r="V365" s="486">
        <f>SUM(S365:U365)</f>
        <v>0</v>
      </c>
      <c r="W365" s="486">
        <v>0</v>
      </c>
      <c r="X365" s="486">
        <v>0</v>
      </c>
      <c r="Y365" s="486">
        <f>SUM(W365:X365)</f>
        <v>0</v>
      </c>
      <c r="Z365" s="486">
        <f>V365+Y365</f>
        <v>0</v>
      </c>
      <c r="AA365" s="178">
        <f t="shared" si="439"/>
        <v>0</v>
      </c>
      <c r="AB365" s="745">
        <f>ROUND(V365*2%,0)</f>
        <v>0</v>
      </c>
      <c r="AC365" s="486">
        <v>0</v>
      </c>
      <c r="AD365" s="486">
        <v>0</v>
      </c>
      <c r="AE365" s="486">
        <f t="shared" si="440"/>
        <v>0</v>
      </c>
      <c r="AF365" s="486">
        <f t="shared" si="441"/>
        <v>0</v>
      </c>
      <c r="AG365" s="501">
        <v>0</v>
      </c>
      <c r="AH365" s="501">
        <v>0</v>
      </c>
      <c r="AI365" s="501">
        <v>0</v>
      </c>
      <c r="AJ365" s="501">
        <v>0</v>
      </c>
      <c r="AK365" s="501">
        <v>0</v>
      </c>
      <c r="AL365" s="501">
        <f t="shared" si="484"/>
        <v>0</v>
      </c>
      <c r="AM365" s="501">
        <f t="shared" si="485"/>
        <v>0</v>
      </c>
      <c r="AN365" s="502">
        <f t="shared" si="442"/>
        <v>0</v>
      </c>
      <c r="AO365" s="499">
        <f>I365+AF365</f>
        <v>1243760</v>
      </c>
      <c r="AP365" s="486">
        <f>J365+V365</f>
        <v>910049</v>
      </c>
      <c r="AQ365" s="486">
        <f>K365+Y365</f>
        <v>0</v>
      </c>
      <c r="AR365" s="486">
        <f>L365</f>
        <v>0</v>
      </c>
      <c r="AS365" s="486">
        <f t="shared" si="486"/>
        <v>307596</v>
      </c>
      <c r="AT365" s="486">
        <f t="shared" si="486"/>
        <v>18201</v>
      </c>
      <c r="AU365" s="486">
        <f>O365+AE365</f>
        <v>7914</v>
      </c>
      <c r="AV365" s="501">
        <f>P365+AN365</f>
        <v>3.09</v>
      </c>
      <c r="AW365" s="501">
        <f t="shared" si="487"/>
        <v>0</v>
      </c>
      <c r="AX365" s="502">
        <f t="shared" si="487"/>
        <v>3.09</v>
      </c>
    </row>
    <row r="366" spans="1:50" ht="14.1" customHeight="1" x14ac:dyDescent="0.2">
      <c r="A366" s="181">
        <v>74</v>
      </c>
      <c r="B366" s="179">
        <v>2405</v>
      </c>
      <c r="C366" s="180">
        <v>600079023</v>
      </c>
      <c r="D366" s="179">
        <v>72741881</v>
      </c>
      <c r="E366" s="578" t="s">
        <v>721</v>
      </c>
      <c r="F366" s="181"/>
      <c r="G366" s="578"/>
      <c r="H366" s="579"/>
      <c r="I366" s="580">
        <v>14515988</v>
      </c>
      <c r="J366" s="581">
        <v>10568464</v>
      </c>
      <c r="K366" s="581">
        <v>0</v>
      </c>
      <c r="L366" s="581">
        <v>0</v>
      </c>
      <c r="M366" s="581">
        <v>3572140</v>
      </c>
      <c r="N366" s="581">
        <v>211370</v>
      </c>
      <c r="O366" s="581">
        <v>164014</v>
      </c>
      <c r="P366" s="582">
        <v>26.049300000000002</v>
      </c>
      <c r="Q366" s="582">
        <v>16.709700000000002</v>
      </c>
      <c r="R366" s="584">
        <v>9.3396000000000008</v>
      </c>
      <c r="S366" s="583">
        <f t="shared" ref="S366:AX366" si="488">SUM(S363:S365)</f>
        <v>0</v>
      </c>
      <c r="T366" s="581">
        <f t="shared" si="488"/>
        <v>0</v>
      </c>
      <c r="U366" s="581">
        <f t="shared" si="488"/>
        <v>0</v>
      </c>
      <c r="V366" s="581">
        <f t="shared" si="488"/>
        <v>0</v>
      </c>
      <c r="W366" s="581">
        <f t="shared" si="488"/>
        <v>0</v>
      </c>
      <c r="X366" s="581">
        <f t="shared" si="488"/>
        <v>0</v>
      </c>
      <c r="Y366" s="581">
        <f t="shared" si="488"/>
        <v>0</v>
      </c>
      <c r="Z366" s="581">
        <f t="shared" si="488"/>
        <v>0</v>
      </c>
      <c r="AA366" s="581">
        <f t="shared" si="488"/>
        <v>0</v>
      </c>
      <c r="AB366" s="583">
        <f t="shared" si="488"/>
        <v>0</v>
      </c>
      <c r="AC366" s="581">
        <f t="shared" si="488"/>
        <v>0</v>
      </c>
      <c r="AD366" s="581">
        <f t="shared" si="488"/>
        <v>0</v>
      </c>
      <c r="AE366" s="581">
        <f t="shared" si="488"/>
        <v>0</v>
      </c>
      <c r="AF366" s="581">
        <f t="shared" si="488"/>
        <v>0</v>
      </c>
      <c r="AG366" s="582">
        <f t="shared" si="488"/>
        <v>0</v>
      </c>
      <c r="AH366" s="582">
        <f t="shared" si="488"/>
        <v>0</v>
      </c>
      <c r="AI366" s="582">
        <f t="shared" si="488"/>
        <v>0</v>
      </c>
      <c r="AJ366" s="582">
        <f t="shared" si="488"/>
        <v>0</v>
      </c>
      <c r="AK366" s="582">
        <f t="shared" si="488"/>
        <v>0</v>
      </c>
      <c r="AL366" s="582">
        <f t="shared" si="488"/>
        <v>0</v>
      </c>
      <c r="AM366" s="582">
        <f t="shared" si="488"/>
        <v>0</v>
      </c>
      <c r="AN366" s="584">
        <f t="shared" si="488"/>
        <v>0</v>
      </c>
      <c r="AO366" s="583">
        <f t="shared" si="488"/>
        <v>14515988</v>
      </c>
      <c r="AP366" s="581">
        <f t="shared" si="488"/>
        <v>10568464</v>
      </c>
      <c r="AQ366" s="581">
        <f t="shared" si="488"/>
        <v>0</v>
      </c>
      <c r="AR366" s="581">
        <f t="shared" si="488"/>
        <v>0</v>
      </c>
      <c r="AS366" s="581">
        <f t="shared" si="488"/>
        <v>3572140</v>
      </c>
      <c r="AT366" s="581">
        <f t="shared" si="488"/>
        <v>211370</v>
      </c>
      <c r="AU366" s="581">
        <f t="shared" si="488"/>
        <v>164014</v>
      </c>
      <c r="AV366" s="582">
        <f t="shared" si="488"/>
        <v>26.049300000000002</v>
      </c>
      <c r="AW366" s="582">
        <f t="shared" si="488"/>
        <v>16.709700000000002</v>
      </c>
      <c r="AX366" s="584">
        <f t="shared" si="488"/>
        <v>9.3396000000000008</v>
      </c>
    </row>
    <row r="367" spans="1:50" ht="14.1" customHeight="1" x14ac:dyDescent="0.2">
      <c r="A367" s="585">
        <v>75</v>
      </c>
      <c r="B367" s="586">
        <v>2317</v>
      </c>
      <c r="C367" s="587">
        <v>600080501</v>
      </c>
      <c r="D367" s="586">
        <v>69411123</v>
      </c>
      <c r="E367" s="588" t="s">
        <v>722</v>
      </c>
      <c r="F367" s="585">
        <v>3141</v>
      </c>
      <c r="G367" s="588" t="s">
        <v>321</v>
      </c>
      <c r="H367" s="589" t="s">
        <v>284</v>
      </c>
      <c r="I367" s="495">
        <v>4584304</v>
      </c>
      <c r="J367" s="496">
        <v>3321640</v>
      </c>
      <c r="K367" s="475">
        <v>26500</v>
      </c>
      <c r="L367" s="475">
        <v>0</v>
      </c>
      <c r="M367" s="475">
        <v>1131671</v>
      </c>
      <c r="N367" s="496">
        <v>66433</v>
      </c>
      <c r="O367" s="496">
        <v>38060</v>
      </c>
      <c r="P367" s="412">
        <v>11.28</v>
      </c>
      <c r="Q367" s="497">
        <v>0</v>
      </c>
      <c r="R367" s="498">
        <v>11.28</v>
      </c>
      <c r="S367" s="499">
        <v>0</v>
      </c>
      <c r="T367" s="486">
        <v>0</v>
      </c>
      <c r="U367" s="486">
        <v>0</v>
      </c>
      <c r="V367" s="486">
        <f>SUM(S367:U367)</f>
        <v>0</v>
      </c>
      <c r="W367" s="486">
        <v>0</v>
      </c>
      <c r="X367" s="486">
        <v>0</v>
      </c>
      <c r="Y367" s="486">
        <f>SUM(W367:X367)</f>
        <v>0</v>
      </c>
      <c r="Z367" s="486">
        <f>V367+Y367</f>
        <v>0</v>
      </c>
      <c r="AA367" s="178">
        <f t="shared" si="439"/>
        <v>0</v>
      </c>
      <c r="AB367" s="745">
        <f>ROUND(V367*2%,0)</f>
        <v>0</v>
      </c>
      <c r="AC367" s="486">
        <v>0</v>
      </c>
      <c r="AD367" s="486">
        <v>0</v>
      </c>
      <c r="AE367" s="486">
        <f t="shared" si="440"/>
        <v>0</v>
      </c>
      <c r="AF367" s="486">
        <f t="shared" si="441"/>
        <v>0</v>
      </c>
      <c r="AG367" s="501">
        <v>0</v>
      </c>
      <c r="AH367" s="501">
        <v>0</v>
      </c>
      <c r="AI367" s="501">
        <v>0</v>
      </c>
      <c r="AJ367" s="501">
        <v>0</v>
      </c>
      <c r="AK367" s="501">
        <v>0</v>
      </c>
      <c r="AL367" s="501">
        <f>AG367+AI367+AJ367</f>
        <v>0</v>
      </c>
      <c r="AM367" s="501">
        <f>AH367+AK367</f>
        <v>0</v>
      </c>
      <c r="AN367" s="502">
        <f t="shared" si="442"/>
        <v>0</v>
      </c>
      <c r="AO367" s="499">
        <f>I367+AF367</f>
        <v>4584304</v>
      </c>
      <c r="AP367" s="486">
        <f>J367+V367</f>
        <v>3321640</v>
      </c>
      <c r="AQ367" s="486">
        <f>K367+Y367</f>
        <v>26500</v>
      </c>
      <c r="AR367" s="486">
        <f>L367</f>
        <v>0</v>
      </c>
      <c r="AS367" s="486">
        <f>M367+AA367</f>
        <v>1131671</v>
      </c>
      <c r="AT367" s="486">
        <f>N367+AB367</f>
        <v>66433</v>
      </c>
      <c r="AU367" s="486">
        <f>O367+AE367</f>
        <v>38060</v>
      </c>
      <c r="AV367" s="501">
        <f>P367+AN367</f>
        <v>11.28</v>
      </c>
      <c r="AW367" s="501">
        <f>Q367+AL367</f>
        <v>0</v>
      </c>
      <c r="AX367" s="502">
        <f>R367+AM367</f>
        <v>11.28</v>
      </c>
    </row>
    <row r="368" spans="1:50" ht="14.1" customHeight="1" x14ac:dyDescent="0.2">
      <c r="A368" s="181">
        <v>75</v>
      </c>
      <c r="B368" s="179">
        <v>2317</v>
      </c>
      <c r="C368" s="180">
        <v>600080501</v>
      </c>
      <c r="D368" s="179">
        <v>69411123</v>
      </c>
      <c r="E368" s="578" t="s">
        <v>723</v>
      </c>
      <c r="F368" s="181"/>
      <c r="G368" s="578"/>
      <c r="H368" s="579"/>
      <c r="I368" s="593">
        <v>4584304</v>
      </c>
      <c r="J368" s="594">
        <v>3321640</v>
      </c>
      <c r="K368" s="594">
        <v>26500</v>
      </c>
      <c r="L368" s="594">
        <v>0</v>
      </c>
      <c r="M368" s="594">
        <v>1131671</v>
      </c>
      <c r="N368" s="594">
        <v>66433</v>
      </c>
      <c r="O368" s="594">
        <v>38060</v>
      </c>
      <c r="P368" s="595">
        <v>11.28</v>
      </c>
      <c r="Q368" s="595">
        <v>0</v>
      </c>
      <c r="R368" s="597">
        <v>11.28</v>
      </c>
      <c r="S368" s="596">
        <f t="shared" ref="S368:AX368" si="489">SUM(S367)</f>
        <v>0</v>
      </c>
      <c r="T368" s="594">
        <f t="shared" si="489"/>
        <v>0</v>
      </c>
      <c r="U368" s="594">
        <f t="shared" si="489"/>
        <v>0</v>
      </c>
      <c r="V368" s="594">
        <f t="shared" si="489"/>
        <v>0</v>
      </c>
      <c r="W368" s="594">
        <f t="shared" si="489"/>
        <v>0</v>
      </c>
      <c r="X368" s="594">
        <f t="shared" si="489"/>
        <v>0</v>
      </c>
      <c r="Y368" s="594">
        <f t="shared" si="489"/>
        <v>0</v>
      </c>
      <c r="Z368" s="594">
        <f t="shared" si="489"/>
        <v>0</v>
      </c>
      <c r="AA368" s="594">
        <f t="shared" si="489"/>
        <v>0</v>
      </c>
      <c r="AB368" s="596">
        <f t="shared" si="489"/>
        <v>0</v>
      </c>
      <c r="AC368" s="594">
        <f t="shared" si="489"/>
        <v>0</v>
      </c>
      <c r="AD368" s="594">
        <f t="shared" si="489"/>
        <v>0</v>
      </c>
      <c r="AE368" s="594">
        <f t="shared" si="489"/>
        <v>0</v>
      </c>
      <c r="AF368" s="594">
        <f t="shared" si="489"/>
        <v>0</v>
      </c>
      <c r="AG368" s="595">
        <f t="shared" si="489"/>
        <v>0</v>
      </c>
      <c r="AH368" s="595">
        <f t="shared" si="489"/>
        <v>0</v>
      </c>
      <c r="AI368" s="595">
        <f t="shared" si="489"/>
        <v>0</v>
      </c>
      <c r="AJ368" s="595">
        <f t="shared" si="489"/>
        <v>0</v>
      </c>
      <c r="AK368" s="595">
        <f t="shared" si="489"/>
        <v>0</v>
      </c>
      <c r="AL368" s="595">
        <f t="shared" si="489"/>
        <v>0</v>
      </c>
      <c r="AM368" s="595">
        <f t="shared" si="489"/>
        <v>0</v>
      </c>
      <c r="AN368" s="597">
        <f t="shared" si="489"/>
        <v>0</v>
      </c>
      <c r="AO368" s="596">
        <f t="shared" si="489"/>
        <v>4584304</v>
      </c>
      <c r="AP368" s="594">
        <f t="shared" si="489"/>
        <v>3321640</v>
      </c>
      <c r="AQ368" s="594">
        <f t="shared" si="489"/>
        <v>26500</v>
      </c>
      <c r="AR368" s="594">
        <f t="shared" si="489"/>
        <v>0</v>
      </c>
      <c r="AS368" s="594">
        <f t="shared" si="489"/>
        <v>1131671</v>
      </c>
      <c r="AT368" s="594">
        <f t="shared" si="489"/>
        <v>66433</v>
      </c>
      <c r="AU368" s="594">
        <f t="shared" si="489"/>
        <v>38060</v>
      </c>
      <c r="AV368" s="595">
        <f t="shared" si="489"/>
        <v>11.28</v>
      </c>
      <c r="AW368" s="595">
        <f t="shared" si="489"/>
        <v>0</v>
      </c>
      <c r="AX368" s="597">
        <f t="shared" si="489"/>
        <v>11.28</v>
      </c>
    </row>
    <row r="369" spans="1:50" ht="14.1" customHeight="1" x14ac:dyDescent="0.2">
      <c r="A369" s="585">
        <v>76</v>
      </c>
      <c r="B369" s="586">
        <v>2461</v>
      </c>
      <c r="C369" s="587">
        <v>600079805</v>
      </c>
      <c r="D369" s="586">
        <v>72741724</v>
      </c>
      <c r="E369" s="588" t="s">
        <v>724</v>
      </c>
      <c r="F369" s="585">
        <v>3111</v>
      </c>
      <c r="G369" s="588" t="s">
        <v>317</v>
      </c>
      <c r="H369" s="589" t="s">
        <v>283</v>
      </c>
      <c r="I369" s="495">
        <v>1410616</v>
      </c>
      <c r="J369" s="411">
        <v>1018583</v>
      </c>
      <c r="K369" s="520">
        <v>10000</v>
      </c>
      <c r="L369" s="520">
        <v>0</v>
      </c>
      <c r="M369" s="475">
        <v>347661</v>
      </c>
      <c r="N369" s="496">
        <v>20372</v>
      </c>
      <c r="O369" s="411">
        <v>14000</v>
      </c>
      <c r="P369" s="412">
        <v>2.4769999999999999</v>
      </c>
      <c r="Q369" s="415">
        <v>2.0160999999999998</v>
      </c>
      <c r="R369" s="685">
        <v>0.46089999999999998</v>
      </c>
      <c r="S369" s="499">
        <v>0</v>
      </c>
      <c r="T369" s="486">
        <v>0</v>
      </c>
      <c r="U369" s="486">
        <v>0</v>
      </c>
      <c r="V369" s="486">
        <f t="shared" ref="V369:V374" si="490">SUM(S369:U369)</f>
        <v>0</v>
      </c>
      <c r="W369" s="486">
        <v>0</v>
      </c>
      <c r="X369" s="486">
        <v>0</v>
      </c>
      <c r="Y369" s="486">
        <f t="shared" ref="Y369:Y374" si="491">SUM(W369:X369)</f>
        <v>0</v>
      </c>
      <c r="Z369" s="486">
        <f t="shared" ref="Z369:Z374" si="492">V369+Y369</f>
        <v>0</v>
      </c>
      <c r="AA369" s="178">
        <f t="shared" si="439"/>
        <v>0</v>
      </c>
      <c r="AB369" s="745">
        <f t="shared" ref="AB369:AB374" si="493">ROUND(V369*2%,0)</f>
        <v>0</v>
      </c>
      <c r="AC369" s="486">
        <v>0</v>
      </c>
      <c r="AD369" s="486">
        <v>0</v>
      </c>
      <c r="AE369" s="486">
        <f t="shared" si="440"/>
        <v>0</v>
      </c>
      <c r="AF369" s="486">
        <f t="shared" si="441"/>
        <v>0</v>
      </c>
      <c r="AG369" s="501">
        <v>0</v>
      </c>
      <c r="AH369" s="501">
        <v>0</v>
      </c>
      <c r="AI369" s="501">
        <v>0</v>
      </c>
      <c r="AJ369" s="501">
        <v>0</v>
      </c>
      <c r="AK369" s="501">
        <v>0</v>
      </c>
      <c r="AL369" s="501">
        <f t="shared" ref="AL369:AL374" si="494">AG369+AI369+AJ369</f>
        <v>0</v>
      </c>
      <c r="AM369" s="501">
        <f t="shared" ref="AM369:AM374" si="495">AH369+AK369</f>
        <v>0</v>
      </c>
      <c r="AN369" s="502">
        <f t="shared" si="442"/>
        <v>0</v>
      </c>
      <c r="AO369" s="499">
        <f t="shared" ref="AO369:AO374" si="496">I369+AF369</f>
        <v>1410616</v>
      </c>
      <c r="AP369" s="486">
        <f t="shared" ref="AP369:AP374" si="497">J369+V369</f>
        <v>1018583</v>
      </c>
      <c r="AQ369" s="486">
        <f t="shared" ref="AQ369:AQ374" si="498">K369+Y369</f>
        <v>10000</v>
      </c>
      <c r="AR369" s="486">
        <f t="shared" ref="AR369:AR374" si="499">L369</f>
        <v>0</v>
      </c>
      <c r="AS369" s="486">
        <f t="shared" ref="AS369:AT374" si="500">M369+AA369</f>
        <v>347661</v>
      </c>
      <c r="AT369" s="486">
        <f t="shared" si="500"/>
        <v>20372</v>
      </c>
      <c r="AU369" s="486">
        <f t="shared" ref="AU369:AU374" si="501">O369+AE369</f>
        <v>14000</v>
      </c>
      <c r="AV369" s="501">
        <f t="shared" ref="AV369:AV374" si="502">P369+AN369</f>
        <v>2.4769999999999999</v>
      </c>
      <c r="AW369" s="501">
        <f t="shared" ref="AW369:AX374" si="503">Q369+AL369</f>
        <v>2.0160999999999998</v>
      </c>
      <c r="AX369" s="502">
        <f t="shared" si="503"/>
        <v>0.46089999999999998</v>
      </c>
    </row>
    <row r="370" spans="1:50" ht="14.1" customHeight="1" x14ac:dyDescent="0.2">
      <c r="A370" s="585">
        <v>76</v>
      </c>
      <c r="B370" s="586">
        <v>2461</v>
      </c>
      <c r="C370" s="587">
        <v>600079805</v>
      </c>
      <c r="D370" s="586">
        <v>72741724</v>
      </c>
      <c r="E370" s="588" t="s">
        <v>724</v>
      </c>
      <c r="F370" s="585">
        <v>3117</v>
      </c>
      <c r="G370" s="588" t="s">
        <v>320</v>
      </c>
      <c r="H370" s="589" t="s">
        <v>283</v>
      </c>
      <c r="I370" s="495">
        <v>2518586</v>
      </c>
      <c r="J370" s="411">
        <v>1795168</v>
      </c>
      <c r="K370" s="520">
        <v>20664</v>
      </c>
      <c r="L370" s="520">
        <v>2664</v>
      </c>
      <c r="M370" s="475">
        <v>612851</v>
      </c>
      <c r="N370" s="496">
        <v>35903</v>
      </c>
      <c r="O370" s="411">
        <v>54000</v>
      </c>
      <c r="P370" s="412">
        <v>3.6819000000000002</v>
      </c>
      <c r="Q370" s="415">
        <v>2.5455000000000001</v>
      </c>
      <c r="R370" s="685">
        <v>1.1364000000000001</v>
      </c>
      <c r="S370" s="499">
        <v>0</v>
      </c>
      <c r="T370" s="486">
        <v>0</v>
      </c>
      <c r="U370" s="486">
        <v>0</v>
      </c>
      <c r="V370" s="486">
        <f t="shared" si="490"/>
        <v>0</v>
      </c>
      <c r="W370" s="486">
        <v>0</v>
      </c>
      <c r="X370" s="486">
        <v>0</v>
      </c>
      <c r="Y370" s="486">
        <f t="shared" si="491"/>
        <v>0</v>
      </c>
      <c r="Z370" s="486">
        <f t="shared" si="492"/>
        <v>0</v>
      </c>
      <c r="AA370" s="178">
        <f t="shared" si="439"/>
        <v>0</v>
      </c>
      <c r="AB370" s="745">
        <f t="shared" si="493"/>
        <v>0</v>
      </c>
      <c r="AC370" s="486">
        <v>0</v>
      </c>
      <c r="AD370" s="486">
        <v>0</v>
      </c>
      <c r="AE370" s="486">
        <f t="shared" si="440"/>
        <v>0</v>
      </c>
      <c r="AF370" s="486">
        <f t="shared" si="441"/>
        <v>0</v>
      </c>
      <c r="AG370" s="501">
        <v>0</v>
      </c>
      <c r="AH370" s="501">
        <v>0</v>
      </c>
      <c r="AI370" s="501">
        <v>0</v>
      </c>
      <c r="AJ370" s="501">
        <v>0</v>
      </c>
      <c r="AK370" s="501">
        <v>0</v>
      </c>
      <c r="AL370" s="501">
        <f t="shared" si="494"/>
        <v>0</v>
      </c>
      <c r="AM370" s="501">
        <f t="shared" si="495"/>
        <v>0</v>
      </c>
      <c r="AN370" s="502">
        <f t="shared" si="442"/>
        <v>0</v>
      </c>
      <c r="AO370" s="499">
        <f t="shared" si="496"/>
        <v>2518586</v>
      </c>
      <c r="AP370" s="486">
        <f t="shared" si="497"/>
        <v>1795168</v>
      </c>
      <c r="AQ370" s="486">
        <f t="shared" si="498"/>
        <v>20664</v>
      </c>
      <c r="AR370" s="486">
        <f t="shared" si="499"/>
        <v>2664</v>
      </c>
      <c r="AS370" s="486">
        <f t="shared" si="500"/>
        <v>612851</v>
      </c>
      <c r="AT370" s="486">
        <f t="shared" si="500"/>
        <v>35903</v>
      </c>
      <c r="AU370" s="486">
        <f t="shared" si="501"/>
        <v>54000</v>
      </c>
      <c r="AV370" s="501">
        <f t="shared" si="502"/>
        <v>3.6819000000000002</v>
      </c>
      <c r="AW370" s="501">
        <f t="shared" si="503"/>
        <v>2.5455000000000001</v>
      </c>
      <c r="AX370" s="502">
        <f t="shared" si="503"/>
        <v>1.1364000000000001</v>
      </c>
    </row>
    <row r="371" spans="1:50" ht="14.1" customHeight="1" x14ac:dyDescent="0.2">
      <c r="A371" s="585">
        <v>76</v>
      </c>
      <c r="B371" s="586">
        <v>2461</v>
      </c>
      <c r="C371" s="587">
        <v>600079805</v>
      </c>
      <c r="D371" s="586">
        <v>72741724</v>
      </c>
      <c r="E371" s="588" t="s">
        <v>724</v>
      </c>
      <c r="F371" s="585">
        <v>3117</v>
      </c>
      <c r="G371" s="208" t="s">
        <v>318</v>
      </c>
      <c r="H371" s="589" t="s">
        <v>284</v>
      </c>
      <c r="I371" s="495">
        <v>161696</v>
      </c>
      <c r="J371" s="496">
        <v>119070</v>
      </c>
      <c r="K371" s="475">
        <v>0</v>
      </c>
      <c r="L371" s="475">
        <v>0</v>
      </c>
      <c r="M371" s="475">
        <v>40245</v>
      </c>
      <c r="N371" s="496">
        <v>2381</v>
      </c>
      <c r="O371" s="496">
        <v>0</v>
      </c>
      <c r="P371" s="412">
        <v>0.26</v>
      </c>
      <c r="Q371" s="497">
        <v>0.26</v>
      </c>
      <c r="R371" s="498">
        <v>0</v>
      </c>
      <c r="S371" s="499">
        <v>0</v>
      </c>
      <c r="T371" s="486">
        <v>0</v>
      </c>
      <c r="U371" s="486">
        <v>0</v>
      </c>
      <c r="V371" s="486">
        <f t="shared" si="490"/>
        <v>0</v>
      </c>
      <c r="W371" s="486">
        <v>0</v>
      </c>
      <c r="X371" s="486">
        <v>0</v>
      </c>
      <c r="Y371" s="486">
        <f t="shared" si="491"/>
        <v>0</v>
      </c>
      <c r="Z371" s="486">
        <f t="shared" si="492"/>
        <v>0</v>
      </c>
      <c r="AA371" s="178">
        <f t="shared" si="439"/>
        <v>0</v>
      </c>
      <c r="AB371" s="745">
        <f t="shared" si="493"/>
        <v>0</v>
      </c>
      <c r="AC371" s="486">
        <v>0</v>
      </c>
      <c r="AD371" s="486">
        <v>0</v>
      </c>
      <c r="AE371" s="486">
        <f t="shared" si="440"/>
        <v>0</v>
      </c>
      <c r="AF371" s="486">
        <f t="shared" si="441"/>
        <v>0</v>
      </c>
      <c r="AG371" s="501">
        <v>0</v>
      </c>
      <c r="AH371" s="501">
        <v>0</v>
      </c>
      <c r="AI371" s="501">
        <v>0</v>
      </c>
      <c r="AJ371" s="501">
        <v>0</v>
      </c>
      <c r="AK371" s="501">
        <v>0</v>
      </c>
      <c r="AL371" s="501">
        <f t="shared" si="494"/>
        <v>0</v>
      </c>
      <c r="AM371" s="501">
        <f t="shared" si="495"/>
        <v>0</v>
      </c>
      <c r="AN371" s="502">
        <f t="shared" si="442"/>
        <v>0</v>
      </c>
      <c r="AO371" s="499">
        <f t="shared" si="496"/>
        <v>161696</v>
      </c>
      <c r="AP371" s="486">
        <f t="shared" si="497"/>
        <v>119070</v>
      </c>
      <c r="AQ371" s="486">
        <f t="shared" si="498"/>
        <v>0</v>
      </c>
      <c r="AR371" s="486">
        <f t="shared" si="499"/>
        <v>0</v>
      </c>
      <c r="AS371" s="486">
        <f t="shared" si="500"/>
        <v>40245</v>
      </c>
      <c r="AT371" s="486">
        <f t="shared" si="500"/>
        <v>2381</v>
      </c>
      <c r="AU371" s="486">
        <f t="shared" si="501"/>
        <v>0</v>
      </c>
      <c r="AV371" s="501">
        <f t="shared" si="502"/>
        <v>0.26</v>
      </c>
      <c r="AW371" s="501">
        <f t="shared" si="503"/>
        <v>0.26</v>
      </c>
      <c r="AX371" s="502">
        <f t="shared" si="503"/>
        <v>0</v>
      </c>
    </row>
    <row r="372" spans="1:50" ht="14.1" customHeight="1" x14ac:dyDescent="0.2">
      <c r="A372" s="585">
        <v>76</v>
      </c>
      <c r="B372" s="586">
        <v>2461</v>
      </c>
      <c r="C372" s="587">
        <v>600079805</v>
      </c>
      <c r="D372" s="586">
        <v>72741724</v>
      </c>
      <c r="E372" s="588" t="s">
        <v>724</v>
      </c>
      <c r="F372" s="585">
        <v>3141</v>
      </c>
      <c r="G372" s="588" t="s">
        <v>321</v>
      </c>
      <c r="H372" s="589" t="s">
        <v>284</v>
      </c>
      <c r="I372" s="495">
        <v>519484</v>
      </c>
      <c r="J372" s="496">
        <v>380956</v>
      </c>
      <c r="K372" s="475">
        <v>0</v>
      </c>
      <c r="L372" s="475">
        <v>0</v>
      </c>
      <c r="M372" s="475">
        <v>128763</v>
      </c>
      <c r="N372" s="496">
        <v>7619</v>
      </c>
      <c r="O372" s="496">
        <v>2146</v>
      </c>
      <c r="P372" s="412">
        <v>1.3</v>
      </c>
      <c r="Q372" s="497">
        <v>0</v>
      </c>
      <c r="R372" s="498">
        <v>1.3</v>
      </c>
      <c r="S372" s="499">
        <v>0</v>
      </c>
      <c r="T372" s="486">
        <v>0</v>
      </c>
      <c r="U372" s="486">
        <v>0</v>
      </c>
      <c r="V372" s="486">
        <f t="shared" si="490"/>
        <v>0</v>
      </c>
      <c r="W372" s="486">
        <v>0</v>
      </c>
      <c r="X372" s="486">
        <v>0</v>
      </c>
      <c r="Y372" s="486">
        <f t="shared" si="491"/>
        <v>0</v>
      </c>
      <c r="Z372" s="486">
        <f t="shared" si="492"/>
        <v>0</v>
      </c>
      <c r="AA372" s="178">
        <f t="shared" si="439"/>
        <v>0</v>
      </c>
      <c r="AB372" s="745">
        <f t="shared" si="493"/>
        <v>0</v>
      </c>
      <c r="AC372" s="486">
        <v>0</v>
      </c>
      <c r="AD372" s="486">
        <v>0</v>
      </c>
      <c r="AE372" s="486">
        <f t="shared" si="440"/>
        <v>0</v>
      </c>
      <c r="AF372" s="486">
        <f t="shared" si="441"/>
        <v>0</v>
      </c>
      <c r="AG372" s="501">
        <v>0</v>
      </c>
      <c r="AH372" s="501">
        <v>0</v>
      </c>
      <c r="AI372" s="501">
        <v>0</v>
      </c>
      <c r="AJ372" s="501">
        <v>0</v>
      </c>
      <c r="AK372" s="501">
        <v>0</v>
      </c>
      <c r="AL372" s="501">
        <f t="shared" si="494"/>
        <v>0</v>
      </c>
      <c r="AM372" s="501">
        <f t="shared" si="495"/>
        <v>0</v>
      </c>
      <c r="AN372" s="502">
        <f t="shared" si="442"/>
        <v>0</v>
      </c>
      <c r="AO372" s="499">
        <f t="shared" si="496"/>
        <v>519484</v>
      </c>
      <c r="AP372" s="486">
        <f t="shared" si="497"/>
        <v>380956</v>
      </c>
      <c r="AQ372" s="486">
        <f t="shared" si="498"/>
        <v>0</v>
      </c>
      <c r="AR372" s="486">
        <f t="shared" si="499"/>
        <v>0</v>
      </c>
      <c r="AS372" s="486">
        <f t="shared" si="500"/>
        <v>128763</v>
      </c>
      <c r="AT372" s="486">
        <f t="shared" si="500"/>
        <v>7619</v>
      </c>
      <c r="AU372" s="486">
        <f t="shared" si="501"/>
        <v>2146</v>
      </c>
      <c r="AV372" s="501">
        <f t="shared" si="502"/>
        <v>1.3</v>
      </c>
      <c r="AW372" s="501">
        <f t="shared" si="503"/>
        <v>0</v>
      </c>
      <c r="AX372" s="502">
        <f t="shared" si="503"/>
        <v>1.3</v>
      </c>
    </row>
    <row r="373" spans="1:50" ht="14.1" customHeight="1" x14ac:dyDescent="0.2">
      <c r="A373" s="585">
        <v>76</v>
      </c>
      <c r="B373" s="586">
        <v>2461</v>
      </c>
      <c r="C373" s="587">
        <v>600079805</v>
      </c>
      <c r="D373" s="586">
        <v>72741724</v>
      </c>
      <c r="E373" s="588" t="s">
        <v>724</v>
      </c>
      <c r="F373" s="585">
        <v>3143</v>
      </c>
      <c r="G373" s="208" t="s">
        <v>634</v>
      </c>
      <c r="H373" s="589" t="s">
        <v>283</v>
      </c>
      <c r="I373" s="495">
        <v>560638</v>
      </c>
      <c r="J373" s="411">
        <v>412841</v>
      </c>
      <c r="K373" s="520">
        <v>0</v>
      </c>
      <c r="L373" s="520">
        <v>0</v>
      </c>
      <c r="M373" s="475">
        <v>139540</v>
      </c>
      <c r="N373" s="496">
        <v>8257</v>
      </c>
      <c r="O373" s="496">
        <v>0</v>
      </c>
      <c r="P373" s="412">
        <v>1</v>
      </c>
      <c r="Q373" s="415">
        <v>1</v>
      </c>
      <c r="R373" s="498">
        <v>0</v>
      </c>
      <c r="S373" s="499">
        <v>0</v>
      </c>
      <c r="T373" s="486">
        <v>0</v>
      </c>
      <c r="U373" s="486">
        <v>0</v>
      </c>
      <c r="V373" s="486">
        <f t="shared" si="490"/>
        <v>0</v>
      </c>
      <c r="W373" s="486">
        <v>0</v>
      </c>
      <c r="X373" s="486">
        <v>0</v>
      </c>
      <c r="Y373" s="486">
        <f t="shared" si="491"/>
        <v>0</v>
      </c>
      <c r="Z373" s="486">
        <f t="shared" si="492"/>
        <v>0</v>
      </c>
      <c r="AA373" s="178">
        <f t="shared" si="439"/>
        <v>0</v>
      </c>
      <c r="AB373" s="745">
        <f t="shared" si="493"/>
        <v>0</v>
      </c>
      <c r="AC373" s="486">
        <v>0</v>
      </c>
      <c r="AD373" s="486">
        <v>0</v>
      </c>
      <c r="AE373" s="486">
        <f t="shared" si="440"/>
        <v>0</v>
      </c>
      <c r="AF373" s="486">
        <f t="shared" si="441"/>
        <v>0</v>
      </c>
      <c r="AG373" s="501">
        <v>0</v>
      </c>
      <c r="AH373" s="501">
        <v>0</v>
      </c>
      <c r="AI373" s="501">
        <v>0</v>
      </c>
      <c r="AJ373" s="501">
        <v>0</v>
      </c>
      <c r="AK373" s="501">
        <v>0</v>
      </c>
      <c r="AL373" s="501">
        <f t="shared" si="494"/>
        <v>0</v>
      </c>
      <c r="AM373" s="501">
        <f t="shared" si="495"/>
        <v>0</v>
      </c>
      <c r="AN373" s="502">
        <f t="shared" si="442"/>
        <v>0</v>
      </c>
      <c r="AO373" s="499">
        <f t="shared" si="496"/>
        <v>560638</v>
      </c>
      <c r="AP373" s="486">
        <f t="shared" si="497"/>
        <v>412841</v>
      </c>
      <c r="AQ373" s="486">
        <f t="shared" si="498"/>
        <v>0</v>
      </c>
      <c r="AR373" s="486">
        <f t="shared" si="499"/>
        <v>0</v>
      </c>
      <c r="AS373" s="486">
        <f t="shared" si="500"/>
        <v>139540</v>
      </c>
      <c r="AT373" s="486">
        <f t="shared" si="500"/>
        <v>8257</v>
      </c>
      <c r="AU373" s="486">
        <f t="shared" si="501"/>
        <v>0</v>
      </c>
      <c r="AV373" s="501">
        <f t="shared" si="502"/>
        <v>1</v>
      </c>
      <c r="AW373" s="501">
        <f t="shared" si="503"/>
        <v>1</v>
      </c>
      <c r="AX373" s="502">
        <f t="shared" si="503"/>
        <v>0</v>
      </c>
    </row>
    <row r="374" spans="1:50" ht="14.1" customHeight="1" x14ac:dyDescent="0.2">
      <c r="A374" s="585">
        <v>76</v>
      </c>
      <c r="B374" s="586">
        <v>2461</v>
      </c>
      <c r="C374" s="587">
        <v>600079805</v>
      </c>
      <c r="D374" s="586">
        <v>72741724</v>
      </c>
      <c r="E374" s="588" t="s">
        <v>724</v>
      </c>
      <c r="F374" s="585">
        <v>3143</v>
      </c>
      <c r="G374" s="208" t="s">
        <v>635</v>
      </c>
      <c r="H374" s="589" t="s">
        <v>284</v>
      </c>
      <c r="I374" s="495">
        <v>12640</v>
      </c>
      <c r="J374" s="496">
        <v>8910</v>
      </c>
      <c r="K374" s="475">
        <v>0</v>
      </c>
      <c r="L374" s="475">
        <v>0</v>
      </c>
      <c r="M374" s="475">
        <v>3012</v>
      </c>
      <c r="N374" s="496">
        <v>178</v>
      </c>
      <c r="O374" s="496">
        <v>540</v>
      </c>
      <c r="P374" s="412">
        <v>0.04</v>
      </c>
      <c r="Q374" s="497">
        <v>0</v>
      </c>
      <c r="R374" s="498">
        <v>0.04</v>
      </c>
      <c r="S374" s="499">
        <v>0</v>
      </c>
      <c r="T374" s="486">
        <v>0</v>
      </c>
      <c r="U374" s="486">
        <v>0</v>
      </c>
      <c r="V374" s="486">
        <f t="shared" si="490"/>
        <v>0</v>
      </c>
      <c r="W374" s="486">
        <v>0</v>
      </c>
      <c r="X374" s="486">
        <v>0</v>
      </c>
      <c r="Y374" s="486">
        <f t="shared" si="491"/>
        <v>0</v>
      </c>
      <c r="Z374" s="486">
        <f t="shared" si="492"/>
        <v>0</v>
      </c>
      <c r="AA374" s="178">
        <f t="shared" si="439"/>
        <v>0</v>
      </c>
      <c r="AB374" s="745">
        <f t="shared" si="493"/>
        <v>0</v>
      </c>
      <c r="AC374" s="486">
        <v>0</v>
      </c>
      <c r="AD374" s="486">
        <v>0</v>
      </c>
      <c r="AE374" s="486">
        <f t="shared" si="440"/>
        <v>0</v>
      </c>
      <c r="AF374" s="486">
        <f t="shared" si="441"/>
        <v>0</v>
      </c>
      <c r="AG374" s="501">
        <v>0</v>
      </c>
      <c r="AH374" s="501">
        <v>0</v>
      </c>
      <c r="AI374" s="501">
        <v>0</v>
      </c>
      <c r="AJ374" s="501">
        <v>0</v>
      </c>
      <c r="AK374" s="501">
        <v>0</v>
      </c>
      <c r="AL374" s="501">
        <f t="shared" si="494"/>
        <v>0</v>
      </c>
      <c r="AM374" s="501">
        <f t="shared" si="495"/>
        <v>0</v>
      </c>
      <c r="AN374" s="502">
        <f t="shared" si="442"/>
        <v>0</v>
      </c>
      <c r="AO374" s="499">
        <f t="shared" si="496"/>
        <v>12640</v>
      </c>
      <c r="AP374" s="486">
        <f t="shared" si="497"/>
        <v>8910</v>
      </c>
      <c r="AQ374" s="486">
        <f t="shared" si="498"/>
        <v>0</v>
      </c>
      <c r="AR374" s="486">
        <f t="shared" si="499"/>
        <v>0</v>
      </c>
      <c r="AS374" s="486">
        <f t="shared" si="500"/>
        <v>3012</v>
      </c>
      <c r="AT374" s="486">
        <f t="shared" si="500"/>
        <v>178</v>
      </c>
      <c r="AU374" s="486">
        <f t="shared" si="501"/>
        <v>540</v>
      </c>
      <c r="AV374" s="501">
        <f t="shared" si="502"/>
        <v>0.04</v>
      </c>
      <c r="AW374" s="501">
        <f t="shared" si="503"/>
        <v>0</v>
      </c>
      <c r="AX374" s="502">
        <f t="shared" si="503"/>
        <v>0.04</v>
      </c>
    </row>
    <row r="375" spans="1:50" ht="14.1" customHeight="1" x14ac:dyDescent="0.2">
      <c r="A375" s="181">
        <v>76</v>
      </c>
      <c r="B375" s="179">
        <v>2461</v>
      </c>
      <c r="C375" s="180">
        <v>600079805</v>
      </c>
      <c r="D375" s="179">
        <v>72741724</v>
      </c>
      <c r="E375" s="578" t="s">
        <v>725</v>
      </c>
      <c r="F375" s="181"/>
      <c r="G375" s="578"/>
      <c r="H375" s="579"/>
      <c r="I375" s="580">
        <v>5183660</v>
      </c>
      <c r="J375" s="581">
        <v>3735528</v>
      </c>
      <c r="K375" s="581">
        <v>30664</v>
      </c>
      <c r="L375" s="581">
        <v>2664</v>
      </c>
      <c r="M375" s="581">
        <v>1272072</v>
      </c>
      <c r="N375" s="581">
        <v>74710</v>
      </c>
      <c r="O375" s="581">
        <v>70686</v>
      </c>
      <c r="P375" s="582">
        <v>8.7588999999999988</v>
      </c>
      <c r="Q375" s="582">
        <v>5.8216000000000001</v>
      </c>
      <c r="R375" s="584">
        <v>2.9373000000000005</v>
      </c>
      <c r="S375" s="583">
        <f t="shared" ref="S375:AX375" si="504">SUM(S369:S374)</f>
        <v>0</v>
      </c>
      <c r="T375" s="581">
        <f t="shared" si="504"/>
        <v>0</v>
      </c>
      <c r="U375" s="581">
        <f t="shared" si="504"/>
        <v>0</v>
      </c>
      <c r="V375" s="581">
        <f t="shared" si="504"/>
        <v>0</v>
      </c>
      <c r="W375" s="581">
        <f t="shared" si="504"/>
        <v>0</v>
      </c>
      <c r="X375" s="581">
        <f t="shared" si="504"/>
        <v>0</v>
      </c>
      <c r="Y375" s="581">
        <f t="shared" si="504"/>
        <v>0</v>
      </c>
      <c r="Z375" s="581">
        <f t="shared" si="504"/>
        <v>0</v>
      </c>
      <c r="AA375" s="581">
        <f t="shared" si="504"/>
        <v>0</v>
      </c>
      <c r="AB375" s="583">
        <f t="shared" si="504"/>
        <v>0</v>
      </c>
      <c r="AC375" s="581">
        <f t="shared" si="504"/>
        <v>0</v>
      </c>
      <c r="AD375" s="581">
        <f t="shared" si="504"/>
        <v>0</v>
      </c>
      <c r="AE375" s="581">
        <f t="shared" si="504"/>
        <v>0</v>
      </c>
      <c r="AF375" s="581">
        <f t="shared" si="504"/>
        <v>0</v>
      </c>
      <c r="AG375" s="582">
        <f t="shared" si="504"/>
        <v>0</v>
      </c>
      <c r="AH375" s="582">
        <f t="shared" si="504"/>
        <v>0</v>
      </c>
      <c r="AI375" s="582">
        <f t="shared" si="504"/>
        <v>0</v>
      </c>
      <c r="AJ375" s="582">
        <f t="shared" si="504"/>
        <v>0</v>
      </c>
      <c r="AK375" s="582">
        <f t="shared" si="504"/>
        <v>0</v>
      </c>
      <c r="AL375" s="582">
        <f t="shared" si="504"/>
        <v>0</v>
      </c>
      <c r="AM375" s="582">
        <f t="shared" si="504"/>
        <v>0</v>
      </c>
      <c r="AN375" s="584">
        <f t="shared" si="504"/>
        <v>0</v>
      </c>
      <c r="AO375" s="583">
        <f t="shared" si="504"/>
        <v>5183660</v>
      </c>
      <c r="AP375" s="581">
        <f t="shared" si="504"/>
        <v>3735528</v>
      </c>
      <c r="AQ375" s="581">
        <f t="shared" si="504"/>
        <v>30664</v>
      </c>
      <c r="AR375" s="581">
        <f t="shared" si="504"/>
        <v>2664</v>
      </c>
      <c r="AS375" s="581">
        <f t="shared" si="504"/>
        <v>1272072</v>
      </c>
      <c r="AT375" s="581">
        <f t="shared" si="504"/>
        <v>74710</v>
      </c>
      <c r="AU375" s="581">
        <f t="shared" si="504"/>
        <v>70686</v>
      </c>
      <c r="AV375" s="582">
        <f t="shared" si="504"/>
        <v>8.7588999999999988</v>
      </c>
      <c r="AW375" s="582">
        <f t="shared" si="504"/>
        <v>5.8216000000000001</v>
      </c>
      <c r="AX375" s="584">
        <f t="shared" si="504"/>
        <v>2.9373000000000005</v>
      </c>
    </row>
    <row r="376" spans="1:50" ht="14.1" customHeight="1" x14ac:dyDescent="0.2">
      <c r="A376" s="585">
        <v>77</v>
      </c>
      <c r="B376" s="586">
        <v>2460</v>
      </c>
      <c r="C376" s="587">
        <v>600079783</v>
      </c>
      <c r="D376" s="586">
        <v>72741643</v>
      </c>
      <c r="E376" s="588" t="s">
        <v>726</v>
      </c>
      <c r="F376" s="585">
        <v>3113</v>
      </c>
      <c r="G376" s="588" t="s">
        <v>320</v>
      </c>
      <c r="H376" s="589" t="s">
        <v>283</v>
      </c>
      <c r="I376" s="495">
        <v>41050453</v>
      </c>
      <c r="J376" s="411">
        <v>28957749</v>
      </c>
      <c r="K376" s="520">
        <v>284130</v>
      </c>
      <c r="L376" s="520">
        <v>284130</v>
      </c>
      <c r="M376" s="475">
        <v>9787719</v>
      </c>
      <c r="N376" s="496">
        <v>579155</v>
      </c>
      <c r="O376" s="411">
        <v>1441700</v>
      </c>
      <c r="P376" s="412">
        <v>55.490699999999997</v>
      </c>
      <c r="Q376" s="415">
        <v>42.185099999999998</v>
      </c>
      <c r="R376" s="685">
        <v>13.3056</v>
      </c>
      <c r="S376" s="499">
        <v>0</v>
      </c>
      <c r="T376" s="486">
        <v>0</v>
      </c>
      <c r="U376" s="486">
        <v>0</v>
      </c>
      <c r="V376" s="486">
        <f>SUM(S376:U376)</f>
        <v>0</v>
      </c>
      <c r="W376" s="486">
        <v>0</v>
      </c>
      <c r="X376" s="486">
        <v>0</v>
      </c>
      <c r="Y376" s="486">
        <f>SUM(W376:X376)</f>
        <v>0</v>
      </c>
      <c r="Z376" s="486">
        <f>V376+Y376</f>
        <v>0</v>
      </c>
      <c r="AA376" s="178">
        <f t="shared" si="439"/>
        <v>0</v>
      </c>
      <c r="AB376" s="745">
        <f>ROUND(V376*2%,0)</f>
        <v>0</v>
      </c>
      <c r="AC376" s="486">
        <v>0</v>
      </c>
      <c r="AD376" s="486">
        <v>0</v>
      </c>
      <c r="AE376" s="486">
        <f t="shared" si="440"/>
        <v>0</v>
      </c>
      <c r="AF376" s="486">
        <f t="shared" si="441"/>
        <v>0</v>
      </c>
      <c r="AG376" s="501">
        <v>0</v>
      </c>
      <c r="AH376" s="501">
        <v>0</v>
      </c>
      <c r="AI376" s="501">
        <v>0</v>
      </c>
      <c r="AJ376" s="501">
        <v>0</v>
      </c>
      <c r="AK376" s="501">
        <v>0</v>
      </c>
      <c r="AL376" s="501">
        <f t="shared" ref="AL376:AL380" si="505">AG376+AI376+AJ376</f>
        <v>0</v>
      </c>
      <c r="AM376" s="501">
        <f t="shared" ref="AM376:AM380" si="506">AH376+AK376</f>
        <v>0</v>
      </c>
      <c r="AN376" s="502">
        <f t="shared" si="442"/>
        <v>0</v>
      </c>
      <c r="AO376" s="499">
        <f>I376+AF376</f>
        <v>41050453</v>
      </c>
      <c r="AP376" s="486">
        <f>J376+V376</f>
        <v>28957749</v>
      </c>
      <c r="AQ376" s="486">
        <f>K376+Y376</f>
        <v>284130</v>
      </c>
      <c r="AR376" s="486">
        <f>L376</f>
        <v>284130</v>
      </c>
      <c r="AS376" s="486">
        <f t="shared" ref="AS376:AT380" si="507">M376+AA376</f>
        <v>9787719</v>
      </c>
      <c r="AT376" s="486">
        <f t="shared" si="507"/>
        <v>579155</v>
      </c>
      <c r="AU376" s="486">
        <f>O376+AE376</f>
        <v>1441700</v>
      </c>
      <c r="AV376" s="501">
        <f>P376+AN376</f>
        <v>55.490699999999997</v>
      </c>
      <c r="AW376" s="501">
        <f t="shared" ref="AW376:AX380" si="508">Q376+AL376</f>
        <v>42.185099999999998</v>
      </c>
      <c r="AX376" s="502">
        <f t="shared" si="508"/>
        <v>13.3056</v>
      </c>
    </row>
    <row r="377" spans="1:50" ht="14.1" customHeight="1" x14ac:dyDescent="0.2">
      <c r="A377" s="585">
        <v>77</v>
      </c>
      <c r="B377" s="586">
        <v>2460</v>
      </c>
      <c r="C377" s="587">
        <v>600079783</v>
      </c>
      <c r="D377" s="586">
        <v>72741643</v>
      </c>
      <c r="E377" s="588" t="s">
        <v>726</v>
      </c>
      <c r="F377" s="585">
        <v>3113</v>
      </c>
      <c r="G377" s="503" t="s">
        <v>319</v>
      </c>
      <c r="H377" s="589" t="s">
        <v>283</v>
      </c>
      <c r="I377" s="495">
        <v>238378</v>
      </c>
      <c r="J377" s="411">
        <v>175536</v>
      </c>
      <c r="K377" s="520">
        <v>0</v>
      </c>
      <c r="L377" s="520">
        <v>0</v>
      </c>
      <c r="M377" s="475">
        <v>59331</v>
      </c>
      <c r="N377" s="496">
        <v>3511</v>
      </c>
      <c r="O377" s="496">
        <v>0</v>
      </c>
      <c r="P377" s="412">
        <v>0.5</v>
      </c>
      <c r="Q377" s="415">
        <v>0.5</v>
      </c>
      <c r="R377" s="498">
        <v>0</v>
      </c>
      <c r="S377" s="499">
        <v>0</v>
      </c>
      <c r="T377" s="486">
        <v>0</v>
      </c>
      <c r="U377" s="486">
        <v>0</v>
      </c>
      <c r="V377" s="486">
        <f>SUM(S377:U377)</f>
        <v>0</v>
      </c>
      <c r="W377" s="486">
        <v>0</v>
      </c>
      <c r="X377" s="486">
        <v>0</v>
      </c>
      <c r="Y377" s="486">
        <f>SUM(W377:X377)</f>
        <v>0</v>
      </c>
      <c r="Z377" s="486">
        <f>V377+Y377</f>
        <v>0</v>
      </c>
      <c r="AA377" s="178">
        <f t="shared" si="439"/>
        <v>0</v>
      </c>
      <c r="AB377" s="745">
        <f>ROUND(V377*2%,0)</f>
        <v>0</v>
      </c>
      <c r="AC377" s="486">
        <v>0</v>
      </c>
      <c r="AD377" s="486">
        <v>0</v>
      </c>
      <c r="AE377" s="486">
        <f t="shared" si="440"/>
        <v>0</v>
      </c>
      <c r="AF377" s="486">
        <f t="shared" si="441"/>
        <v>0</v>
      </c>
      <c r="AG377" s="501">
        <v>0</v>
      </c>
      <c r="AH377" s="501">
        <v>0</v>
      </c>
      <c r="AI377" s="501">
        <v>0</v>
      </c>
      <c r="AJ377" s="501">
        <v>0</v>
      </c>
      <c r="AK377" s="501">
        <v>0</v>
      </c>
      <c r="AL377" s="501">
        <f t="shared" si="505"/>
        <v>0</v>
      </c>
      <c r="AM377" s="501">
        <f t="shared" si="506"/>
        <v>0</v>
      </c>
      <c r="AN377" s="502">
        <f t="shared" si="442"/>
        <v>0</v>
      </c>
      <c r="AO377" s="499">
        <f>I377+AF377</f>
        <v>238378</v>
      </c>
      <c r="AP377" s="486">
        <f>J377+V377</f>
        <v>175536</v>
      </c>
      <c r="AQ377" s="486">
        <f>K377+Y377</f>
        <v>0</v>
      </c>
      <c r="AR377" s="486">
        <f>L377</f>
        <v>0</v>
      </c>
      <c r="AS377" s="486">
        <f t="shared" si="507"/>
        <v>59331</v>
      </c>
      <c r="AT377" s="486">
        <f t="shared" si="507"/>
        <v>3511</v>
      </c>
      <c r="AU377" s="486">
        <f>O377+AE377</f>
        <v>0</v>
      </c>
      <c r="AV377" s="501">
        <f>P377+AN377</f>
        <v>0.5</v>
      </c>
      <c r="AW377" s="501">
        <f t="shared" si="508"/>
        <v>0.5</v>
      </c>
      <c r="AX377" s="502">
        <f t="shared" si="508"/>
        <v>0</v>
      </c>
    </row>
    <row r="378" spans="1:50" ht="14.1" customHeight="1" x14ac:dyDescent="0.2">
      <c r="A378" s="585">
        <v>77</v>
      </c>
      <c r="B378" s="586">
        <v>2460</v>
      </c>
      <c r="C378" s="587">
        <v>600079783</v>
      </c>
      <c r="D378" s="586">
        <v>72741643</v>
      </c>
      <c r="E378" s="588" t="s">
        <v>726</v>
      </c>
      <c r="F378" s="585">
        <v>3113</v>
      </c>
      <c r="G378" s="208" t="s">
        <v>318</v>
      </c>
      <c r="H378" s="589" t="s">
        <v>284</v>
      </c>
      <c r="I378" s="495">
        <v>724748</v>
      </c>
      <c r="J378" s="496">
        <v>533688</v>
      </c>
      <c r="K378" s="475">
        <v>0</v>
      </c>
      <c r="L378" s="475">
        <v>0</v>
      </c>
      <c r="M378" s="475">
        <v>180386</v>
      </c>
      <c r="N378" s="496">
        <v>10674</v>
      </c>
      <c r="O378" s="496">
        <v>0</v>
      </c>
      <c r="P378" s="412">
        <v>1.47</v>
      </c>
      <c r="Q378" s="497">
        <v>1.47</v>
      </c>
      <c r="R378" s="498">
        <v>0</v>
      </c>
      <c r="S378" s="499">
        <v>0</v>
      </c>
      <c r="T378" s="486">
        <v>0</v>
      </c>
      <c r="U378" s="486">
        <v>0</v>
      </c>
      <c r="V378" s="486">
        <f>SUM(S378:U378)</f>
        <v>0</v>
      </c>
      <c r="W378" s="486">
        <v>0</v>
      </c>
      <c r="X378" s="486">
        <v>0</v>
      </c>
      <c r="Y378" s="486">
        <f>SUM(W378:X378)</f>
        <v>0</v>
      </c>
      <c r="Z378" s="486">
        <f>V378+Y378</f>
        <v>0</v>
      </c>
      <c r="AA378" s="178">
        <f t="shared" si="439"/>
        <v>0</v>
      </c>
      <c r="AB378" s="745">
        <f>ROUND(V378*2%,0)</f>
        <v>0</v>
      </c>
      <c r="AC378" s="486">
        <v>0</v>
      </c>
      <c r="AD378" s="486">
        <v>0</v>
      </c>
      <c r="AE378" s="486">
        <f t="shared" si="440"/>
        <v>0</v>
      </c>
      <c r="AF378" s="486">
        <f t="shared" si="441"/>
        <v>0</v>
      </c>
      <c r="AG378" s="501">
        <v>0</v>
      </c>
      <c r="AH378" s="501">
        <v>0</v>
      </c>
      <c r="AI378" s="501">
        <v>0</v>
      </c>
      <c r="AJ378" s="501">
        <v>0</v>
      </c>
      <c r="AK378" s="501">
        <v>0</v>
      </c>
      <c r="AL378" s="501">
        <f t="shared" si="505"/>
        <v>0</v>
      </c>
      <c r="AM378" s="501">
        <f t="shared" si="506"/>
        <v>0</v>
      </c>
      <c r="AN378" s="502">
        <f t="shared" si="442"/>
        <v>0</v>
      </c>
      <c r="AO378" s="499">
        <f>I378+AF378</f>
        <v>724748</v>
      </c>
      <c r="AP378" s="486">
        <f>J378+V378</f>
        <v>533688</v>
      </c>
      <c r="AQ378" s="486">
        <f>K378+Y378</f>
        <v>0</v>
      </c>
      <c r="AR378" s="486">
        <f>L378</f>
        <v>0</v>
      </c>
      <c r="AS378" s="486">
        <f t="shared" si="507"/>
        <v>180386</v>
      </c>
      <c r="AT378" s="486">
        <f t="shared" si="507"/>
        <v>10674</v>
      </c>
      <c r="AU378" s="486">
        <f>O378+AE378</f>
        <v>0</v>
      </c>
      <c r="AV378" s="501">
        <f>P378+AN378</f>
        <v>1.47</v>
      </c>
      <c r="AW378" s="501">
        <f t="shared" si="508"/>
        <v>1.47</v>
      </c>
      <c r="AX378" s="502">
        <f t="shared" si="508"/>
        <v>0</v>
      </c>
    </row>
    <row r="379" spans="1:50" ht="14.1" customHeight="1" x14ac:dyDescent="0.2">
      <c r="A379" s="585">
        <v>77</v>
      </c>
      <c r="B379" s="586">
        <v>2460</v>
      </c>
      <c r="C379" s="587">
        <v>600079783</v>
      </c>
      <c r="D379" s="586">
        <v>72741643</v>
      </c>
      <c r="E379" s="588" t="s">
        <v>726</v>
      </c>
      <c r="F379" s="585">
        <v>3143</v>
      </c>
      <c r="G379" s="208" t="s">
        <v>634</v>
      </c>
      <c r="H379" s="589" t="s">
        <v>283</v>
      </c>
      <c r="I379" s="495">
        <v>2760126</v>
      </c>
      <c r="J379" s="411">
        <v>2032493</v>
      </c>
      <c r="K379" s="520">
        <v>0</v>
      </c>
      <c r="L379" s="520">
        <v>0</v>
      </c>
      <c r="M379" s="475">
        <v>686983</v>
      </c>
      <c r="N379" s="496">
        <v>40650</v>
      </c>
      <c r="O379" s="496">
        <v>0</v>
      </c>
      <c r="P379" s="412">
        <v>4.3213999999999997</v>
      </c>
      <c r="Q379" s="415">
        <v>4.3213999999999997</v>
      </c>
      <c r="R379" s="498">
        <v>0</v>
      </c>
      <c r="S379" s="499">
        <v>0</v>
      </c>
      <c r="T379" s="486">
        <v>0</v>
      </c>
      <c r="U379" s="486">
        <v>0</v>
      </c>
      <c r="V379" s="486">
        <f>SUM(S379:U379)</f>
        <v>0</v>
      </c>
      <c r="W379" s="486">
        <v>0</v>
      </c>
      <c r="X379" s="486">
        <v>0</v>
      </c>
      <c r="Y379" s="486">
        <f>SUM(W379:X379)</f>
        <v>0</v>
      </c>
      <c r="Z379" s="486">
        <f>V379+Y379</f>
        <v>0</v>
      </c>
      <c r="AA379" s="178">
        <f t="shared" si="439"/>
        <v>0</v>
      </c>
      <c r="AB379" s="745">
        <f>ROUND(V379*2%,0)</f>
        <v>0</v>
      </c>
      <c r="AC379" s="486">
        <v>0</v>
      </c>
      <c r="AD379" s="486">
        <v>0</v>
      </c>
      <c r="AE379" s="486">
        <f t="shared" si="440"/>
        <v>0</v>
      </c>
      <c r="AF379" s="486">
        <f t="shared" si="441"/>
        <v>0</v>
      </c>
      <c r="AG379" s="501">
        <v>0</v>
      </c>
      <c r="AH379" s="501">
        <v>0</v>
      </c>
      <c r="AI379" s="501">
        <v>0</v>
      </c>
      <c r="AJ379" s="501">
        <v>0</v>
      </c>
      <c r="AK379" s="501">
        <v>0</v>
      </c>
      <c r="AL379" s="501">
        <f t="shared" si="505"/>
        <v>0</v>
      </c>
      <c r="AM379" s="501">
        <f t="shared" si="506"/>
        <v>0</v>
      </c>
      <c r="AN379" s="502">
        <f t="shared" si="442"/>
        <v>0</v>
      </c>
      <c r="AO379" s="499">
        <f>I379+AF379</f>
        <v>2760126</v>
      </c>
      <c r="AP379" s="486">
        <f>J379+V379</f>
        <v>2032493</v>
      </c>
      <c r="AQ379" s="486">
        <f>K379+Y379</f>
        <v>0</v>
      </c>
      <c r="AR379" s="486">
        <f>L379</f>
        <v>0</v>
      </c>
      <c r="AS379" s="486">
        <f t="shared" si="507"/>
        <v>686983</v>
      </c>
      <c r="AT379" s="486">
        <f t="shared" si="507"/>
        <v>40650</v>
      </c>
      <c r="AU379" s="486">
        <f>O379+AE379</f>
        <v>0</v>
      </c>
      <c r="AV379" s="501">
        <f>P379+AN379</f>
        <v>4.3213999999999997</v>
      </c>
      <c r="AW379" s="501">
        <f t="shared" si="508"/>
        <v>4.3213999999999997</v>
      </c>
      <c r="AX379" s="502">
        <f t="shared" si="508"/>
        <v>0</v>
      </c>
    </row>
    <row r="380" spans="1:50" ht="14.1" customHeight="1" x14ac:dyDescent="0.2">
      <c r="A380" s="585">
        <v>77</v>
      </c>
      <c r="B380" s="586">
        <v>2460</v>
      </c>
      <c r="C380" s="587">
        <v>600079783</v>
      </c>
      <c r="D380" s="586">
        <v>72741643</v>
      </c>
      <c r="E380" s="588" t="s">
        <v>726</v>
      </c>
      <c r="F380" s="585">
        <v>3143</v>
      </c>
      <c r="G380" s="208" t="s">
        <v>635</v>
      </c>
      <c r="H380" s="589" t="s">
        <v>284</v>
      </c>
      <c r="I380" s="495">
        <v>89883</v>
      </c>
      <c r="J380" s="496">
        <v>63360</v>
      </c>
      <c r="K380" s="475">
        <v>0</v>
      </c>
      <c r="L380" s="475">
        <v>0</v>
      </c>
      <c r="M380" s="475">
        <v>21416</v>
      </c>
      <c r="N380" s="496">
        <v>1267</v>
      </c>
      <c r="O380" s="496">
        <v>3840</v>
      </c>
      <c r="P380" s="412">
        <v>0.27</v>
      </c>
      <c r="Q380" s="497">
        <v>0</v>
      </c>
      <c r="R380" s="498">
        <v>0.27</v>
      </c>
      <c r="S380" s="499">
        <v>0</v>
      </c>
      <c r="T380" s="486">
        <v>0</v>
      </c>
      <c r="U380" s="486">
        <v>0</v>
      </c>
      <c r="V380" s="486">
        <f>SUM(S380:U380)</f>
        <v>0</v>
      </c>
      <c r="W380" s="486">
        <v>0</v>
      </c>
      <c r="X380" s="486">
        <v>0</v>
      </c>
      <c r="Y380" s="486">
        <f>SUM(W380:X380)</f>
        <v>0</v>
      </c>
      <c r="Z380" s="486">
        <f>V380+Y380</f>
        <v>0</v>
      </c>
      <c r="AA380" s="178">
        <f t="shared" si="439"/>
        <v>0</v>
      </c>
      <c r="AB380" s="745">
        <f>ROUND(V380*2%,0)</f>
        <v>0</v>
      </c>
      <c r="AC380" s="486">
        <v>0</v>
      </c>
      <c r="AD380" s="486">
        <v>0</v>
      </c>
      <c r="AE380" s="486">
        <f t="shared" si="440"/>
        <v>0</v>
      </c>
      <c r="AF380" s="486">
        <f t="shared" si="441"/>
        <v>0</v>
      </c>
      <c r="AG380" s="501">
        <v>0</v>
      </c>
      <c r="AH380" s="501">
        <v>0</v>
      </c>
      <c r="AI380" s="501">
        <v>0</v>
      </c>
      <c r="AJ380" s="501">
        <v>0</v>
      </c>
      <c r="AK380" s="501">
        <v>0</v>
      </c>
      <c r="AL380" s="501">
        <f t="shared" si="505"/>
        <v>0</v>
      </c>
      <c r="AM380" s="501">
        <f t="shared" si="506"/>
        <v>0</v>
      </c>
      <c r="AN380" s="502">
        <f t="shared" si="442"/>
        <v>0</v>
      </c>
      <c r="AO380" s="499">
        <f>I380+AF380</f>
        <v>89883</v>
      </c>
      <c r="AP380" s="486">
        <f>J380+V380</f>
        <v>63360</v>
      </c>
      <c r="AQ380" s="486">
        <f>K380+Y380</f>
        <v>0</v>
      </c>
      <c r="AR380" s="486">
        <f>L380</f>
        <v>0</v>
      </c>
      <c r="AS380" s="486">
        <f t="shared" si="507"/>
        <v>21416</v>
      </c>
      <c r="AT380" s="486">
        <f t="shared" si="507"/>
        <v>1267</v>
      </c>
      <c r="AU380" s="486">
        <f>O380+AE380</f>
        <v>3840</v>
      </c>
      <c r="AV380" s="501">
        <f>P380+AN380</f>
        <v>0.27</v>
      </c>
      <c r="AW380" s="501">
        <f t="shared" si="508"/>
        <v>0</v>
      </c>
      <c r="AX380" s="502">
        <f t="shared" si="508"/>
        <v>0.27</v>
      </c>
    </row>
    <row r="381" spans="1:50" ht="14.1" customHeight="1" x14ac:dyDescent="0.2">
      <c r="A381" s="181">
        <v>77</v>
      </c>
      <c r="B381" s="179">
        <v>2460</v>
      </c>
      <c r="C381" s="180">
        <v>600079783</v>
      </c>
      <c r="D381" s="179">
        <v>72741643</v>
      </c>
      <c r="E381" s="578" t="s">
        <v>727</v>
      </c>
      <c r="F381" s="181"/>
      <c r="G381" s="578"/>
      <c r="H381" s="579"/>
      <c r="I381" s="580">
        <v>44863588</v>
      </c>
      <c r="J381" s="581">
        <v>31762826</v>
      </c>
      <c r="K381" s="581">
        <v>284130</v>
      </c>
      <c r="L381" s="581">
        <v>284130</v>
      </c>
      <c r="M381" s="581">
        <v>10735835</v>
      </c>
      <c r="N381" s="581">
        <v>635257</v>
      </c>
      <c r="O381" s="581">
        <v>1445540</v>
      </c>
      <c r="P381" s="582">
        <v>62.052099999999996</v>
      </c>
      <c r="Q381" s="582">
        <v>48.476499999999994</v>
      </c>
      <c r="R381" s="584">
        <v>13.5756</v>
      </c>
      <c r="S381" s="583">
        <f t="shared" ref="S381:AX381" si="509">SUM(S376:S380)</f>
        <v>0</v>
      </c>
      <c r="T381" s="581">
        <f t="shared" si="509"/>
        <v>0</v>
      </c>
      <c r="U381" s="581">
        <f t="shared" si="509"/>
        <v>0</v>
      </c>
      <c r="V381" s="581">
        <f t="shared" si="509"/>
        <v>0</v>
      </c>
      <c r="W381" s="581">
        <f t="shared" si="509"/>
        <v>0</v>
      </c>
      <c r="X381" s="581">
        <f t="shared" si="509"/>
        <v>0</v>
      </c>
      <c r="Y381" s="581">
        <f t="shared" si="509"/>
        <v>0</v>
      </c>
      <c r="Z381" s="581">
        <f t="shared" si="509"/>
        <v>0</v>
      </c>
      <c r="AA381" s="581">
        <f t="shared" si="509"/>
        <v>0</v>
      </c>
      <c r="AB381" s="583">
        <f t="shared" si="509"/>
        <v>0</v>
      </c>
      <c r="AC381" s="581">
        <f t="shared" si="509"/>
        <v>0</v>
      </c>
      <c r="AD381" s="581">
        <f t="shared" si="509"/>
        <v>0</v>
      </c>
      <c r="AE381" s="581">
        <f t="shared" si="509"/>
        <v>0</v>
      </c>
      <c r="AF381" s="581">
        <f t="shared" si="509"/>
        <v>0</v>
      </c>
      <c r="AG381" s="582">
        <f t="shared" si="509"/>
        <v>0</v>
      </c>
      <c r="AH381" s="582">
        <f t="shared" si="509"/>
        <v>0</v>
      </c>
      <c r="AI381" s="582">
        <f t="shared" si="509"/>
        <v>0</v>
      </c>
      <c r="AJ381" s="582">
        <f t="shared" si="509"/>
        <v>0</v>
      </c>
      <c r="AK381" s="582">
        <f t="shared" si="509"/>
        <v>0</v>
      </c>
      <c r="AL381" s="582">
        <f t="shared" si="509"/>
        <v>0</v>
      </c>
      <c r="AM381" s="582">
        <f t="shared" si="509"/>
        <v>0</v>
      </c>
      <c r="AN381" s="584">
        <f t="shared" si="509"/>
        <v>0</v>
      </c>
      <c r="AO381" s="583">
        <f t="shared" si="509"/>
        <v>44863588</v>
      </c>
      <c r="AP381" s="581">
        <f t="shared" si="509"/>
        <v>31762826</v>
      </c>
      <c r="AQ381" s="581">
        <f t="shared" si="509"/>
        <v>284130</v>
      </c>
      <c r="AR381" s="581">
        <f t="shared" si="509"/>
        <v>284130</v>
      </c>
      <c r="AS381" s="581">
        <f t="shared" si="509"/>
        <v>10735835</v>
      </c>
      <c r="AT381" s="581">
        <f t="shared" si="509"/>
        <v>635257</v>
      </c>
      <c r="AU381" s="581">
        <f t="shared" si="509"/>
        <v>1445540</v>
      </c>
      <c r="AV381" s="582">
        <f t="shared" si="509"/>
        <v>62.052099999999996</v>
      </c>
      <c r="AW381" s="582">
        <f t="shared" si="509"/>
        <v>48.476499999999994</v>
      </c>
      <c r="AX381" s="584">
        <f t="shared" si="509"/>
        <v>13.5756</v>
      </c>
    </row>
    <row r="382" spans="1:50" ht="14.1" customHeight="1" x14ac:dyDescent="0.2">
      <c r="A382" s="585">
        <v>78</v>
      </c>
      <c r="B382" s="586">
        <v>2324</v>
      </c>
      <c r="C382" s="587">
        <v>600074030</v>
      </c>
      <c r="D382" s="586">
        <v>71013083</v>
      </c>
      <c r="E382" s="588" t="s">
        <v>728</v>
      </c>
      <c r="F382" s="585">
        <v>3111</v>
      </c>
      <c r="G382" s="588" t="s">
        <v>317</v>
      </c>
      <c r="H382" s="589" t="s">
        <v>283</v>
      </c>
      <c r="I382" s="495">
        <v>10946781</v>
      </c>
      <c r="J382" s="411">
        <v>7962546</v>
      </c>
      <c r="K382" s="520">
        <v>23500</v>
      </c>
      <c r="L382" s="520">
        <v>0</v>
      </c>
      <c r="M382" s="475">
        <v>2699284</v>
      </c>
      <c r="N382" s="496">
        <v>159251</v>
      </c>
      <c r="O382" s="411">
        <v>102200</v>
      </c>
      <c r="P382" s="412">
        <v>18.884999999999998</v>
      </c>
      <c r="Q382" s="415">
        <v>14</v>
      </c>
      <c r="R382" s="685">
        <v>4.8849999999999998</v>
      </c>
      <c r="S382" s="499">
        <v>0</v>
      </c>
      <c r="T382" s="486">
        <v>0</v>
      </c>
      <c r="U382" s="486">
        <v>0</v>
      </c>
      <c r="V382" s="486">
        <f>SUM(S382:U382)</f>
        <v>0</v>
      </c>
      <c r="W382" s="486">
        <v>0</v>
      </c>
      <c r="X382" s="486">
        <v>0</v>
      </c>
      <c r="Y382" s="486">
        <f>SUM(W382:X382)</f>
        <v>0</v>
      </c>
      <c r="Z382" s="486">
        <f>V382+Y382</f>
        <v>0</v>
      </c>
      <c r="AA382" s="178">
        <f t="shared" si="439"/>
        <v>0</v>
      </c>
      <c r="AB382" s="745">
        <f>ROUND(V382*2%,0)</f>
        <v>0</v>
      </c>
      <c r="AC382" s="486">
        <v>0</v>
      </c>
      <c r="AD382" s="486">
        <v>0</v>
      </c>
      <c r="AE382" s="486">
        <f t="shared" si="440"/>
        <v>0</v>
      </c>
      <c r="AF382" s="486">
        <f t="shared" si="441"/>
        <v>0</v>
      </c>
      <c r="AG382" s="501">
        <v>0</v>
      </c>
      <c r="AH382" s="501">
        <v>0</v>
      </c>
      <c r="AI382" s="501">
        <v>0</v>
      </c>
      <c r="AJ382" s="501">
        <v>0</v>
      </c>
      <c r="AK382" s="501">
        <v>0</v>
      </c>
      <c r="AL382" s="501">
        <f t="shared" ref="AL382:AL384" si="510">AG382+AI382+AJ382</f>
        <v>0</v>
      </c>
      <c r="AM382" s="501">
        <f t="shared" ref="AM382:AM384" si="511">AH382+AK382</f>
        <v>0</v>
      </c>
      <c r="AN382" s="502">
        <f t="shared" si="442"/>
        <v>0</v>
      </c>
      <c r="AO382" s="499">
        <f>I382+AF382</f>
        <v>10946781</v>
      </c>
      <c r="AP382" s="486">
        <f>J382+V382</f>
        <v>7962546</v>
      </c>
      <c r="AQ382" s="486">
        <f>K382+Y382</f>
        <v>23500</v>
      </c>
      <c r="AR382" s="486">
        <f>L382</f>
        <v>0</v>
      </c>
      <c r="AS382" s="486">
        <f t="shared" ref="AS382:AT384" si="512">M382+AA382</f>
        <v>2699284</v>
      </c>
      <c r="AT382" s="486">
        <f t="shared" si="512"/>
        <v>159251</v>
      </c>
      <c r="AU382" s="486">
        <f>O382+AE382</f>
        <v>102200</v>
      </c>
      <c r="AV382" s="501">
        <f>P382+AN382</f>
        <v>18.884999999999998</v>
      </c>
      <c r="AW382" s="501">
        <f t="shared" ref="AW382:AX384" si="513">Q382+AL382</f>
        <v>14</v>
      </c>
      <c r="AX382" s="502">
        <f t="shared" si="513"/>
        <v>4.8849999999999998</v>
      </c>
    </row>
    <row r="383" spans="1:50" ht="14.1" customHeight="1" x14ac:dyDescent="0.2">
      <c r="A383" s="585">
        <v>78</v>
      </c>
      <c r="B383" s="586">
        <v>2324</v>
      </c>
      <c r="C383" s="587">
        <v>600074030</v>
      </c>
      <c r="D383" s="586">
        <v>71013083</v>
      </c>
      <c r="E383" s="588" t="s">
        <v>728</v>
      </c>
      <c r="F383" s="585">
        <v>3111</v>
      </c>
      <c r="G383" s="208" t="s">
        <v>318</v>
      </c>
      <c r="H383" s="589" t="s">
        <v>284</v>
      </c>
      <c r="I383" s="495">
        <v>732769</v>
      </c>
      <c r="J383" s="496">
        <v>539594</v>
      </c>
      <c r="K383" s="475">
        <v>0</v>
      </c>
      <c r="L383" s="475">
        <v>0</v>
      </c>
      <c r="M383" s="475">
        <v>182383</v>
      </c>
      <c r="N383" s="496">
        <v>10792</v>
      </c>
      <c r="O383" s="496">
        <v>0</v>
      </c>
      <c r="P383" s="412">
        <v>1.58</v>
      </c>
      <c r="Q383" s="497">
        <v>1.58</v>
      </c>
      <c r="R383" s="498">
        <v>0</v>
      </c>
      <c r="S383" s="499">
        <v>0</v>
      </c>
      <c r="T383" s="486">
        <v>0</v>
      </c>
      <c r="U383" s="486">
        <v>0</v>
      </c>
      <c r="V383" s="486">
        <f>SUM(S383:U383)</f>
        <v>0</v>
      </c>
      <c r="W383" s="486">
        <v>0</v>
      </c>
      <c r="X383" s="486">
        <v>0</v>
      </c>
      <c r="Y383" s="486">
        <f>SUM(W383:X383)</f>
        <v>0</v>
      </c>
      <c r="Z383" s="486">
        <f>V383+Y383</f>
        <v>0</v>
      </c>
      <c r="AA383" s="178">
        <f t="shared" si="439"/>
        <v>0</v>
      </c>
      <c r="AB383" s="745">
        <f>ROUND(V383*2%,0)</f>
        <v>0</v>
      </c>
      <c r="AC383" s="486">
        <v>0</v>
      </c>
      <c r="AD383" s="486">
        <v>0</v>
      </c>
      <c r="AE383" s="486">
        <f t="shared" si="440"/>
        <v>0</v>
      </c>
      <c r="AF383" s="486">
        <f t="shared" si="441"/>
        <v>0</v>
      </c>
      <c r="AG383" s="501">
        <v>0</v>
      </c>
      <c r="AH383" s="501">
        <v>0</v>
      </c>
      <c r="AI383" s="501">
        <v>0</v>
      </c>
      <c r="AJ383" s="501">
        <v>0</v>
      </c>
      <c r="AK383" s="501">
        <v>0</v>
      </c>
      <c r="AL383" s="501">
        <f t="shared" si="510"/>
        <v>0</v>
      </c>
      <c r="AM383" s="501">
        <f t="shared" si="511"/>
        <v>0</v>
      </c>
      <c r="AN383" s="502">
        <f t="shared" si="442"/>
        <v>0</v>
      </c>
      <c r="AO383" s="499">
        <f>I383+AF383</f>
        <v>732769</v>
      </c>
      <c r="AP383" s="486">
        <f>J383+V383</f>
        <v>539594</v>
      </c>
      <c r="AQ383" s="486">
        <f>K383+Y383</f>
        <v>0</v>
      </c>
      <c r="AR383" s="486">
        <f>L383</f>
        <v>0</v>
      </c>
      <c r="AS383" s="486">
        <f t="shared" si="512"/>
        <v>182383</v>
      </c>
      <c r="AT383" s="486">
        <f t="shared" si="512"/>
        <v>10792</v>
      </c>
      <c r="AU383" s="486">
        <f>O383+AE383</f>
        <v>0</v>
      </c>
      <c r="AV383" s="501">
        <f>P383+AN383</f>
        <v>1.58</v>
      </c>
      <c r="AW383" s="501">
        <f t="shared" si="513"/>
        <v>1.58</v>
      </c>
      <c r="AX383" s="502">
        <f t="shared" si="513"/>
        <v>0</v>
      </c>
    </row>
    <row r="384" spans="1:50" ht="14.1" customHeight="1" x14ac:dyDescent="0.2">
      <c r="A384" s="585">
        <v>78</v>
      </c>
      <c r="B384" s="586">
        <v>2324</v>
      </c>
      <c r="C384" s="587">
        <v>600074030</v>
      </c>
      <c r="D384" s="586">
        <v>71013083</v>
      </c>
      <c r="E384" s="588" t="s">
        <v>728</v>
      </c>
      <c r="F384" s="585">
        <v>3141</v>
      </c>
      <c r="G384" s="588" t="s">
        <v>321</v>
      </c>
      <c r="H384" s="589" t="s">
        <v>284</v>
      </c>
      <c r="I384" s="495">
        <v>1081407</v>
      </c>
      <c r="J384" s="496">
        <v>791398</v>
      </c>
      <c r="K384" s="475">
        <v>0</v>
      </c>
      <c r="L384" s="475">
        <v>0</v>
      </c>
      <c r="M384" s="475">
        <v>267493</v>
      </c>
      <c r="N384" s="496">
        <v>15828</v>
      </c>
      <c r="O384" s="496">
        <v>6688</v>
      </c>
      <c r="P384" s="412">
        <v>2.7</v>
      </c>
      <c r="Q384" s="497">
        <v>0</v>
      </c>
      <c r="R384" s="498">
        <v>2.7</v>
      </c>
      <c r="S384" s="499">
        <v>0</v>
      </c>
      <c r="T384" s="486">
        <v>0</v>
      </c>
      <c r="U384" s="486">
        <v>0</v>
      </c>
      <c r="V384" s="486">
        <f>SUM(S384:U384)</f>
        <v>0</v>
      </c>
      <c r="W384" s="486">
        <v>0</v>
      </c>
      <c r="X384" s="486">
        <v>0</v>
      </c>
      <c r="Y384" s="486">
        <f>SUM(W384:X384)</f>
        <v>0</v>
      </c>
      <c r="Z384" s="486">
        <f>V384+Y384</f>
        <v>0</v>
      </c>
      <c r="AA384" s="178">
        <f t="shared" si="439"/>
        <v>0</v>
      </c>
      <c r="AB384" s="745">
        <f>ROUND(V384*2%,0)</f>
        <v>0</v>
      </c>
      <c r="AC384" s="486">
        <v>0</v>
      </c>
      <c r="AD384" s="486">
        <v>0</v>
      </c>
      <c r="AE384" s="486">
        <f t="shared" si="440"/>
        <v>0</v>
      </c>
      <c r="AF384" s="486">
        <f t="shared" si="441"/>
        <v>0</v>
      </c>
      <c r="AG384" s="501">
        <v>0</v>
      </c>
      <c r="AH384" s="501">
        <v>0</v>
      </c>
      <c r="AI384" s="501">
        <v>0</v>
      </c>
      <c r="AJ384" s="501">
        <v>0</v>
      </c>
      <c r="AK384" s="501">
        <v>0</v>
      </c>
      <c r="AL384" s="501">
        <f t="shared" si="510"/>
        <v>0</v>
      </c>
      <c r="AM384" s="501">
        <f t="shared" si="511"/>
        <v>0</v>
      </c>
      <c r="AN384" s="502">
        <f t="shared" si="442"/>
        <v>0</v>
      </c>
      <c r="AO384" s="499">
        <f>I384+AF384</f>
        <v>1081407</v>
      </c>
      <c r="AP384" s="486">
        <f>J384+V384</f>
        <v>791398</v>
      </c>
      <c r="AQ384" s="486">
        <f>K384+Y384</f>
        <v>0</v>
      </c>
      <c r="AR384" s="486">
        <f>L384</f>
        <v>0</v>
      </c>
      <c r="AS384" s="486">
        <f t="shared" si="512"/>
        <v>267493</v>
      </c>
      <c r="AT384" s="486">
        <f t="shared" si="512"/>
        <v>15828</v>
      </c>
      <c r="AU384" s="486">
        <f>O384+AE384</f>
        <v>6688</v>
      </c>
      <c r="AV384" s="501">
        <f>P384+AN384</f>
        <v>2.7</v>
      </c>
      <c r="AW384" s="501">
        <f t="shared" si="513"/>
        <v>0</v>
      </c>
      <c r="AX384" s="502">
        <f t="shared" si="513"/>
        <v>2.7</v>
      </c>
    </row>
    <row r="385" spans="1:50" ht="14.1" customHeight="1" x14ac:dyDescent="0.2">
      <c r="A385" s="181">
        <v>78</v>
      </c>
      <c r="B385" s="179">
        <v>2324</v>
      </c>
      <c r="C385" s="180">
        <v>600074030</v>
      </c>
      <c r="D385" s="179">
        <v>71013083</v>
      </c>
      <c r="E385" s="578" t="s">
        <v>729</v>
      </c>
      <c r="F385" s="181"/>
      <c r="G385" s="578"/>
      <c r="H385" s="579"/>
      <c r="I385" s="580">
        <v>12760957</v>
      </c>
      <c r="J385" s="581">
        <v>9293538</v>
      </c>
      <c r="K385" s="581">
        <v>23500</v>
      </c>
      <c r="L385" s="581">
        <v>0</v>
      </c>
      <c r="M385" s="581">
        <v>3149160</v>
      </c>
      <c r="N385" s="581">
        <v>185871</v>
      </c>
      <c r="O385" s="581">
        <v>108888</v>
      </c>
      <c r="P385" s="582">
        <v>23.164999999999996</v>
      </c>
      <c r="Q385" s="582">
        <v>15.58</v>
      </c>
      <c r="R385" s="584">
        <v>7.585</v>
      </c>
      <c r="S385" s="583">
        <f t="shared" ref="S385:AX385" si="514">SUM(S382:S384)</f>
        <v>0</v>
      </c>
      <c r="T385" s="581">
        <f t="shared" si="514"/>
        <v>0</v>
      </c>
      <c r="U385" s="581">
        <f t="shared" si="514"/>
        <v>0</v>
      </c>
      <c r="V385" s="581">
        <f t="shared" si="514"/>
        <v>0</v>
      </c>
      <c r="W385" s="581">
        <f t="shared" si="514"/>
        <v>0</v>
      </c>
      <c r="X385" s="581">
        <f t="shared" si="514"/>
        <v>0</v>
      </c>
      <c r="Y385" s="581">
        <f t="shared" si="514"/>
        <v>0</v>
      </c>
      <c r="Z385" s="581">
        <f t="shared" si="514"/>
        <v>0</v>
      </c>
      <c r="AA385" s="581">
        <f t="shared" si="514"/>
        <v>0</v>
      </c>
      <c r="AB385" s="583">
        <f t="shared" si="514"/>
        <v>0</v>
      </c>
      <c r="AC385" s="581">
        <f t="shared" si="514"/>
        <v>0</v>
      </c>
      <c r="AD385" s="581">
        <f t="shared" si="514"/>
        <v>0</v>
      </c>
      <c r="AE385" s="581">
        <f t="shared" si="514"/>
        <v>0</v>
      </c>
      <c r="AF385" s="581">
        <f t="shared" si="514"/>
        <v>0</v>
      </c>
      <c r="AG385" s="582">
        <f t="shared" si="514"/>
        <v>0</v>
      </c>
      <c r="AH385" s="582">
        <f t="shared" si="514"/>
        <v>0</v>
      </c>
      <c r="AI385" s="582">
        <f t="shared" si="514"/>
        <v>0</v>
      </c>
      <c r="AJ385" s="582">
        <f t="shared" si="514"/>
        <v>0</v>
      </c>
      <c r="AK385" s="582">
        <f t="shared" si="514"/>
        <v>0</v>
      </c>
      <c r="AL385" s="582">
        <f t="shared" si="514"/>
        <v>0</v>
      </c>
      <c r="AM385" s="582">
        <f t="shared" si="514"/>
        <v>0</v>
      </c>
      <c r="AN385" s="584">
        <f t="shared" si="514"/>
        <v>0</v>
      </c>
      <c r="AO385" s="583">
        <f t="shared" si="514"/>
        <v>12760957</v>
      </c>
      <c r="AP385" s="581">
        <f t="shared" si="514"/>
        <v>9293538</v>
      </c>
      <c r="AQ385" s="581">
        <f t="shared" si="514"/>
        <v>23500</v>
      </c>
      <c r="AR385" s="581">
        <f t="shared" si="514"/>
        <v>0</v>
      </c>
      <c r="AS385" s="581">
        <f t="shared" si="514"/>
        <v>3149160</v>
      </c>
      <c r="AT385" s="581">
        <f t="shared" si="514"/>
        <v>185871</v>
      </c>
      <c r="AU385" s="581">
        <f t="shared" si="514"/>
        <v>108888</v>
      </c>
      <c r="AV385" s="582">
        <f t="shared" si="514"/>
        <v>23.164999999999996</v>
      </c>
      <c r="AW385" s="582">
        <f t="shared" si="514"/>
        <v>15.58</v>
      </c>
      <c r="AX385" s="584">
        <f t="shared" si="514"/>
        <v>7.585</v>
      </c>
    </row>
    <row r="386" spans="1:50" ht="14.1" customHeight="1" x14ac:dyDescent="0.2">
      <c r="A386" s="585">
        <v>79</v>
      </c>
      <c r="B386" s="586">
        <v>2325</v>
      </c>
      <c r="C386" s="587">
        <v>600074561</v>
      </c>
      <c r="D386" s="586">
        <v>46750321</v>
      </c>
      <c r="E386" s="588" t="s">
        <v>730</v>
      </c>
      <c r="F386" s="585">
        <v>3113</v>
      </c>
      <c r="G386" s="588" t="s">
        <v>320</v>
      </c>
      <c r="H386" s="589" t="s">
        <v>283</v>
      </c>
      <c r="I386" s="495">
        <v>26423500</v>
      </c>
      <c r="J386" s="411">
        <v>18744681</v>
      </c>
      <c r="K386" s="520">
        <v>69644</v>
      </c>
      <c r="L386" s="520">
        <v>59644</v>
      </c>
      <c r="M386" s="475">
        <v>6339082</v>
      </c>
      <c r="N386" s="496">
        <v>374893</v>
      </c>
      <c r="O386" s="411">
        <v>895200</v>
      </c>
      <c r="P386" s="412">
        <v>34.880800000000001</v>
      </c>
      <c r="Q386" s="415">
        <v>27.298200000000001</v>
      </c>
      <c r="R386" s="685">
        <v>7.5826000000000002</v>
      </c>
      <c r="S386" s="499">
        <v>0</v>
      </c>
      <c r="T386" s="486">
        <v>0</v>
      </c>
      <c r="U386" s="486">
        <v>261165</v>
      </c>
      <c r="V386" s="486">
        <f t="shared" ref="V386:V391" si="515">SUM(S386:U386)</f>
        <v>261165</v>
      </c>
      <c r="W386" s="486">
        <v>0</v>
      </c>
      <c r="X386" s="486">
        <v>0</v>
      </c>
      <c r="Y386" s="486">
        <f t="shared" ref="Y386:Y391" si="516">SUM(W386:X386)</f>
        <v>0</v>
      </c>
      <c r="Z386" s="486">
        <f t="shared" ref="Z386:Z391" si="517">V386+Y386</f>
        <v>261165</v>
      </c>
      <c r="AA386" s="178">
        <f t="shared" si="439"/>
        <v>88274</v>
      </c>
      <c r="AB386" s="745">
        <f t="shared" ref="AB386:AB391" si="518">ROUND(V386*2%,0)</f>
        <v>5223</v>
      </c>
      <c r="AC386" s="486">
        <v>0</v>
      </c>
      <c r="AD386" s="486">
        <v>0</v>
      </c>
      <c r="AE386" s="486">
        <f t="shared" si="440"/>
        <v>0</v>
      </c>
      <c r="AF386" s="486">
        <f t="shared" si="441"/>
        <v>354662</v>
      </c>
      <c r="AG386" s="501">
        <v>0</v>
      </c>
      <c r="AH386" s="501">
        <v>0</v>
      </c>
      <c r="AI386" s="501">
        <v>0</v>
      </c>
      <c r="AJ386" s="501">
        <v>0.43</v>
      </c>
      <c r="AK386" s="501">
        <v>0</v>
      </c>
      <c r="AL386" s="501">
        <f t="shared" ref="AL386:AL391" si="519">AG386+AI386+AJ386</f>
        <v>0.43</v>
      </c>
      <c r="AM386" s="501">
        <f t="shared" ref="AM386:AM391" si="520">AH386+AK386</f>
        <v>0</v>
      </c>
      <c r="AN386" s="502">
        <f t="shared" si="442"/>
        <v>0.43</v>
      </c>
      <c r="AO386" s="499">
        <f t="shared" ref="AO386:AO391" si="521">I386+AF386</f>
        <v>26778162</v>
      </c>
      <c r="AP386" s="486">
        <f t="shared" ref="AP386:AP391" si="522">J386+V386</f>
        <v>19005846</v>
      </c>
      <c r="AQ386" s="486">
        <f t="shared" ref="AQ386:AQ391" si="523">K386+Y386</f>
        <v>69644</v>
      </c>
      <c r="AR386" s="486">
        <f t="shared" ref="AR386:AR391" si="524">L386</f>
        <v>59644</v>
      </c>
      <c r="AS386" s="486">
        <f t="shared" ref="AS386:AT391" si="525">M386+AA386</f>
        <v>6427356</v>
      </c>
      <c r="AT386" s="486">
        <f t="shared" si="525"/>
        <v>380116</v>
      </c>
      <c r="AU386" s="486">
        <f t="shared" ref="AU386:AU391" si="526">O386+AE386</f>
        <v>895200</v>
      </c>
      <c r="AV386" s="501">
        <f t="shared" ref="AV386:AV391" si="527">P386+AN386</f>
        <v>35.3108</v>
      </c>
      <c r="AW386" s="501">
        <f t="shared" ref="AW386:AX391" si="528">Q386+AL386</f>
        <v>27.728200000000001</v>
      </c>
      <c r="AX386" s="502">
        <f t="shared" si="528"/>
        <v>7.5826000000000002</v>
      </c>
    </row>
    <row r="387" spans="1:50" ht="14.1" customHeight="1" x14ac:dyDescent="0.2">
      <c r="A387" s="585">
        <v>79</v>
      </c>
      <c r="B387" s="586">
        <v>2325</v>
      </c>
      <c r="C387" s="587">
        <v>600074561</v>
      </c>
      <c r="D387" s="586">
        <v>46750321</v>
      </c>
      <c r="E387" s="588" t="s">
        <v>730</v>
      </c>
      <c r="F387" s="585">
        <v>3113</v>
      </c>
      <c r="G387" s="208" t="s">
        <v>318</v>
      </c>
      <c r="H387" s="589" t="s">
        <v>284</v>
      </c>
      <c r="I387" s="495">
        <v>2926499</v>
      </c>
      <c r="J387" s="496">
        <v>2142893</v>
      </c>
      <c r="K387" s="475">
        <v>0</v>
      </c>
      <c r="L387" s="475">
        <v>0</v>
      </c>
      <c r="M387" s="475">
        <v>724298</v>
      </c>
      <c r="N387" s="496">
        <v>42858</v>
      </c>
      <c r="O387" s="496">
        <v>16450</v>
      </c>
      <c r="P387" s="412">
        <v>6.21</v>
      </c>
      <c r="Q387" s="497">
        <v>6.21</v>
      </c>
      <c r="R387" s="498">
        <v>0</v>
      </c>
      <c r="S387" s="499">
        <v>0</v>
      </c>
      <c r="T387" s="486">
        <v>0</v>
      </c>
      <c r="U387" s="486">
        <v>0</v>
      </c>
      <c r="V387" s="486">
        <f t="shared" si="515"/>
        <v>0</v>
      </c>
      <c r="W387" s="486">
        <v>0</v>
      </c>
      <c r="X387" s="486">
        <v>0</v>
      </c>
      <c r="Y387" s="486">
        <f t="shared" si="516"/>
        <v>0</v>
      </c>
      <c r="Z387" s="486">
        <f t="shared" si="517"/>
        <v>0</v>
      </c>
      <c r="AA387" s="178">
        <f t="shared" si="439"/>
        <v>0</v>
      </c>
      <c r="AB387" s="745">
        <f t="shared" si="518"/>
        <v>0</v>
      </c>
      <c r="AC387" s="486">
        <v>0</v>
      </c>
      <c r="AD387" s="486">
        <v>0</v>
      </c>
      <c r="AE387" s="486">
        <f t="shared" si="440"/>
        <v>0</v>
      </c>
      <c r="AF387" s="486">
        <f t="shared" si="441"/>
        <v>0</v>
      </c>
      <c r="AG387" s="501">
        <v>0</v>
      </c>
      <c r="AH387" s="501">
        <v>0</v>
      </c>
      <c r="AI387" s="501">
        <v>0</v>
      </c>
      <c r="AJ387" s="501">
        <v>0</v>
      </c>
      <c r="AK387" s="501">
        <v>0</v>
      </c>
      <c r="AL387" s="501">
        <f t="shared" si="519"/>
        <v>0</v>
      </c>
      <c r="AM387" s="501">
        <f t="shared" si="520"/>
        <v>0</v>
      </c>
      <c r="AN387" s="502">
        <f t="shared" si="442"/>
        <v>0</v>
      </c>
      <c r="AO387" s="499">
        <f t="shared" si="521"/>
        <v>2926499</v>
      </c>
      <c r="AP387" s="486">
        <f t="shared" si="522"/>
        <v>2142893</v>
      </c>
      <c r="AQ387" s="486">
        <f t="shared" si="523"/>
        <v>0</v>
      </c>
      <c r="AR387" s="486">
        <f t="shared" si="524"/>
        <v>0</v>
      </c>
      <c r="AS387" s="486">
        <f t="shared" si="525"/>
        <v>724298</v>
      </c>
      <c r="AT387" s="486">
        <f t="shared" si="525"/>
        <v>42858</v>
      </c>
      <c r="AU387" s="486">
        <f t="shared" si="526"/>
        <v>16450</v>
      </c>
      <c r="AV387" s="501">
        <f t="shared" si="527"/>
        <v>6.21</v>
      </c>
      <c r="AW387" s="501">
        <f t="shared" si="528"/>
        <v>6.21</v>
      </c>
      <c r="AX387" s="502">
        <f t="shared" si="528"/>
        <v>0</v>
      </c>
    </row>
    <row r="388" spans="1:50" ht="14.1" customHeight="1" x14ac:dyDescent="0.2">
      <c r="A388" s="585">
        <v>79</v>
      </c>
      <c r="B388" s="586">
        <v>2325</v>
      </c>
      <c r="C388" s="587">
        <v>600074561</v>
      </c>
      <c r="D388" s="586">
        <v>46750321</v>
      </c>
      <c r="E388" s="588" t="s">
        <v>730</v>
      </c>
      <c r="F388" s="585">
        <v>3141</v>
      </c>
      <c r="G388" s="588" t="s">
        <v>321</v>
      </c>
      <c r="H388" s="589" t="s">
        <v>284</v>
      </c>
      <c r="I388" s="495">
        <v>2615320</v>
      </c>
      <c r="J388" s="496">
        <v>1909448</v>
      </c>
      <c r="K388" s="475">
        <v>0</v>
      </c>
      <c r="L388" s="475">
        <v>0</v>
      </c>
      <c r="M388" s="475">
        <v>645393</v>
      </c>
      <c r="N388" s="496">
        <v>38189</v>
      </c>
      <c r="O388" s="496">
        <v>22290</v>
      </c>
      <c r="P388" s="412">
        <v>6.5</v>
      </c>
      <c r="Q388" s="497">
        <v>0</v>
      </c>
      <c r="R388" s="498">
        <v>6.5</v>
      </c>
      <c r="S388" s="499">
        <v>0</v>
      </c>
      <c r="T388" s="486">
        <v>0</v>
      </c>
      <c r="U388" s="486">
        <v>0</v>
      </c>
      <c r="V388" s="486">
        <f t="shared" si="515"/>
        <v>0</v>
      </c>
      <c r="W388" s="486">
        <v>0</v>
      </c>
      <c r="X388" s="486">
        <v>0</v>
      </c>
      <c r="Y388" s="486">
        <f t="shared" si="516"/>
        <v>0</v>
      </c>
      <c r="Z388" s="486">
        <f t="shared" si="517"/>
        <v>0</v>
      </c>
      <c r="AA388" s="178">
        <f t="shared" si="439"/>
        <v>0</v>
      </c>
      <c r="AB388" s="745">
        <f t="shared" si="518"/>
        <v>0</v>
      </c>
      <c r="AC388" s="486">
        <v>0</v>
      </c>
      <c r="AD388" s="486">
        <v>0</v>
      </c>
      <c r="AE388" s="486">
        <f t="shared" si="440"/>
        <v>0</v>
      </c>
      <c r="AF388" s="486">
        <f t="shared" si="441"/>
        <v>0</v>
      </c>
      <c r="AG388" s="501">
        <v>0</v>
      </c>
      <c r="AH388" s="501">
        <v>0</v>
      </c>
      <c r="AI388" s="501">
        <v>0</v>
      </c>
      <c r="AJ388" s="501">
        <v>0</v>
      </c>
      <c r="AK388" s="501">
        <v>0</v>
      </c>
      <c r="AL388" s="501">
        <f t="shared" si="519"/>
        <v>0</v>
      </c>
      <c r="AM388" s="501">
        <f t="shared" si="520"/>
        <v>0</v>
      </c>
      <c r="AN388" s="502">
        <f t="shared" si="442"/>
        <v>0</v>
      </c>
      <c r="AO388" s="499">
        <f t="shared" si="521"/>
        <v>2615320</v>
      </c>
      <c r="AP388" s="486">
        <f t="shared" si="522"/>
        <v>1909448</v>
      </c>
      <c r="AQ388" s="486">
        <f t="shared" si="523"/>
        <v>0</v>
      </c>
      <c r="AR388" s="486">
        <f t="shared" si="524"/>
        <v>0</v>
      </c>
      <c r="AS388" s="486">
        <f t="shared" si="525"/>
        <v>645393</v>
      </c>
      <c r="AT388" s="486">
        <f t="shared" si="525"/>
        <v>38189</v>
      </c>
      <c r="AU388" s="486">
        <f t="shared" si="526"/>
        <v>22290</v>
      </c>
      <c r="AV388" s="501">
        <f t="shared" si="527"/>
        <v>6.5</v>
      </c>
      <c r="AW388" s="501">
        <f t="shared" si="528"/>
        <v>0</v>
      </c>
      <c r="AX388" s="502">
        <f t="shared" si="528"/>
        <v>6.5</v>
      </c>
    </row>
    <row r="389" spans="1:50" ht="14.1" customHeight="1" x14ac:dyDescent="0.2">
      <c r="A389" s="585">
        <v>79</v>
      </c>
      <c r="B389" s="586">
        <v>2325</v>
      </c>
      <c r="C389" s="587">
        <v>600074561</v>
      </c>
      <c r="D389" s="586">
        <v>46750321</v>
      </c>
      <c r="E389" s="588" t="s">
        <v>730</v>
      </c>
      <c r="F389" s="585">
        <v>3143</v>
      </c>
      <c r="G389" s="208" t="s">
        <v>634</v>
      </c>
      <c r="H389" s="589" t="s">
        <v>283</v>
      </c>
      <c r="I389" s="495">
        <v>2001935</v>
      </c>
      <c r="J389" s="411">
        <v>1462356</v>
      </c>
      <c r="K389" s="520">
        <v>12000</v>
      </c>
      <c r="L389" s="520">
        <v>0</v>
      </c>
      <c r="M389" s="475">
        <v>498332</v>
      </c>
      <c r="N389" s="496">
        <v>29247</v>
      </c>
      <c r="O389" s="496">
        <v>0</v>
      </c>
      <c r="P389" s="412">
        <v>3.5</v>
      </c>
      <c r="Q389" s="415">
        <v>3.5</v>
      </c>
      <c r="R389" s="498">
        <v>0</v>
      </c>
      <c r="S389" s="499">
        <v>0</v>
      </c>
      <c r="T389" s="486">
        <v>0</v>
      </c>
      <c r="U389" s="486">
        <v>0</v>
      </c>
      <c r="V389" s="486">
        <f t="shared" si="515"/>
        <v>0</v>
      </c>
      <c r="W389" s="486">
        <v>0</v>
      </c>
      <c r="X389" s="486">
        <v>0</v>
      </c>
      <c r="Y389" s="486">
        <f t="shared" si="516"/>
        <v>0</v>
      </c>
      <c r="Z389" s="486">
        <f t="shared" si="517"/>
        <v>0</v>
      </c>
      <c r="AA389" s="178">
        <f t="shared" si="439"/>
        <v>0</v>
      </c>
      <c r="AB389" s="745">
        <f t="shared" si="518"/>
        <v>0</v>
      </c>
      <c r="AC389" s="486">
        <v>0</v>
      </c>
      <c r="AD389" s="486">
        <v>0</v>
      </c>
      <c r="AE389" s="486">
        <f t="shared" si="440"/>
        <v>0</v>
      </c>
      <c r="AF389" s="486">
        <f t="shared" si="441"/>
        <v>0</v>
      </c>
      <c r="AG389" s="501">
        <v>0</v>
      </c>
      <c r="AH389" s="501">
        <v>0</v>
      </c>
      <c r="AI389" s="501">
        <v>0</v>
      </c>
      <c r="AJ389" s="501">
        <v>0</v>
      </c>
      <c r="AK389" s="501">
        <v>0</v>
      </c>
      <c r="AL389" s="501">
        <f t="shared" si="519"/>
        <v>0</v>
      </c>
      <c r="AM389" s="501">
        <f t="shared" si="520"/>
        <v>0</v>
      </c>
      <c r="AN389" s="502">
        <f t="shared" si="442"/>
        <v>0</v>
      </c>
      <c r="AO389" s="499">
        <f t="shared" si="521"/>
        <v>2001935</v>
      </c>
      <c r="AP389" s="486">
        <f t="shared" si="522"/>
        <v>1462356</v>
      </c>
      <c r="AQ389" s="486">
        <f t="shared" si="523"/>
        <v>12000</v>
      </c>
      <c r="AR389" s="486">
        <f t="shared" si="524"/>
        <v>0</v>
      </c>
      <c r="AS389" s="486">
        <f t="shared" si="525"/>
        <v>498332</v>
      </c>
      <c r="AT389" s="486">
        <f t="shared" si="525"/>
        <v>29247</v>
      </c>
      <c r="AU389" s="486">
        <f t="shared" si="526"/>
        <v>0</v>
      </c>
      <c r="AV389" s="501">
        <f t="shared" si="527"/>
        <v>3.5</v>
      </c>
      <c r="AW389" s="501">
        <f t="shared" si="528"/>
        <v>3.5</v>
      </c>
      <c r="AX389" s="502">
        <f t="shared" si="528"/>
        <v>0</v>
      </c>
    </row>
    <row r="390" spans="1:50" ht="14.1" customHeight="1" x14ac:dyDescent="0.2">
      <c r="A390" s="585">
        <v>79</v>
      </c>
      <c r="B390" s="586">
        <v>2325</v>
      </c>
      <c r="C390" s="587">
        <v>600074561</v>
      </c>
      <c r="D390" s="586">
        <v>46750321</v>
      </c>
      <c r="E390" s="588" t="s">
        <v>730</v>
      </c>
      <c r="F390" s="585">
        <v>3143</v>
      </c>
      <c r="G390" s="208" t="s">
        <v>635</v>
      </c>
      <c r="H390" s="589" t="s">
        <v>284</v>
      </c>
      <c r="I390" s="495">
        <v>78648</v>
      </c>
      <c r="J390" s="496">
        <v>55440</v>
      </c>
      <c r="K390" s="475">
        <v>0</v>
      </c>
      <c r="L390" s="475">
        <v>0</v>
      </c>
      <c r="M390" s="475">
        <v>18739</v>
      </c>
      <c r="N390" s="496">
        <v>1109</v>
      </c>
      <c r="O390" s="496">
        <v>3360</v>
      </c>
      <c r="P390" s="412">
        <v>0.23</v>
      </c>
      <c r="Q390" s="497">
        <v>0</v>
      </c>
      <c r="R390" s="498">
        <v>0.23</v>
      </c>
      <c r="S390" s="499">
        <v>0</v>
      </c>
      <c r="T390" s="486">
        <v>0</v>
      </c>
      <c r="U390" s="486">
        <v>0</v>
      </c>
      <c r="V390" s="486">
        <f t="shared" si="515"/>
        <v>0</v>
      </c>
      <c r="W390" s="486">
        <v>0</v>
      </c>
      <c r="X390" s="486">
        <v>0</v>
      </c>
      <c r="Y390" s="486">
        <f t="shared" si="516"/>
        <v>0</v>
      </c>
      <c r="Z390" s="486">
        <f t="shared" si="517"/>
        <v>0</v>
      </c>
      <c r="AA390" s="178">
        <f t="shared" si="439"/>
        <v>0</v>
      </c>
      <c r="AB390" s="745">
        <f t="shared" si="518"/>
        <v>0</v>
      </c>
      <c r="AC390" s="486">
        <v>0</v>
      </c>
      <c r="AD390" s="486">
        <v>0</v>
      </c>
      <c r="AE390" s="486">
        <f t="shared" si="440"/>
        <v>0</v>
      </c>
      <c r="AF390" s="486">
        <f t="shared" si="441"/>
        <v>0</v>
      </c>
      <c r="AG390" s="501">
        <v>0</v>
      </c>
      <c r="AH390" s="501">
        <v>0</v>
      </c>
      <c r="AI390" s="501">
        <v>0</v>
      </c>
      <c r="AJ390" s="501">
        <v>0</v>
      </c>
      <c r="AK390" s="501">
        <v>0</v>
      </c>
      <c r="AL390" s="501">
        <f t="shared" si="519"/>
        <v>0</v>
      </c>
      <c r="AM390" s="501">
        <f t="shared" si="520"/>
        <v>0</v>
      </c>
      <c r="AN390" s="502">
        <f t="shared" si="442"/>
        <v>0</v>
      </c>
      <c r="AO390" s="499">
        <f t="shared" si="521"/>
        <v>78648</v>
      </c>
      <c r="AP390" s="486">
        <f t="shared" si="522"/>
        <v>55440</v>
      </c>
      <c r="AQ390" s="486">
        <f t="shared" si="523"/>
        <v>0</v>
      </c>
      <c r="AR390" s="486">
        <f t="shared" si="524"/>
        <v>0</v>
      </c>
      <c r="AS390" s="486">
        <f t="shared" si="525"/>
        <v>18739</v>
      </c>
      <c r="AT390" s="486">
        <f t="shared" si="525"/>
        <v>1109</v>
      </c>
      <c r="AU390" s="486">
        <f t="shared" si="526"/>
        <v>3360</v>
      </c>
      <c r="AV390" s="501">
        <f t="shared" si="527"/>
        <v>0.23</v>
      </c>
      <c r="AW390" s="501">
        <f t="shared" si="528"/>
        <v>0</v>
      </c>
      <c r="AX390" s="502">
        <f t="shared" si="528"/>
        <v>0.23</v>
      </c>
    </row>
    <row r="391" spans="1:50" ht="14.1" customHeight="1" x14ac:dyDescent="0.2">
      <c r="A391" s="585">
        <v>79</v>
      </c>
      <c r="B391" s="586">
        <v>2325</v>
      </c>
      <c r="C391" s="587">
        <v>600074561</v>
      </c>
      <c r="D391" s="586">
        <v>46750321</v>
      </c>
      <c r="E391" s="588" t="s">
        <v>730</v>
      </c>
      <c r="F391" s="585">
        <v>3231</v>
      </c>
      <c r="G391" s="588" t="s">
        <v>322</v>
      </c>
      <c r="H391" s="589" t="s">
        <v>283</v>
      </c>
      <c r="I391" s="495">
        <v>2501743</v>
      </c>
      <c r="J391" s="496">
        <v>1836331</v>
      </c>
      <c r="K391" s="475">
        <v>0</v>
      </c>
      <c r="L391" s="475">
        <v>0</v>
      </c>
      <c r="M391" s="475">
        <v>620680</v>
      </c>
      <c r="N391" s="496">
        <v>36727</v>
      </c>
      <c r="O391" s="496">
        <v>8005</v>
      </c>
      <c r="P391" s="412">
        <v>3.6025</v>
      </c>
      <c r="Q391" s="412">
        <v>3.2174</v>
      </c>
      <c r="R391" s="498">
        <v>0.3851</v>
      </c>
      <c r="S391" s="499">
        <v>0</v>
      </c>
      <c r="T391" s="486">
        <v>0</v>
      </c>
      <c r="U391" s="486">
        <v>0</v>
      </c>
      <c r="V391" s="486">
        <f t="shared" si="515"/>
        <v>0</v>
      </c>
      <c r="W391" s="486">
        <v>0</v>
      </c>
      <c r="X391" s="486">
        <v>0</v>
      </c>
      <c r="Y391" s="486">
        <f t="shared" si="516"/>
        <v>0</v>
      </c>
      <c r="Z391" s="486">
        <f t="shared" si="517"/>
        <v>0</v>
      </c>
      <c r="AA391" s="178">
        <f t="shared" si="439"/>
        <v>0</v>
      </c>
      <c r="AB391" s="745">
        <f t="shared" si="518"/>
        <v>0</v>
      </c>
      <c r="AC391" s="486">
        <v>0</v>
      </c>
      <c r="AD391" s="486">
        <v>0</v>
      </c>
      <c r="AE391" s="486">
        <f t="shared" si="440"/>
        <v>0</v>
      </c>
      <c r="AF391" s="486">
        <f t="shared" si="441"/>
        <v>0</v>
      </c>
      <c r="AG391" s="501">
        <v>0</v>
      </c>
      <c r="AH391" s="501">
        <v>0</v>
      </c>
      <c r="AI391" s="501">
        <v>0</v>
      </c>
      <c r="AJ391" s="501">
        <v>0</v>
      </c>
      <c r="AK391" s="501">
        <v>0</v>
      </c>
      <c r="AL391" s="501">
        <f t="shared" si="519"/>
        <v>0</v>
      </c>
      <c r="AM391" s="501">
        <f t="shared" si="520"/>
        <v>0</v>
      </c>
      <c r="AN391" s="502">
        <f t="shared" si="442"/>
        <v>0</v>
      </c>
      <c r="AO391" s="499">
        <f t="shared" si="521"/>
        <v>2501743</v>
      </c>
      <c r="AP391" s="486">
        <f t="shared" si="522"/>
        <v>1836331</v>
      </c>
      <c r="AQ391" s="486">
        <f t="shared" si="523"/>
        <v>0</v>
      </c>
      <c r="AR391" s="486">
        <f t="shared" si="524"/>
        <v>0</v>
      </c>
      <c r="AS391" s="486">
        <f t="shared" si="525"/>
        <v>620680</v>
      </c>
      <c r="AT391" s="486">
        <f t="shared" si="525"/>
        <v>36727</v>
      </c>
      <c r="AU391" s="486">
        <f t="shared" si="526"/>
        <v>8005</v>
      </c>
      <c r="AV391" s="501">
        <f t="shared" si="527"/>
        <v>3.6025</v>
      </c>
      <c r="AW391" s="501">
        <f t="shared" si="528"/>
        <v>3.2174</v>
      </c>
      <c r="AX391" s="502">
        <f t="shared" si="528"/>
        <v>0.3851</v>
      </c>
    </row>
    <row r="392" spans="1:50" ht="14.1" customHeight="1" x14ac:dyDescent="0.2">
      <c r="A392" s="181">
        <v>79</v>
      </c>
      <c r="B392" s="179">
        <v>2325</v>
      </c>
      <c r="C392" s="180">
        <v>600074561</v>
      </c>
      <c r="D392" s="179">
        <v>46750321</v>
      </c>
      <c r="E392" s="578" t="s">
        <v>731</v>
      </c>
      <c r="F392" s="181"/>
      <c r="G392" s="578"/>
      <c r="H392" s="579"/>
      <c r="I392" s="182">
        <v>36547645</v>
      </c>
      <c r="J392" s="183">
        <v>26151149</v>
      </c>
      <c r="K392" s="183">
        <v>81644</v>
      </c>
      <c r="L392" s="183">
        <v>59644</v>
      </c>
      <c r="M392" s="183">
        <v>8846524</v>
      </c>
      <c r="N392" s="183">
        <v>523023</v>
      </c>
      <c r="O392" s="183">
        <v>945305</v>
      </c>
      <c r="P392" s="184">
        <v>54.923299999999998</v>
      </c>
      <c r="Q392" s="184">
        <v>40.2256</v>
      </c>
      <c r="R392" s="185">
        <v>14.697699999999999</v>
      </c>
      <c r="S392" s="345">
        <f t="shared" ref="S392:AX392" si="529">SUM(S386:S391)</f>
        <v>0</v>
      </c>
      <c r="T392" s="183">
        <f t="shared" si="529"/>
        <v>0</v>
      </c>
      <c r="U392" s="183">
        <f t="shared" si="529"/>
        <v>261165</v>
      </c>
      <c r="V392" s="183">
        <f t="shared" si="529"/>
        <v>261165</v>
      </c>
      <c r="W392" s="183">
        <f t="shared" si="529"/>
        <v>0</v>
      </c>
      <c r="X392" s="183">
        <f t="shared" si="529"/>
        <v>0</v>
      </c>
      <c r="Y392" s="183">
        <f t="shared" si="529"/>
        <v>0</v>
      </c>
      <c r="Z392" s="183">
        <f t="shared" si="529"/>
        <v>261165</v>
      </c>
      <c r="AA392" s="183">
        <f t="shared" si="529"/>
        <v>88274</v>
      </c>
      <c r="AB392" s="345">
        <f t="shared" si="529"/>
        <v>5223</v>
      </c>
      <c r="AC392" s="183">
        <f t="shared" si="529"/>
        <v>0</v>
      </c>
      <c r="AD392" s="183">
        <f t="shared" si="529"/>
        <v>0</v>
      </c>
      <c r="AE392" s="183">
        <f t="shared" si="529"/>
        <v>0</v>
      </c>
      <c r="AF392" s="183">
        <f t="shared" si="529"/>
        <v>354662</v>
      </c>
      <c r="AG392" s="184">
        <f t="shared" si="529"/>
        <v>0</v>
      </c>
      <c r="AH392" s="184">
        <f t="shared" si="529"/>
        <v>0</v>
      </c>
      <c r="AI392" s="184">
        <f t="shared" si="529"/>
        <v>0</v>
      </c>
      <c r="AJ392" s="184">
        <f t="shared" si="529"/>
        <v>0.43</v>
      </c>
      <c r="AK392" s="184">
        <f t="shared" si="529"/>
        <v>0</v>
      </c>
      <c r="AL392" s="184">
        <f t="shared" si="529"/>
        <v>0.43</v>
      </c>
      <c r="AM392" s="184">
        <f t="shared" si="529"/>
        <v>0</v>
      </c>
      <c r="AN392" s="185">
        <f t="shared" si="529"/>
        <v>0.43</v>
      </c>
      <c r="AO392" s="345">
        <f t="shared" si="529"/>
        <v>36902307</v>
      </c>
      <c r="AP392" s="183">
        <f t="shared" si="529"/>
        <v>26412314</v>
      </c>
      <c r="AQ392" s="183">
        <f t="shared" si="529"/>
        <v>81644</v>
      </c>
      <c r="AR392" s="183">
        <f t="shared" si="529"/>
        <v>59644</v>
      </c>
      <c r="AS392" s="183">
        <f t="shared" si="529"/>
        <v>8934798</v>
      </c>
      <c r="AT392" s="183">
        <f t="shared" si="529"/>
        <v>528246</v>
      </c>
      <c r="AU392" s="183">
        <f t="shared" si="529"/>
        <v>945305</v>
      </c>
      <c r="AV392" s="184">
        <f t="shared" si="529"/>
        <v>55.353299999999997</v>
      </c>
      <c r="AW392" s="184">
        <f t="shared" si="529"/>
        <v>40.6556</v>
      </c>
      <c r="AX392" s="185">
        <f t="shared" si="529"/>
        <v>14.697699999999999</v>
      </c>
    </row>
    <row r="393" spans="1:50" ht="14.1" customHeight="1" x14ac:dyDescent="0.2">
      <c r="A393" s="585">
        <v>80</v>
      </c>
      <c r="B393" s="586">
        <v>2329</v>
      </c>
      <c r="C393" s="587">
        <v>691007331</v>
      </c>
      <c r="D393" s="586">
        <v>71294171</v>
      </c>
      <c r="E393" s="588" t="s">
        <v>804</v>
      </c>
      <c r="F393" s="585">
        <v>3114</v>
      </c>
      <c r="G393" s="588" t="s">
        <v>320</v>
      </c>
      <c r="H393" s="589" t="s">
        <v>283</v>
      </c>
      <c r="I393" s="495">
        <v>6386816</v>
      </c>
      <c r="J393" s="411">
        <v>4579753</v>
      </c>
      <c r="K393" s="520">
        <v>50287</v>
      </c>
      <c r="L393" s="520">
        <v>12047</v>
      </c>
      <c r="M393" s="475">
        <v>1560881</v>
      </c>
      <c r="N393" s="496">
        <v>91595</v>
      </c>
      <c r="O393" s="411">
        <v>104300</v>
      </c>
      <c r="P393" s="412">
        <v>8.6667000000000023</v>
      </c>
      <c r="Q393" s="415">
        <v>6.3244999999999996</v>
      </c>
      <c r="R393" s="685">
        <v>2.3422000000000001</v>
      </c>
      <c r="S393" s="499">
        <v>0</v>
      </c>
      <c r="T393" s="486">
        <v>0</v>
      </c>
      <c r="U393" s="486">
        <v>-14728</v>
      </c>
      <c r="V393" s="486">
        <f t="shared" ref="V393:V398" si="530">SUM(S393:U393)</f>
        <v>-14728</v>
      </c>
      <c r="W393" s="486">
        <v>0</v>
      </c>
      <c r="X393" s="486">
        <v>0</v>
      </c>
      <c r="Y393" s="486">
        <f t="shared" ref="Y393:Y398" si="531">SUM(W393:X393)</f>
        <v>0</v>
      </c>
      <c r="Z393" s="486">
        <f t="shared" ref="Z393:Z398" si="532">V393+Y393</f>
        <v>-14728</v>
      </c>
      <c r="AA393" s="178">
        <f t="shared" si="439"/>
        <v>-4978</v>
      </c>
      <c r="AB393" s="745">
        <f t="shared" ref="AB393:AB398" si="533">ROUND(V393*2%,0)</f>
        <v>-295</v>
      </c>
      <c r="AC393" s="486">
        <v>0</v>
      </c>
      <c r="AD393" s="486">
        <v>20001</v>
      </c>
      <c r="AE393" s="486">
        <f t="shared" si="440"/>
        <v>20001</v>
      </c>
      <c r="AF393" s="486">
        <f t="shared" si="441"/>
        <v>0</v>
      </c>
      <c r="AG393" s="501">
        <v>0</v>
      </c>
      <c r="AH393" s="501">
        <v>0</v>
      </c>
      <c r="AI393" s="501">
        <v>0</v>
      </c>
      <c r="AJ393" s="501">
        <v>0</v>
      </c>
      <c r="AK393" s="501">
        <v>0</v>
      </c>
      <c r="AL393" s="501">
        <f t="shared" ref="AL393:AL398" si="534">AG393+AI393+AJ393</f>
        <v>0</v>
      </c>
      <c r="AM393" s="501">
        <f t="shared" ref="AM393:AM398" si="535">AH393+AK393</f>
        <v>0</v>
      </c>
      <c r="AN393" s="502">
        <f t="shared" si="442"/>
        <v>0</v>
      </c>
      <c r="AO393" s="499">
        <f t="shared" ref="AO393:AO398" si="536">I393+AF393</f>
        <v>6386816</v>
      </c>
      <c r="AP393" s="486">
        <f t="shared" ref="AP393:AP398" si="537">J393+V393</f>
        <v>4565025</v>
      </c>
      <c r="AQ393" s="486">
        <f t="shared" ref="AQ393:AQ398" si="538">K393+Y393</f>
        <v>50287</v>
      </c>
      <c r="AR393" s="486">
        <f t="shared" ref="AR393:AR398" si="539">L393</f>
        <v>12047</v>
      </c>
      <c r="AS393" s="486">
        <f t="shared" ref="AS393:AT398" si="540">M393+AA393</f>
        <v>1555903</v>
      </c>
      <c r="AT393" s="486">
        <f t="shared" si="540"/>
        <v>91300</v>
      </c>
      <c r="AU393" s="486">
        <f t="shared" ref="AU393:AU398" si="541">O393+AE393</f>
        <v>124301</v>
      </c>
      <c r="AV393" s="501">
        <f t="shared" ref="AV393:AV398" si="542">P393+AN393</f>
        <v>8.6667000000000023</v>
      </c>
      <c r="AW393" s="501">
        <f t="shared" ref="AW393:AX398" si="543">Q393+AL393</f>
        <v>6.3244999999999996</v>
      </c>
      <c r="AX393" s="502">
        <f t="shared" si="543"/>
        <v>2.3422000000000001</v>
      </c>
    </row>
    <row r="394" spans="1:50" ht="14.1" customHeight="1" x14ac:dyDescent="0.2">
      <c r="A394" s="585">
        <v>80</v>
      </c>
      <c r="B394" s="586">
        <v>2329</v>
      </c>
      <c r="C394" s="587">
        <v>691007331</v>
      </c>
      <c r="D394" s="586">
        <v>71294171</v>
      </c>
      <c r="E394" s="588" t="s">
        <v>804</v>
      </c>
      <c r="F394" s="585">
        <v>3114</v>
      </c>
      <c r="G394" s="503" t="s">
        <v>319</v>
      </c>
      <c r="H394" s="589" t="s">
        <v>283</v>
      </c>
      <c r="I394" s="495">
        <v>1224971</v>
      </c>
      <c r="J394" s="411">
        <v>902040</v>
      </c>
      <c r="K394" s="520">
        <v>0</v>
      </c>
      <c r="L394" s="520">
        <v>0</v>
      </c>
      <c r="M394" s="475">
        <v>304890</v>
      </c>
      <c r="N394" s="496">
        <v>18041</v>
      </c>
      <c r="O394" s="496">
        <v>0</v>
      </c>
      <c r="P394" s="412">
        <v>2.3889</v>
      </c>
      <c r="Q394" s="415">
        <v>2.3889</v>
      </c>
      <c r="R394" s="498">
        <v>0</v>
      </c>
      <c r="S394" s="499">
        <v>0</v>
      </c>
      <c r="T394" s="486">
        <v>0</v>
      </c>
      <c r="U394" s="486">
        <v>0</v>
      </c>
      <c r="V394" s="486">
        <f t="shared" si="530"/>
        <v>0</v>
      </c>
      <c r="W394" s="486">
        <v>0</v>
      </c>
      <c r="X394" s="486">
        <v>0</v>
      </c>
      <c r="Y394" s="486">
        <f t="shared" si="531"/>
        <v>0</v>
      </c>
      <c r="Z394" s="486">
        <f t="shared" si="532"/>
        <v>0</v>
      </c>
      <c r="AA394" s="178">
        <f t="shared" si="439"/>
        <v>0</v>
      </c>
      <c r="AB394" s="745">
        <f t="shared" si="533"/>
        <v>0</v>
      </c>
      <c r="AC394" s="486">
        <v>0</v>
      </c>
      <c r="AD394" s="486">
        <v>0</v>
      </c>
      <c r="AE394" s="486">
        <f t="shared" si="440"/>
        <v>0</v>
      </c>
      <c r="AF394" s="486">
        <f t="shared" si="441"/>
        <v>0</v>
      </c>
      <c r="AG394" s="501">
        <v>0</v>
      </c>
      <c r="AH394" s="501">
        <v>0</v>
      </c>
      <c r="AI394" s="501">
        <v>0</v>
      </c>
      <c r="AJ394" s="501">
        <v>0</v>
      </c>
      <c r="AK394" s="501">
        <v>0</v>
      </c>
      <c r="AL394" s="501">
        <f t="shared" si="534"/>
        <v>0</v>
      </c>
      <c r="AM394" s="501">
        <f t="shared" si="535"/>
        <v>0</v>
      </c>
      <c r="AN394" s="502">
        <f t="shared" si="442"/>
        <v>0</v>
      </c>
      <c r="AO394" s="499">
        <f t="shared" si="536"/>
        <v>1224971</v>
      </c>
      <c r="AP394" s="486">
        <f t="shared" si="537"/>
        <v>902040</v>
      </c>
      <c r="AQ394" s="486">
        <f t="shared" si="538"/>
        <v>0</v>
      </c>
      <c r="AR394" s="486">
        <f t="shared" si="539"/>
        <v>0</v>
      </c>
      <c r="AS394" s="486">
        <f t="shared" si="540"/>
        <v>304890</v>
      </c>
      <c r="AT394" s="486">
        <f t="shared" si="540"/>
        <v>18041</v>
      </c>
      <c r="AU394" s="486">
        <f t="shared" si="541"/>
        <v>0</v>
      </c>
      <c r="AV394" s="501">
        <f t="shared" si="542"/>
        <v>2.3889</v>
      </c>
      <c r="AW394" s="501">
        <f t="shared" si="543"/>
        <v>2.3889</v>
      </c>
      <c r="AX394" s="502">
        <f t="shared" si="543"/>
        <v>0</v>
      </c>
    </row>
    <row r="395" spans="1:50" ht="14.1" customHeight="1" x14ac:dyDescent="0.2">
      <c r="A395" s="585">
        <v>80</v>
      </c>
      <c r="B395" s="586">
        <v>2329</v>
      </c>
      <c r="C395" s="587">
        <v>691007331</v>
      </c>
      <c r="D395" s="586">
        <v>71294171</v>
      </c>
      <c r="E395" s="588" t="s">
        <v>804</v>
      </c>
      <c r="F395" s="585">
        <v>3114</v>
      </c>
      <c r="G395" s="208" t="s">
        <v>318</v>
      </c>
      <c r="H395" s="589" t="s">
        <v>284</v>
      </c>
      <c r="I395" s="495">
        <v>3500</v>
      </c>
      <c r="J395" s="496">
        <v>0</v>
      </c>
      <c r="K395" s="475">
        <v>0</v>
      </c>
      <c r="L395" s="475">
        <v>0</v>
      </c>
      <c r="M395" s="475">
        <v>0</v>
      </c>
      <c r="N395" s="496">
        <v>0</v>
      </c>
      <c r="O395" s="496">
        <v>3500</v>
      </c>
      <c r="P395" s="412">
        <v>0</v>
      </c>
      <c r="Q395" s="497">
        <v>0</v>
      </c>
      <c r="R395" s="498">
        <v>0</v>
      </c>
      <c r="S395" s="499">
        <v>0</v>
      </c>
      <c r="T395" s="486">
        <v>0</v>
      </c>
      <c r="U395" s="486">
        <v>0</v>
      </c>
      <c r="V395" s="486">
        <f t="shared" si="530"/>
        <v>0</v>
      </c>
      <c r="W395" s="486">
        <v>0</v>
      </c>
      <c r="X395" s="486">
        <v>0</v>
      </c>
      <c r="Y395" s="486">
        <f t="shared" si="531"/>
        <v>0</v>
      </c>
      <c r="Z395" s="486">
        <f t="shared" si="532"/>
        <v>0</v>
      </c>
      <c r="AA395" s="178">
        <f t="shared" si="439"/>
        <v>0</v>
      </c>
      <c r="AB395" s="745">
        <f t="shared" si="533"/>
        <v>0</v>
      </c>
      <c r="AC395" s="486">
        <v>0</v>
      </c>
      <c r="AD395" s="486">
        <v>0</v>
      </c>
      <c r="AE395" s="486">
        <f t="shared" si="440"/>
        <v>0</v>
      </c>
      <c r="AF395" s="486">
        <f t="shared" si="441"/>
        <v>0</v>
      </c>
      <c r="AG395" s="501">
        <v>0</v>
      </c>
      <c r="AH395" s="501">
        <v>0</v>
      </c>
      <c r="AI395" s="501">
        <v>0</v>
      </c>
      <c r="AJ395" s="501">
        <v>0</v>
      </c>
      <c r="AK395" s="501">
        <v>0</v>
      </c>
      <c r="AL395" s="501">
        <f t="shared" si="534"/>
        <v>0</v>
      </c>
      <c r="AM395" s="501">
        <f t="shared" si="535"/>
        <v>0</v>
      </c>
      <c r="AN395" s="502">
        <f t="shared" si="442"/>
        <v>0</v>
      </c>
      <c r="AO395" s="499">
        <f t="shared" si="536"/>
        <v>3500</v>
      </c>
      <c r="AP395" s="486">
        <f t="shared" si="537"/>
        <v>0</v>
      </c>
      <c r="AQ395" s="486">
        <f t="shared" si="538"/>
        <v>0</v>
      </c>
      <c r="AR395" s="486">
        <f t="shared" si="539"/>
        <v>0</v>
      </c>
      <c r="AS395" s="486">
        <f t="shared" si="540"/>
        <v>0</v>
      </c>
      <c r="AT395" s="486">
        <f t="shared" si="540"/>
        <v>0</v>
      </c>
      <c r="AU395" s="486">
        <f t="shared" si="541"/>
        <v>3500</v>
      </c>
      <c r="AV395" s="501">
        <f t="shared" si="542"/>
        <v>0</v>
      </c>
      <c r="AW395" s="501">
        <f t="shared" si="543"/>
        <v>0</v>
      </c>
      <c r="AX395" s="502">
        <f t="shared" si="543"/>
        <v>0</v>
      </c>
    </row>
    <row r="396" spans="1:50" ht="14.1" customHeight="1" x14ac:dyDescent="0.2">
      <c r="A396" s="585">
        <v>80</v>
      </c>
      <c r="B396" s="586">
        <v>2329</v>
      </c>
      <c r="C396" s="587">
        <v>691007331</v>
      </c>
      <c r="D396" s="586">
        <v>71294171</v>
      </c>
      <c r="E396" s="588" t="s">
        <v>804</v>
      </c>
      <c r="F396" s="585">
        <v>3141</v>
      </c>
      <c r="G396" s="588" t="s">
        <v>321</v>
      </c>
      <c r="H396" s="589" t="s">
        <v>284</v>
      </c>
      <c r="I396" s="495">
        <v>56988</v>
      </c>
      <c r="J396" s="496">
        <v>41628</v>
      </c>
      <c r="K396" s="475">
        <v>0</v>
      </c>
      <c r="L396" s="475">
        <v>0</v>
      </c>
      <c r="M396" s="475">
        <v>14071</v>
      </c>
      <c r="N396" s="496">
        <v>833</v>
      </c>
      <c r="O396" s="496">
        <v>456</v>
      </c>
      <c r="P396" s="412">
        <v>0.14000000000000001</v>
      </c>
      <c r="Q396" s="497">
        <v>0</v>
      </c>
      <c r="R396" s="498">
        <v>0.14000000000000001</v>
      </c>
      <c r="S396" s="499">
        <v>0</v>
      </c>
      <c r="T396" s="486">
        <v>0</v>
      </c>
      <c r="U396" s="486">
        <v>0</v>
      </c>
      <c r="V396" s="486">
        <f t="shared" si="530"/>
        <v>0</v>
      </c>
      <c r="W396" s="486">
        <v>0</v>
      </c>
      <c r="X396" s="486">
        <v>0</v>
      </c>
      <c r="Y396" s="486">
        <f t="shared" si="531"/>
        <v>0</v>
      </c>
      <c r="Z396" s="486">
        <f t="shared" si="532"/>
        <v>0</v>
      </c>
      <c r="AA396" s="178">
        <f t="shared" si="439"/>
        <v>0</v>
      </c>
      <c r="AB396" s="745">
        <f t="shared" si="533"/>
        <v>0</v>
      </c>
      <c r="AC396" s="486">
        <v>0</v>
      </c>
      <c r="AD396" s="486">
        <v>0</v>
      </c>
      <c r="AE396" s="486">
        <f t="shared" si="440"/>
        <v>0</v>
      </c>
      <c r="AF396" s="486">
        <f t="shared" si="441"/>
        <v>0</v>
      </c>
      <c r="AG396" s="501">
        <v>0</v>
      </c>
      <c r="AH396" s="501">
        <v>0</v>
      </c>
      <c r="AI396" s="501">
        <v>0</v>
      </c>
      <c r="AJ396" s="501">
        <v>0</v>
      </c>
      <c r="AK396" s="501">
        <v>0</v>
      </c>
      <c r="AL396" s="501">
        <f t="shared" si="534"/>
        <v>0</v>
      </c>
      <c r="AM396" s="501">
        <f t="shared" si="535"/>
        <v>0</v>
      </c>
      <c r="AN396" s="502">
        <f t="shared" si="442"/>
        <v>0</v>
      </c>
      <c r="AO396" s="499">
        <f t="shared" si="536"/>
        <v>56988</v>
      </c>
      <c r="AP396" s="486">
        <f t="shared" si="537"/>
        <v>41628</v>
      </c>
      <c r="AQ396" s="486">
        <f t="shared" si="538"/>
        <v>0</v>
      </c>
      <c r="AR396" s="486">
        <f t="shared" si="539"/>
        <v>0</v>
      </c>
      <c r="AS396" s="486">
        <f t="shared" si="540"/>
        <v>14071</v>
      </c>
      <c r="AT396" s="486">
        <f t="shared" si="540"/>
        <v>833</v>
      </c>
      <c r="AU396" s="486">
        <f t="shared" si="541"/>
        <v>456</v>
      </c>
      <c r="AV396" s="501">
        <f t="shared" si="542"/>
        <v>0.14000000000000001</v>
      </c>
      <c r="AW396" s="501">
        <f t="shared" si="543"/>
        <v>0</v>
      </c>
      <c r="AX396" s="502">
        <f t="shared" si="543"/>
        <v>0.14000000000000001</v>
      </c>
    </row>
    <row r="397" spans="1:50" ht="14.1" customHeight="1" x14ac:dyDescent="0.2">
      <c r="A397" s="585">
        <v>80</v>
      </c>
      <c r="B397" s="586">
        <v>2329</v>
      </c>
      <c r="C397" s="587">
        <v>691007331</v>
      </c>
      <c r="D397" s="586">
        <v>71294171</v>
      </c>
      <c r="E397" s="588" t="s">
        <v>804</v>
      </c>
      <c r="F397" s="585">
        <v>3143</v>
      </c>
      <c r="G397" s="208" t="s">
        <v>634</v>
      </c>
      <c r="H397" s="589" t="s">
        <v>283</v>
      </c>
      <c r="I397" s="495">
        <v>606761</v>
      </c>
      <c r="J397" s="411">
        <v>446805</v>
      </c>
      <c r="K397" s="520">
        <v>0</v>
      </c>
      <c r="L397" s="520">
        <v>0</v>
      </c>
      <c r="M397" s="475">
        <v>151020</v>
      </c>
      <c r="N397" s="496">
        <v>8936</v>
      </c>
      <c r="O397" s="496">
        <v>0</v>
      </c>
      <c r="P397" s="412">
        <v>0.96</v>
      </c>
      <c r="Q397" s="415">
        <v>0.96</v>
      </c>
      <c r="R397" s="498">
        <v>0</v>
      </c>
      <c r="S397" s="499">
        <v>0</v>
      </c>
      <c r="T397" s="486">
        <v>0</v>
      </c>
      <c r="U397" s="486">
        <v>0</v>
      </c>
      <c r="V397" s="486">
        <f t="shared" si="530"/>
        <v>0</v>
      </c>
      <c r="W397" s="486">
        <v>0</v>
      </c>
      <c r="X397" s="486">
        <v>0</v>
      </c>
      <c r="Y397" s="486">
        <f t="shared" si="531"/>
        <v>0</v>
      </c>
      <c r="Z397" s="486">
        <f t="shared" si="532"/>
        <v>0</v>
      </c>
      <c r="AA397" s="178">
        <f t="shared" si="439"/>
        <v>0</v>
      </c>
      <c r="AB397" s="745">
        <f t="shared" si="533"/>
        <v>0</v>
      </c>
      <c r="AC397" s="486">
        <v>0</v>
      </c>
      <c r="AD397" s="486">
        <v>0</v>
      </c>
      <c r="AE397" s="486">
        <f t="shared" si="440"/>
        <v>0</v>
      </c>
      <c r="AF397" s="486">
        <f t="shared" si="441"/>
        <v>0</v>
      </c>
      <c r="AG397" s="501">
        <v>0</v>
      </c>
      <c r="AH397" s="501">
        <v>0</v>
      </c>
      <c r="AI397" s="501">
        <v>0</v>
      </c>
      <c r="AJ397" s="501">
        <v>0</v>
      </c>
      <c r="AK397" s="501">
        <v>0</v>
      </c>
      <c r="AL397" s="501">
        <f t="shared" si="534"/>
        <v>0</v>
      </c>
      <c r="AM397" s="501">
        <f t="shared" si="535"/>
        <v>0</v>
      </c>
      <c r="AN397" s="502">
        <f t="shared" si="442"/>
        <v>0</v>
      </c>
      <c r="AO397" s="499">
        <f t="shared" si="536"/>
        <v>606761</v>
      </c>
      <c r="AP397" s="486">
        <f t="shared" si="537"/>
        <v>446805</v>
      </c>
      <c r="AQ397" s="486">
        <f t="shared" si="538"/>
        <v>0</v>
      </c>
      <c r="AR397" s="486">
        <f t="shared" si="539"/>
        <v>0</v>
      </c>
      <c r="AS397" s="486">
        <f t="shared" si="540"/>
        <v>151020</v>
      </c>
      <c r="AT397" s="486">
        <f t="shared" si="540"/>
        <v>8936</v>
      </c>
      <c r="AU397" s="486">
        <f t="shared" si="541"/>
        <v>0</v>
      </c>
      <c r="AV397" s="501">
        <f t="shared" si="542"/>
        <v>0.96</v>
      </c>
      <c r="AW397" s="501">
        <f t="shared" si="543"/>
        <v>0.96</v>
      </c>
      <c r="AX397" s="502">
        <f t="shared" si="543"/>
        <v>0</v>
      </c>
    </row>
    <row r="398" spans="1:50" ht="14.1" customHeight="1" x14ac:dyDescent="0.2">
      <c r="A398" s="585">
        <v>80</v>
      </c>
      <c r="B398" s="586">
        <v>2329</v>
      </c>
      <c r="C398" s="587">
        <v>691007331</v>
      </c>
      <c r="D398" s="586">
        <v>71294171</v>
      </c>
      <c r="E398" s="588" t="s">
        <v>804</v>
      </c>
      <c r="F398" s="585">
        <v>3143</v>
      </c>
      <c r="G398" s="208" t="s">
        <v>635</v>
      </c>
      <c r="H398" s="589" t="s">
        <v>284</v>
      </c>
      <c r="I398" s="495">
        <v>9129</v>
      </c>
      <c r="J398" s="496">
        <v>6435</v>
      </c>
      <c r="K398" s="475">
        <v>0</v>
      </c>
      <c r="L398" s="475">
        <v>0</v>
      </c>
      <c r="M398" s="475">
        <v>2175</v>
      </c>
      <c r="N398" s="496">
        <v>129</v>
      </c>
      <c r="O398" s="496">
        <v>390</v>
      </c>
      <c r="P398" s="412">
        <v>0.03</v>
      </c>
      <c r="Q398" s="497">
        <v>0</v>
      </c>
      <c r="R398" s="498">
        <v>0.03</v>
      </c>
      <c r="S398" s="499">
        <v>0</v>
      </c>
      <c r="T398" s="486">
        <v>0</v>
      </c>
      <c r="U398" s="486">
        <v>0</v>
      </c>
      <c r="V398" s="486">
        <f t="shared" si="530"/>
        <v>0</v>
      </c>
      <c r="W398" s="486">
        <v>0</v>
      </c>
      <c r="X398" s="486">
        <v>0</v>
      </c>
      <c r="Y398" s="486">
        <f t="shared" si="531"/>
        <v>0</v>
      </c>
      <c r="Z398" s="486">
        <f t="shared" si="532"/>
        <v>0</v>
      </c>
      <c r="AA398" s="178">
        <f t="shared" ref="AA398:AA454" si="544">ROUND((V398+W398)*33.8%,0)</f>
        <v>0</v>
      </c>
      <c r="AB398" s="745">
        <f t="shared" si="533"/>
        <v>0</v>
      </c>
      <c r="AC398" s="486">
        <v>0</v>
      </c>
      <c r="AD398" s="486">
        <v>0</v>
      </c>
      <c r="AE398" s="486">
        <f t="shared" si="440"/>
        <v>0</v>
      </c>
      <c r="AF398" s="486">
        <f t="shared" si="441"/>
        <v>0</v>
      </c>
      <c r="AG398" s="501">
        <v>0</v>
      </c>
      <c r="AH398" s="501">
        <v>0</v>
      </c>
      <c r="AI398" s="501">
        <v>0</v>
      </c>
      <c r="AJ398" s="501">
        <v>0</v>
      </c>
      <c r="AK398" s="501">
        <v>0</v>
      </c>
      <c r="AL398" s="501">
        <f t="shared" si="534"/>
        <v>0</v>
      </c>
      <c r="AM398" s="501">
        <f t="shared" si="535"/>
        <v>0</v>
      </c>
      <c r="AN398" s="502">
        <f t="shared" si="442"/>
        <v>0</v>
      </c>
      <c r="AO398" s="499">
        <f t="shared" si="536"/>
        <v>9129</v>
      </c>
      <c r="AP398" s="486">
        <f t="shared" si="537"/>
        <v>6435</v>
      </c>
      <c r="AQ398" s="486">
        <f t="shared" si="538"/>
        <v>0</v>
      </c>
      <c r="AR398" s="486">
        <f t="shared" si="539"/>
        <v>0</v>
      </c>
      <c r="AS398" s="486">
        <f t="shared" si="540"/>
        <v>2175</v>
      </c>
      <c r="AT398" s="486">
        <f t="shared" si="540"/>
        <v>129</v>
      </c>
      <c r="AU398" s="486">
        <f t="shared" si="541"/>
        <v>390</v>
      </c>
      <c r="AV398" s="501">
        <f t="shared" si="542"/>
        <v>0.03</v>
      </c>
      <c r="AW398" s="501">
        <f t="shared" si="543"/>
        <v>0</v>
      </c>
      <c r="AX398" s="502">
        <f t="shared" si="543"/>
        <v>0.03</v>
      </c>
    </row>
    <row r="399" spans="1:50" ht="14.1" customHeight="1" x14ac:dyDescent="0.2">
      <c r="A399" s="181">
        <v>80</v>
      </c>
      <c r="B399" s="179">
        <v>2329</v>
      </c>
      <c r="C399" s="180">
        <v>691007331</v>
      </c>
      <c r="D399" s="179">
        <v>71294171</v>
      </c>
      <c r="E399" s="578" t="s">
        <v>804</v>
      </c>
      <c r="F399" s="181"/>
      <c r="G399" s="578"/>
      <c r="H399" s="579"/>
      <c r="I399" s="593">
        <v>8288165</v>
      </c>
      <c r="J399" s="594">
        <v>5976661</v>
      </c>
      <c r="K399" s="594">
        <v>50287</v>
      </c>
      <c r="L399" s="594">
        <v>12047</v>
      </c>
      <c r="M399" s="594">
        <v>2033037</v>
      </c>
      <c r="N399" s="594">
        <v>119534</v>
      </c>
      <c r="O399" s="594">
        <v>108646</v>
      </c>
      <c r="P399" s="595">
        <v>12.185600000000003</v>
      </c>
      <c r="Q399" s="595">
        <v>9.6734000000000009</v>
      </c>
      <c r="R399" s="597">
        <v>2.5122</v>
      </c>
      <c r="S399" s="596">
        <f t="shared" ref="S399:AX399" si="545">SUM(S393:S398)</f>
        <v>0</v>
      </c>
      <c r="T399" s="594">
        <f t="shared" si="545"/>
        <v>0</v>
      </c>
      <c r="U399" s="594">
        <f t="shared" si="545"/>
        <v>-14728</v>
      </c>
      <c r="V399" s="594">
        <f t="shared" si="545"/>
        <v>-14728</v>
      </c>
      <c r="W399" s="594">
        <f t="shared" si="545"/>
        <v>0</v>
      </c>
      <c r="X399" s="594">
        <f t="shared" si="545"/>
        <v>0</v>
      </c>
      <c r="Y399" s="594">
        <f t="shared" si="545"/>
        <v>0</v>
      </c>
      <c r="Z399" s="594">
        <f t="shared" si="545"/>
        <v>-14728</v>
      </c>
      <c r="AA399" s="594">
        <f t="shared" si="545"/>
        <v>-4978</v>
      </c>
      <c r="AB399" s="596">
        <f t="shared" si="545"/>
        <v>-295</v>
      </c>
      <c r="AC399" s="594">
        <f t="shared" si="545"/>
        <v>0</v>
      </c>
      <c r="AD399" s="594">
        <f t="shared" si="545"/>
        <v>20001</v>
      </c>
      <c r="AE399" s="594">
        <f t="shared" si="545"/>
        <v>20001</v>
      </c>
      <c r="AF399" s="594">
        <f t="shared" si="545"/>
        <v>0</v>
      </c>
      <c r="AG399" s="595">
        <f t="shared" si="545"/>
        <v>0</v>
      </c>
      <c r="AH399" s="595">
        <f t="shared" si="545"/>
        <v>0</v>
      </c>
      <c r="AI399" s="595">
        <f t="shared" si="545"/>
        <v>0</v>
      </c>
      <c r="AJ399" s="595">
        <f t="shared" si="545"/>
        <v>0</v>
      </c>
      <c r="AK399" s="595">
        <f t="shared" si="545"/>
        <v>0</v>
      </c>
      <c r="AL399" s="595">
        <f t="shared" si="545"/>
        <v>0</v>
      </c>
      <c r="AM399" s="595">
        <f t="shared" si="545"/>
        <v>0</v>
      </c>
      <c r="AN399" s="597">
        <f t="shared" si="545"/>
        <v>0</v>
      </c>
      <c r="AO399" s="596">
        <f t="shared" si="545"/>
        <v>8288165</v>
      </c>
      <c r="AP399" s="594">
        <f t="shared" si="545"/>
        <v>5961933</v>
      </c>
      <c r="AQ399" s="594">
        <f t="shared" si="545"/>
        <v>50287</v>
      </c>
      <c r="AR399" s="594">
        <f t="shared" si="545"/>
        <v>12047</v>
      </c>
      <c r="AS399" s="594">
        <f t="shared" si="545"/>
        <v>2028059</v>
      </c>
      <c r="AT399" s="594">
        <f t="shared" si="545"/>
        <v>119239</v>
      </c>
      <c r="AU399" s="594">
        <f t="shared" si="545"/>
        <v>128647</v>
      </c>
      <c r="AV399" s="595">
        <f t="shared" si="545"/>
        <v>12.185600000000003</v>
      </c>
      <c r="AW399" s="595">
        <f t="shared" si="545"/>
        <v>9.6734000000000009</v>
      </c>
      <c r="AX399" s="597">
        <f t="shared" si="545"/>
        <v>2.5122</v>
      </c>
    </row>
    <row r="400" spans="1:50" ht="14.1" customHeight="1" x14ac:dyDescent="0.2">
      <c r="A400" s="585">
        <v>81</v>
      </c>
      <c r="B400" s="586">
        <v>2406</v>
      </c>
      <c r="C400" s="587">
        <v>600079031</v>
      </c>
      <c r="D400" s="586">
        <v>70695091</v>
      </c>
      <c r="E400" s="588" t="s">
        <v>732</v>
      </c>
      <c r="F400" s="585">
        <v>3111</v>
      </c>
      <c r="G400" s="588" t="s">
        <v>317</v>
      </c>
      <c r="H400" s="589" t="s">
        <v>283</v>
      </c>
      <c r="I400" s="495">
        <v>3395607</v>
      </c>
      <c r="J400" s="411">
        <v>2477251</v>
      </c>
      <c r="K400" s="520">
        <v>0</v>
      </c>
      <c r="L400" s="520">
        <v>0</v>
      </c>
      <c r="M400" s="475">
        <v>837311</v>
      </c>
      <c r="N400" s="496">
        <v>49545</v>
      </c>
      <c r="O400" s="411">
        <v>31500</v>
      </c>
      <c r="P400" s="412">
        <v>5.9697000000000005</v>
      </c>
      <c r="Q400" s="415">
        <v>4.0799000000000003</v>
      </c>
      <c r="R400" s="685">
        <v>1.8898000000000001</v>
      </c>
      <c r="S400" s="499">
        <v>0</v>
      </c>
      <c r="T400" s="486">
        <v>0</v>
      </c>
      <c r="U400" s="486">
        <v>0</v>
      </c>
      <c r="V400" s="486">
        <f>SUM(S400:U400)</f>
        <v>0</v>
      </c>
      <c r="W400" s="486">
        <v>0</v>
      </c>
      <c r="X400" s="486">
        <v>0</v>
      </c>
      <c r="Y400" s="486">
        <f>SUM(W400:X400)</f>
        <v>0</v>
      </c>
      <c r="Z400" s="486">
        <f>V400+Y400</f>
        <v>0</v>
      </c>
      <c r="AA400" s="178">
        <f t="shared" si="544"/>
        <v>0</v>
      </c>
      <c r="AB400" s="745">
        <f>ROUND(V400*2%,0)</f>
        <v>0</v>
      </c>
      <c r="AC400" s="486">
        <v>0</v>
      </c>
      <c r="AD400" s="486">
        <v>0</v>
      </c>
      <c r="AE400" s="486">
        <f t="shared" ref="AE400:AE451" si="546">SUM(AC400:AD400)</f>
        <v>0</v>
      </c>
      <c r="AF400" s="486">
        <f t="shared" ref="AF400:AF451" si="547">Z400+AA400+AB400+AE400</f>
        <v>0</v>
      </c>
      <c r="AG400" s="501">
        <v>0</v>
      </c>
      <c r="AH400" s="501">
        <v>0</v>
      </c>
      <c r="AI400" s="501">
        <v>0</v>
      </c>
      <c r="AJ400" s="501">
        <v>0</v>
      </c>
      <c r="AK400" s="501">
        <v>0</v>
      </c>
      <c r="AL400" s="501">
        <f t="shared" ref="AL400:AL401" si="548">AG400+AI400+AJ400</f>
        <v>0</v>
      </c>
      <c r="AM400" s="501">
        <f t="shared" ref="AM400:AM401" si="549">AH400+AK400</f>
        <v>0</v>
      </c>
      <c r="AN400" s="502">
        <f t="shared" ref="AN400:AN451" si="550">SUM(AL400:AM400)</f>
        <v>0</v>
      </c>
      <c r="AO400" s="499">
        <f>I400+AF400</f>
        <v>3395607</v>
      </c>
      <c r="AP400" s="486">
        <f>J400+V400</f>
        <v>2477251</v>
      </c>
      <c r="AQ400" s="486">
        <f>K400+Y400</f>
        <v>0</v>
      </c>
      <c r="AR400" s="486">
        <f>L400</f>
        <v>0</v>
      </c>
      <c r="AS400" s="486">
        <f>M400+AA400</f>
        <v>837311</v>
      </c>
      <c r="AT400" s="486">
        <f>N400+AB400</f>
        <v>49545</v>
      </c>
      <c r="AU400" s="486">
        <f>O400+AE400</f>
        <v>31500</v>
      </c>
      <c r="AV400" s="501">
        <f>P400+AN400</f>
        <v>5.9697000000000005</v>
      </c>
      <c r="AW400" s="501">
        <f>Q400+AL400</f>
        <v>4.0799000000000003</v>
      </c>
      <c r="AX400" s="502">
        <f>R400+AM400</f>
        <v>1.8898000000000001</v>
      </c>
    </row>
    <row r="401" spans="1:50" ht="14.1" customHeight="1" x14ac:dyDescent="0.2">
      <c r="A401" s="585">
        <v>81</v>
      </c>
      <c r="B401" s="586">
        <v>2406</v>
      </c>
      <c r="C401" s="587">
        <v>600079031</v>
      </c>
      <c r="D401" s="586">
        <v>70695091</v>
      </c>
      <c r="E401" s="588" t="s">
        <v>732</v>
      </c>
      <c r="F401" s="585">
        <v>3141</v>
      </c>
      <c r="G401" s="588" t="s">
        <v>321</v>
      </c>
      <c r="H401" s="589" t="s">
        <v>284</v>
      </c>
      <c r="I401" s="495">
        <v>421368</v>
      </c>
      <c r="J401" s="496">
        <v>309090</v>
      </c>
      <c r="K401" s="475">
        <v>0</v>
      </c>
      <c r="L401" s="475">
        <v>0</v>
      </c>
      <c r="M401" s="475">
        <v>104472</v>
      </c>
      <c r="N401" s="496">
        <v>6182</v>
      </c>
      <c r="O401" s="496">
        <v>1624</v>
      </c>
      <c r="P401" s="412">
        <v>1.05</v>
      </c>
      <c r="Q401" s="497">
        <v>0</v>
      </c>
      <c r="R401" s="498">
        <v>1.05</v>
      </c>
      <c r="S401" s="499">
        <v>0</v>
      </c>
      <c r="T401" s="486">
        <v>0</v>
      </c>
      <c r="U401" s="486">
        <v>0</v>
      </c>
      <c r="V401" s="486">
        <f>SUM(S401:U401)</f>
        <v>0</v>
      </c>
      <c r="W401" s="486">
        <v>0</v>
      </c>
      <c r="X401" s="486">
        <v>0</v>
      </c>
      <c r="Y401" s="486">
        <f>SUM(W401:X401)</f>
        <v>0</v>
      </c>
      <c r="Z401" s="486">
        <f>V401+Y401</f>
        <v>0</v>
      </c>
      <c r="AA401" s="178">
        <f t="shared" si="544"/>
        <v>0</v>
      </c>
      <c r="AB401" s="745">
        <f>ROUND(V401*2%,0)</f>
        <v>0</v>
      </c>
      <c r="AC401" s="486">
        <v>0</v>
      </c>
      <c r="AD401" s="486">
        <v>0</v>
      </c>
      <c r="AE401" s="486">
        <f t="shared" si="546"/>
        <v>0</v>
      </c>
      <c r="AF401" s="486">
        <f t="shared" si="547"/>
        <v>0</v>
      </c>
      <c r="AG401" s="501">
        <v>0</v>
      </c>
      <c r="AH401" s="501">
        <v>0</v>
      </c>
      <c r="AI401" s="501">
        <v>0</v>
      </c>
      <c r="AJ401" s="501">
        <v>0</v>
      </c>
      <c r="AK401" s="501">
        <v>0</v>
      </c>
      <c r="AL401" s="501">
        <f t="shared" si="548"/>
        <v>0</v>
      </c>
      <c r="AM401" s="501">
        <f t="shared" si="549"/>
        <v>0</v>
      </c>
      <c r="AN401" s="502">
        <f t="shared" si="550"/>
        <v>0</v>
      </c>
      <c r="AO401" s="499">
        <f>I401+AF401</f>
        <v>421368</v>
      </c>
      <c r="AP401" s="486">
        <f>J401+V401</f>
        <v>309090</v>
      </c>
      <c r="AQ401" s="486">
        <f>K401+Y401</f>
        <v>0</v>
      </c>
      <c r="AR401" s="486">
        <f>L401</f>
        <v>0</v>
      </c>
      <c r="AS401" s="486">
        <f>M401+AA401</f>
        <v>104472</v>
      </c>
      <c r="AT401" s="486">
        <f>N401+AB401</f>
        <v>6182</v>
      </c>
      <c r="AU401" s="486">
        <f>O401+AE401</f>
        <v>1624</v>
      </c>
      <c r="AV401" s="501">
        <f>P401+AN401</f>
        <v>1.05</v>
      </c>
      <c r="AW401" s="501">
        <f>Q401+AL401</f>
        <v>0</v>
      </c>
      <c r="AX401" s="502">
        <f>R401+AM401</f>
        <v>1.05</v>
      </c>
    </row>
    <row r="402" spans="1:50" ht="14.1" customHeight="1" x14ac:dyDescent="0.2">
      <c r="A402" s="181">
        <v>81</v>
      </c>
      <c r="B402" s="179">
        <v>2406</v>
      </c>
      <c r="C402" s="180">
        <v>600079031</v>
      </c>
      <c r="D402" s="179">
        <v>70695091</v>
      </c>
      <c r="E402" s="578" t="s">
        <v>733</v>
      </c>
      <c r="F402" s="181"/>
      <c r="G402" s="578"/>
      <c r="H402" s="579"/>
      <c r="I402" s="580">
        <v>3816975</v>
      </c>
      <c r="J402" s="581">
        <v>2786341</v>
      </c>
      <c r="K402" s="581">
        <v>0</v>
      </c>
      <c r="L402" s="581">
        <v>0</v>
      </c>
      <c r="M402" s="581">
        <v>941783</v>
      </c>
      <c r="N402" s="581">
        <v>55727</v>
      </c>
      <c r="O402" s="581">
        <v>33124</v>
      </c>
      <c r="P402" s="582">
        <v>7.0197000000000003</v>
      </c>
      <c r="Q402" s="582">
        <v>4.0799000000000003</v>
      </c>
      <c r="R402" s="584">
        <v>2.9398</v>
      </c>
      <c r="S402" s="583">
        <f t="shared" ref="S402:AX402" si="551">SUM(S400:S401)</f>
        <v>0</v>
      </c>
      <c r="T402" s="581">
        <f t="shared" si="551"/>
        <v>0</v>
      </c>
      <c r="U402" s="581">
        <f t="shared" si="551"/>
        <v>0</v>
      </c>
      <c r="V402" s="581">
        <f t="shared" si="551"/>
        <v>0</v>
      </c>
      <c r="W402" s="581">
        <f t="shared" si="551"/>
        <v>0</v>
      </c>
      <c r="X402" s="581">
        <f t="shared" si="551"/>
        <v>0</v>
      </c>
      <c r="Y402" s="581">
        <f t="shared" si="551"/>
        <v>0</v>
      </c>
      <c r="Z402" s="581">
        <f t="shared" si="551"/>
        <v>0</v>
      </c>
      <c r="AA402" s="581">
        <f t="shared" si="551"/>
        <v>0</v>
      </c>
      <c r="AB402" s="583">
        <f t="shared" si="551"/>
        <v>0</v>
      </c>
      <c r="AC402" s="581">
        <f t="shared" si="551"/>
        <v>0</v>
      </c>
      <c r="AD402" s="581">
        <f t="shared" si="551"/>
        <v>0</v>
      </c>
      <c r="AE402" s="581">
        <f t="shared" si="551"/>
        <v>0</v>
      </c>
      <c r="AF402" s="581">
        <f t="shared" si="551"/>
        <v>0</v>
      </c>
      <c r="AG402" s="582">
        <f t="shared" si="551"/>
        <v>0</v>
      </c>
      <c r="AH402" s="582">
        <f t="shared" si="551"/>
        <v>0</v>
      </c>
      <c r="AI402" s="582">
        <f t="shared" si="551"/>
        <v>0</v>
      </c>
      <c r="AJ402" s="582">
        <f t="shared" si="551"/>
        <v>0</v>
      </c>
      <c r="AK402" s="582">
        <f t="shared" si="551"/>
        <v>0</v>
      </c>
      <c r="AL402" s="582">
        <f t="shared" si="551"/>
        <v>0</v>
      </c>
      <c r="AM402" s="582">
        <f t="shared" si="551"/>
        <v>0</v>
      </c>
      <c r="AN402" s="584">
        <f t="shared" si="551"/>
        <v>0</v>
      </c>
      <c r="AO402" s="583">
        <f t="shared" si="551"/>
        <v>3816975</v>
      </c>
      <c r="AP402" s="581">
        <f t="shared" si="551"/>
        <v>2786341</v>
      </c>
      <c r="AQ402" s="581">
        <f t="shared" si="551"/>
        <v>0</v>
      </c>
      <c r="AR402" s="581">
        <f t="shared" si="551"/>
        <v>0</v>
      </c>
      <c r="AS402" s="581">
        <f t="shared" si="551"/>
        <v>941783</v>
      </c>
      <c r="AT402" s="581">
        <f t="shared" si="551"/>
        <v>55727</v>
      </c>
      <c r="AU402" s="581">
        <f t="shared" si="551"/>
        <v>33124</v>
      </c>
      <c r="AV402" s="582">
        <f t="shared" si="551"/>
        <v>7.0197000000000003</v>
      </c>
      <c r="AW402" s="582">
        <f t="shared" si="551"/>
        <v>4.0799000000000003</v>
      </c>
      <c r="AX402" s="584">
        <f t="shared" si="551"/>
        <v>2.9398</v>
      </c>
    </row>
    <row r="403" spans="1:50" ht="14.1" customHeight="1" x14ac:dyDescent="0.2">
      <c r="A403" s="585">
        <v>82</v>
      </c>
      <c r="B403" s="586">
        <v>2466</v>
      </c>
      <c r="C403" s="587">
        <v>600079821</v>
      </c>
      <c r="D403" s="586">
        <v>70695083</v>
      </c>
      <c r="E403" s="588" t="s">
        <v>734</v>
      </c>
      <c r="F403" s="585">
        <v>3113</v>
      </c>
      <c r="G403" s="588" t="s">
        <v>320</v>
      </c>
      <c r="H403" s="589" t="s">
        <v>283</v>
      </c>
      <c r="I403" s="495">
        <v>7184823</v>
      </c>
      <c r="J403" s="411">
        <v>5134282</v>
      </c>
      <c r="K403" s="520">
        <v>58327</v>
      </c>
      <c r="L403" s="520">
        <v>28327</v>
      </c>
      <c r="M403" s="475">
        <v>1745528</v>
      </c>
      <c r="N403" s="496">
        <v>102686</v>
      </c>
      <c r="O403" s="411">
        <v>144000</v>
      </c>
      <c r="P403" s="412">
        <v>11.341799999999999</v>
      </c>
      <c r="Q403" s="415">
        <v>8.5408999999999988</v>
      </c>
      <c r="R403" s="685">
        <v>2.8008999999999999</v>
      </c>
      <c r="S403" s="499">
        <v>0</v>
      </c>
      <c r="T403" s="486">
        <v>0</v>
      </c>
      <c r="U403" s="486">
        <v>0</v>
      </c>
      <c r="V403" s="486">
        <f>SUM(S403:U403)</f>
        <v>0</v>
      </c>
      <c r="W403" s="486">
        <v>0</v>
      </c>
      <c r="X403" s="486">
        <v>0</v>
      </c>
      <c r="Y403" s="486">
        <f>SUM(W403:X403)</f>
        <v>0</v>
      </c>
      <c r="Z403" s="486">
        <f>V403+Y403</f>
        <v>0</v>
      </c>
      <c r="AA403" s="178">
        <f t="shared" si="544"/>
        <v>0</v>
      </c>
      <c r="AB403" s="745">
        <f>ROUND(V403*2%,0)</f>
        <v>0</v>
      </c>
      <c r="AC403" s="486">
        <v>0</v>
      </c>
      <c r="AD403" s="486">
        <v>0</v>
      </c>
      <c r="AE403" s="486">
        <f t="shared" si="546"/>
        <v>0</v>
      </c>
      <c r="AF403" s="486">
        <f t="shared" si="547"/>
        <v>0</v>
      </c>
      <c r="AG403" s="501">
        <v>0</v>
      </c>
      <c r="AH403" s="501">
        <v>0</v>
      </c>
      <c r="AI403" s="501">
        <v>0</v>
      </c>
      <c r="AJ403" s="501">
        <v>0</v>
      </c>
      <c r="AK403" s="501">
        <v>0</v>
      </c>
      <c r="AL403" s="501">
        <f t="shared" ref="AL403:AL407" si="552">AG403+AI403+AJ403</f>
        <v>0</v>
      </c>
      <c r="AM403" s="501">
        <f t="shared" ref="AM403:AM407" si="553">AH403+AK403</f>
        <v>0</v>
      </c>
      <c r="AN403" s="502">
        <f t="shared" si="550"/>
        <v>0</v>
      </c>
      <c r="AO403" s="499">
        <f>I403+AF403</f>
        <v>7184823</v>
      </c>
      <c r="AP403" s="486">
        <f>J403+V403</f>
        <v>5134282</v>
      </c>
      <c r="AQ403" s="486">
        <f>K403+Y403</f>
        <v>58327</v>
      </c>
      <c r="AR403" s="486">
        <f>L403</f>
        <v>28327</v>
      </c>
      <c r="AS403" s="486">
        <f t="shared" ref="AS403:AT407" si="554">M403+AA403</f>
        <v>1745528</v>
      </c>
      <c r="AT403" s="486">
        <f t="shared" si="554"/>
        <v>102686</v>
      </c>
      <c r="AU403" s="486">
        <f>O403+AE403</f>
        <v>144000</v>
      </c>
      <c r="AV403" s="501">
        <f>P403+AN403</f>
        <v>11.341799999999999</v>
      </c>
      <c r="AW403" s="501">
        <f t="shared" ref="AW403:AX407" si="555">Q403+AL403</f>
        <v>8.5408999999999988</v>
      </c>
      <c r="AX403" s="502">
        <f t="shared" si="555"/>
        <v>2.8008999999999999</v>
      </c>
    </row>
    <row r="404" spans="1:50" ht="14.1" customHeight="1" x14ac:dyDescent="0.2">
      <c r="A404" s="585">
        <v>82</v>
      </c>
      <c r="B404" s="586">
        <v>2466</v>
      </c>
      <c r="C404" s="587">
        <v>600079821</v>
      </c>
      <c r="D404" s="586">
        <v>70695083</v>
      </c>
      <c r="E404" s="588" t="s">
        <v>734</v>
      </c>
      <c r="F404" s="585">
        <v>3113</v>
      </c>
      <c r="G404" s="208" t="s">
        <v>318</v>
      </c>
      <c r="H404" s="589" t="s">
        <v>284</v>
      </c>
      <c r="I404" s="495">
        <v>1343810</v>
      </c>
      <c r="J404" s="496">
        <v>984949</v>
      </c>
      <c r="K404" s="475">
        <v>0</v>
      </c>
      <c r="L404" s="475">
        <v>0</v>
      </c>
      <c r="M404" s="475">
        <v>332912</v>
      </c>
      <c r="N404" s="496">
        <v>19699</v>
      </c>
      <c r="O404" s="496">
        <v>6250</v>
      </c>
      <c r="P404" s="412">
        <v>2.98</v>
      </c>
      <c r="Q404" s="497">
        <v>2.98</v>
      </c>
      <c r="R404" s="498">
        <v>0</v>
      </c>
      <c r="S404" s="499">
        <v>0</v>
      </c>
      <c r="T404" s="486">
        <v>0</v>
      </c>
      <c r="U404" s="486">
        <v>0</v>
      </c>
      <c r="V404" s="486">
        <f>SUM(S404:U404)</f>
        <v>0</v>
      </c>
      <c r="W404" s="486">
        <v>0</v>
      </c>
      <c r="X404" s="486">
        <v>0</v>
      </c>
      <c r="Y404" s="486">
        <f>SUM(W404:X404)</f>
        <v>0</v>
      </c>
      <c r="Z404" s="486">
        <f>V404+Y404</f>
        <v>0</v>
      </c>
      <c r="AA404" s="178">
        <f t="shared" si="544"/>
        <v>0</v>
      </c>
      <c r="AB404" s="745">
        <f>ROUND(V404*2%,0)</f>
        <v>0</v>
      </c>
      <c r="AC404" s="486">
        <v>0</v>
      </c>
      <c r="AD404" s="486">
        <v>0</v>
      </c>
      <c r="AE404" s="486">
        <f t="shared" si="546"/>
        <v>0</v>
      </c>
      <c r="AF404" s="486">
        <f t="shared" si="547"/>
        <v>0</v>
      </c>
      <c r="AG404" s="501">
        <v>0</v>
      </c>
      <c r="AH404" s="501">
        <v>0</v>
      </c>
      <c r="AI404" s="501">
        <v>0</v>
      </c>
      <c r="AJ404" s="501">
        <v>0</v>
      </c>
      <c r="AK404" s="501">
        <v>0</v>
      </c>
      <c r="AL404" s="501">
        <f t="shared" si="552"/>
        <v>0</v>
      </c>
      <c r="AM404" s="501">
        <f t="shared" si="553"/>
        <v>0</v>
      </c>
      <c r="AN404" s="502">
        <f t="shared" si="550"/>
        <v>0</v>
      </c>
      <c r="AO404" s="499">
        <f>I404+AF404</f>
        <v>1343810</v>
      </c>
      <c r="AP404" s="486">
        <f>J404+V404</f>
        <v>984949</v>
      </c>
      <c r="AQ404" s="486">
        <f>K404+Y404</f>
        <v>0</v>
      </c>
      <c r="AR404" s="486">
        <f>L404</f>
        <v>0</v>
      </c>
      <c r="AS404" s="486">
        <f t="shared" si="554"/>
        <v>332912</v>
      </c>
      <c r="AT404" s="486">
        <f t="shared" si="554"/>
        <v>19699</v>
      </c>
      <c r="AU404" s="486">
        <f>O404+AE404</f>
        <v>6250</v>
      </c>
      <c r="AV404" s="501">
        <f>P404+AN404</f>
        <v>2.98</v>
      </c>
      <c r="AW404" s="501">
        <f t="shared" si="555"/>
        <v>2.98</v>
      </c>
      <c r="AX404" s="502">
        <f t="shared" si="555"/>
        <v>0</v>
      </c>
    </row>
    <row r="405" spans="1:50" ht="14.1" customHeight="1" x14ac:dyDescent="0.2">
      <c r="A405" s="585">
        <v>82</v>
      </c>
      <c r="B405" s="586">
        <v>2466</v>
      </c>
      <c r="C405" s="587">
        <v>600079821</v>
      </c>
      <c r="D405" s="586">
        <v>70695083</v>
      </c>
      <c r="E405" s="588" t="s">
        <v>734</v>
      </c>
      <c r="F405" s="585">
        <v>3141</v>
      </c>
      <c r="G405" s="588" t="s">
        <v>321</v>
      </c>
      <c r="H405" s="589" t="s">
        <v>284</v>
      </c>
      <c r="I405" s="495">
        <v>837439</v>
      </c>
      <c r="J405" s="496">
        <v>613511</v>
      </c>
      <c r="K405" s="475">
        <v>0</v>
      </c>
      <c r="L405" s="475">
        <v>0</v>
      </c>
      <c r="M405" s="475">
        <v>207366</v>
      </c>
      <c r="N405" s="496">
        <v>12270</v>
      </c>
      <c r="O405" s="496">
        <v>4292</v>
      </c>
      <c r="P405" s="412">
        <v>2.08</v>
      </c>
      <c r="Q405" s="497">
        <v>0</v>
      </c>
      <c r="R405" s="498">
        <v>2.08</v>
      </c>
      <c r="S405" s="499">
        <v>0</v>
      </c>
      <c r="T405" s="486">
        <v>0</v>
      </c>
      <c r="U405" s="486">
        <v>0</v>
      </c>
      <c r="V405" s="486">
        <f>SUM(S405:U405)</f>
        <v>0</v>
      </c>
      <c r="W405" s="486">
        <v>0</v>
      </c>
      <c r="X405" s="486">
        <v>0</v>
      </c>
      <c r="Y405" s="486">
        <f>SUM(W405:X405)</f>
        <v>0</v>
      </c>
      <c r="Z405" s="486">
        <f>V405+Y405</f>
        <v>0</v>
      </c>
      <c r="AA405" s="178">
        <f t="shared" si="544"/>
        <v>0</v>
      </c>
      <c r="AB405" s="745">
        <f>ROUND(V405*2%,0)</f>
        <v>0</v>
      </c>
      <c r="AC405" s="486">
        <v>0</v>
      </c>
      <c r="AD405" s="486">
        <v>0</v>
      </c>
      <c r="AE405" s="486">
        <f t="shared" si="546"/>
        <v>0</v>
      </c>
      <c r="AF405" s="486">
        <f t="shared" si="547"/>
        <v>0</v>
      </c>
      <c r="AG405" s="501">
        <v>0</v>
      </c>
      <c r="AH405" s="501">
        <v>0</v>
      </c>
      <c r="AI405" s="501">
        <v>0</v>
      </c>
      <c r="AJ405" s="501">
        <v>0</v>
      </c>
      <c r="AK405" s="501">
        <v>0</v>
      </c>
      <c r="AL405" s="501">
        <f t="shared" si="552"/>
        <v>0</v>
      </c>
      <c r="AM405" s="501">
        <f t="shared" si="553"/>
        <v>0</v>
      </c>
      <c r="AN405" s="502">
        <f t="shared" si="550"/>
        <v>0</v>
      </c>
      <c r="AO405" s="499">
        <f>I405+AF405</f>
        <v>837439</v>
      </c>
      <c r="AP405" s="486">
        <f>J405+V405</f>
        <v>613511</v>
      </c>
      <c r="AQ405" s="486">
        <f>K405+Y405</f>
        <v>0</v>
      </c>
      <c r="AR405" s="486">
        <f>L405</f>
        <v>0</v>
      </c>
      <c r="AS405" s="486">
        <f t="shared" si="554"/>
        <v>207366</v>
      </c>
      <c r="AT405" s="486">
        <f t="shared" si="554"/>
        <v>12270</v>
      </c>
      <c r="AU405" s="486">
        <f>O405+AE405</f>
        <v>4292</v>
      </c>
      <c r="AV405" s="501">
        <f>P405+AN405</f>
        <v>2.08</v>
      </c>
      <c r="AW405" s="501">
        <f t="shared" si="555"/>
        <v>0</v>
      </c>
      <c r="AX405" s="502">
        <f t="shared" si="555"/>
        <v>2.08</v>
      </c>
    </row>
    <row r="406" spans="1:50" ht="14.1" customHeight="1" x14ac:dyDescent="0.2">
      <c r="A406" s="585">
        <v>82</v>
      </c>
      <c r="B406" s="586">
        <v>2466</v>
      </c>
      <c r="C406" s="587">
        <v>600079821</v>
      </c>
      <c r="D406" s="586">
        <v>70695083</v>
      </c>
      <c r="E406" s="588" t="s">
        <v>734</v>
      </c>
      <c r="F406" s="585">
        <v>3143</v>
      </c>
      <c r="G406" s="208" t="s">
        <v>634</v>
      </c>
      <c r="H406" s="589" t="s">
        <v>283</v>
      </c>
      <c r="I406" s="495">
        <v>843065</v>
      </c>
      <c r="J406" s="411">
        <v>620814</v>
      </c>
      <c r="K406" s="520">
        <v>0</v>
      </c>
      <c r="L406" s="520">
        <v>0</v>
      </c>
      <c r="M406" s="475">
        <v>209835</v>
      </c>
      <c r="N406" s="496">
        <v>12416</v>
      </c>
      <c r="O406" s="496">
        <v>0</v>
      </c>
      <c r="P406" s="412">
        <v>1.5096000000000001</v>
      </c>
      <c r="Q406" s="415">
        <v>1.5096000000000001</v>
      </c>
      <c r="R406" s="498">
        <v>0</v>
      </c>
      <c r="S406" s="499">
        <v>0</v>
      </c>
      <c r="T406" s="486">
        <v>0</v>
      </c>
      <c r="U406" s="486">
        <v>0</v>
      </c>
      <c r="V406" s="486">
        <f>SUM(S406:U406)</f>
        <v>0</v>
      </c>
      <c r="W406" s="486">
        <v>0</v>
      </c>
      <c r="X406" s="486">
        <v>0</v>
      </c>
      <c r="Y406" s="486">
        <f>SUM(W406:X406)</f>
        <v>0</v>
      </c>
      <c r="Z406" s="486">
        <f>V406+Y406</f>
        <v>0</v>
      </c>
      <c r="AA406" s="178">
        <f t="shared" si="544"/>
        <v>0</v>
      </c>
      <c r="AB406" s="745">
        <f>ROUND(V406*2%,0)</f>
        <v>0</v>
      </c>
      <c r="AC406" s="486">
        <v>0</v>
      </c>
      <c r="AD406" s="486">
        <v>0</v>
      </c>
      <c r="AE406" s="486">
        <f t="shared" si="546"/>
        <v>0</v>
      </c>
      <c r="AF406" s="486">
        <f t="shared" si="547"/>
        <v>0</v>
      </c>
      <c r="AG406" s="501">
        <v>0</v>
      </c>
      <c r="AH406" s="501">
        <v>0</v>
      </c>
      <c r="AI406" s="501">
        <v>0</v>
      </c>
      <c r="AJ406" s="501">
        <v>0</v>
      </c>
      <c r="AK406" s="501">
        <v>0</v>
      </c>
      <c r="AL406" s="501">
        <f t="shared" si="552"/>
        <v>0</v>
      </c>
      <c r="AM406" s="501">
        <f t="shared" si="553"/>
        <v>0</v>
      </c>
      <c r="AN406" s="502">
        <f t="shared" si="550"/>
        <v>0</v>
      </c>
      <c r="AO406" s="499">
        <f>I406+AF406</f>
        <v>843065</v>
      </c>
      <c r="AP406" s="486">
        <f>J406+V406</f>
        <v>620814</v>
      </c>
      <c r="AQ406" s="486">
        <f>K406+Y406</f>
        <v>0</v>
      </c>
      <c r="AR406" s="486">
        <f>L406</f>
        <v>0</v>
      </c>
      <c r="AS406" s="486">
        <f t="shared" si="554"/>
        <v>209835</v>
      </c>
      <c r="AT406" s="486">
        <f t="shared" si="554"/>
        <v>12416</v>
      </c>
      <c r="AU406" s="486">
        <f>O406+AE406</f>
        <v>0</v>
      </c>
      <c r="AV406" s="501">
        <f>P406+AN406</f>
        <v>1.5096000000000001</v>
      </c>
      <c r="AW406" s="501">
        <f t="shared" si="555"/>
        <v>1.5096000000000001</v>
      </c>
      <c r="AX406" s="502">
        <f t="shared" si="555"/>
        <v>0</v>
      </c>
    </row>
    <row r="407" spans="1:50" ht="14.1" customHeight="1" x14ac:dyDescent="0.2">
      <c r="A407" s="585">
        <v>82</v>
      </c>
      <c r="B407" s="586">
        <v>2466</v>
      </c>
      <c r="C407" s="587">
        <v>600079821</v>
      </c>
      <c r="D407" s="586">
        <v>70695083</v>
      </c>
      <c r="E407" s="588" t="s">
        <v>734</v>
      </c>
      <c r="F407" s="585">
        <v>3143</v>
      </c>
      <c r="G407" s="208" t="s">
        <v>635</v>
      </c>
      <c r="H407" s="589" t="s">
        <v>284</v>
      </c>
      <c r="I407" s="495">
        <v>19662</v>
      </c>
      <c r="J407" s="496">
        <v>13860</v>
      </c>
      <c r="K407" s="475">
        <v>0</v>
      </c>
      <c r="L407" s="475">
        <v>0</v>
      </c>
      <c r="M407" s="475">
        <v>4685</v>
      </c>
      <c r="N407" s="496">
        <v>277</v>
      </c>
      <c r="O407" s="496">
        <v>840</v>
      </c>
      <c r="P407" s="412">
        <v>0.06</v>
      </c>
      <c r="Q407" s="497">
        <v>0</v>
      </c>
      <c r="R407" s="498">
        <v>0.06</v>
      </c>
      <c r="S407" s="499">
        <v>0</v>
      </c>
      <c r="T407" s="486">
        <v>0</v>
      </c>
      <c r="U407" s="486">
        <v>0</v>
      </c>
      <c r="V407" s="486">
        <f>SUM(S407:U407)</f>
        <v>0</v>
      </c>
      <c r="W407" s="486">
        <v>0</v>
      </c>
      <c r="X407" s="486">
        <v>0</v>
      </c>
      <c r="Y407" s="486">
        <f>SUM(W407:X407)</f>
        <v>0</v>
      </c>
      <c r="Z407" s="486">
        <f>V407+Y407</f>
        <v>0</v>
      </c>
      <c r="AA407" s="178">
        <f t="shared" si="544"/>
        <v>0</v>
      </c>
      <c r="AB407" s="745">
        <f>ROUND(V407*2%,0)</f>
        <v>0</v>
      </c>
      <c r="AC407" s="486">
        <v>0</v>
      </c>
      <c r="AD407" s="486">
        <v>0</v>
      </c>
      <c r="AE407" s="486">
        <f t="shared" si="546"/>
        <v>0</v>
      </c>
      <c r="AF407" s="486">
        <f t="shared" si="547"/>
        <v>0</v>
      </c>
      <c r="AG407" s="501">
        <v>0</v>
      </c>
      <c r="AH407" s="501">
        <v>0</v>
      </c>
      <c r="AI407" s="501">
        <v>0</v>
      </c>
      <c r="AJ407" s="501">
        <v>0</v>
      </c>
      <c r="AK407" s="501">
        <v>0</v>
      </c>
      <c r="AL407" s="501">
        <f t="shared" si="552"/>
        <v>0</v>
      </c>
      <c r="AM407" s="501">
        <f t="shared" si="553"/>
        <v>0</v>
      </c>
      <c r="AN407" s="502">
        <f t="shared" si="550"/>
        <v>0</v>
      </c>
      <c r="AO407" s="499">
        <f>I407+AF407</f>
        <v>19662</v>
      </c>
      <c r="AP407" s="486">
        <f>J407+V407</f>
        <v>13860</v>
      </c>
      <c r="AQ407" s="486">
        <f>K407+Y407</f>
        <v>0</v>
      </c>
      <c r="AR407" s="486">
        <f>L407</f>
        <v>0</v>
      </c>
      <c r="AS407" s="486">
        <f t="shared" si="554"/>
        <v>4685</v>
      </c>
      <c r="AT407" s="486">
        <f t="shared" si="554"/>
        <v>277</v>
      </c>
      <c r="AU407" s="486">
        <f>O407+AE407</f>
        <v>840</v>
      </c>
      <c r="AV407" s="501">
        <f>P407+AN407</f>
        <v>0.06</v>
      </c>
      <c r="AW407" s="501">
        <f t="shared" si="555"/>
        <v>0</v>
      </c>
      <c r="AX407" s="502">
        <f t="shared" si="555"/>
        <v>0.06</v>
      </c>
    </row>
    <row r="408" spans="1:50" ht="14.1" customHeight="1" x14ac:dyDescent="0.2">
      <c r="A408" s="181">
        <v>82</v>
      </c>
      <c r="B408" s="179">
        <v>2466</v>
      </c>
      <c r="C408" s="180">
        <v>600079821</v>
      </c>
      <c r="D408" s="179">
        <v>70695083</v>
      </c>
      <c r="E408" s="578" t="s">
        <v>735</v>
      </c>
      <c r="F408" s="181"/>
      <c r="G408" s="578"/>
      <c r="H408" s="579"/>
      <c r="I408" s="580">
        <v>10228799</v>
      </c>
      <c r="J408" s="581">
        <v>7367416</v>
      </c>
      <c r="K408" s="581">
        <v>58327</v>
      </c>
      <c r="L408" s="581">
        <v>28327</v>
      </c>
      <c r="M408" s="581">
        <v>2500326</v>
      </c>
      <c r="N408" s="581">
        <v>147348</v>
      </c>
      <c r="O408" s="581">
        <v>155382</v>
      </c>
      <c r="P408" s="582">
        <v>17.971399999999999</v>
      </c>
      <c r="Q408" s="582">
        <v>13.0305</v>
      </c>
      <c r="R408" s="584">
        <v>4.9409000000000001</v>
      </c>
      <c r="S408" s="583">
        <f t="shared" ref="S408:AX408" si="556">SUM(S403:S407)</f>
        <v>0</v>
      </c>
      <c r="T408" s="581">
        <f t="shared" si="556"/>
        <v>0</v>
      </c>
      <c r="U408" s="581">
        <f t="shared" si="556"/>
        <v>0</v>
      </c>
      <c r="V408" s="581">
        <f t="shared" si="556"/>
        <v>0</v>
      </c>
      <c r="W408" s="581">
        <f t="shared" si="556"/>
        <v>0</v>
      </c>
      <c r="X408" s="581">
        <f t="shared" si="556"/>
        <v>0</v>
      </c>
      <c r="Y408" s="581">
        <f t="shared" si="556"/>
        <v>0</v>
      </c>
      <c r="Z408" s="581">
        <f t="shared" si="556"/>
        <v>0</v>
      </c>
      <c r="AA408" s="581">
        <f t="shared" si="556"/>
        <v>0</v>
      </c>
      <c r="AB408" s="583">
        <f t="shared" si="556"/>
        <v>0</v>
      </c>
      <c r="AC408" s="581">
        <f t="shared" si="556"/>
        <v>0</v>
      </c>
      <c r="AD408" s="581">
        <f t="shared" si="556"/>
        <v>0</v>
      </c>
      <c r="AE408" s="581">
        <f t="shared" si="556"/>
        <v>0</v>
      </c>
      <c r="AF408" s="581">
        <f t="shared" si="556"/>
        <v>0</v>
      </c>
      <c r="AG408" s="582">
        <f t="shared" si="556"/>
        <v>0</v>
      </c>
      <c r="AH408" s="582">
        <f t="shared" si="556"/>
        <v>0</v>
      </c>
      <c r="AI408" s="582">
        <f t="shared" si="556"/>
        <v>0</v>
      </c>
      <c r="AJ408" s="582">
        <f t="shared" si="556"/>
        <v>0</v>
      </c>
      <c r="AK408" s="582">
        <f t="shared" si="556"/>
        <v>0</v>
      </c>
      <c r="AL408" s="582">
        <f t="shared" si="556"/>
        <v>0</v>
      </c>
      <c r="AM408" s="582">
        <f t="shared" si="556"/>
        <v>0</v>
      </c>
      <c r="AN408" s="584">
        <f t="shared" si="556"/>
        <v>0</v>
      </c>
      <c r="AO408" s="583">
        <f t="shared" si="556"/>
        <v>10228799</v>
      </c>
      <c r="AP408" s="581">
        <f t="shared" si="556"/>
        <v>7367416</v>
      </c>
      <c r="AQ408" s="581">
        <f t="shared" si="556"/>
        <v>58327</v>
      </c>
      <c r="AR408" s="581">
        <f t="shared" si="556"/>
        <v>28327</v>
      </c>
      <c r="AS408" s="581">
        <f t="shared" si="556"/>
        <v>2500326</v>
      </c>
      <c r="AT408" s="581">
        <f t="shared" si="556"/>
        <v>147348</v>
      </c>
      <c r="AU408" s="581">
        <f t="shared" si="556"/>
        <v>155382</v>
      </c>
      <c r="AV408" s="582">
        <f t="shared" si="556"/>
        <v>17.971399999999999</v>
      </c>
      <c r="AW408" s="582">
        <f t="shared" si="556"/>
        <v>13.0305</v>
      </c>
      <c r="AX408" s="584">
        <f t="shared" si="556"/>
        <v>4.9409000000000001</v>
      </c>
    </row>
    <row r="409" spans="1:50" ht="14.1" customHeight="1" x14ac:dyDescent="0.2">
      <c r="A409" s="585">
        <v>83</v>
      </c>
      <c r="B409" s="586">
        <v>2493</v>
      </c>
      <c r="C409" s="587">
        <v>600080021</v>
      </c>
      <c r="D409" s="586">
        <v>72742399</v>
      </c>
      <c r="E409" s="588" t="s">
        <v>736</v>
      </c>
      <c r="F409" s="585">
        <v>3111</v>
      </c>
      <c r="G409" s="588" t="s">
        <v>317</v>
      </c>
      <c r="H409" s="589" t="s">
        <v>283</v>
      </c>
      <c r="I409" s="495">
        <v>6081307</v>
      </c>
      <c r="J409" s="411">
        <v>4403081</v>
      </c>
      <c r="K409" s="520">
        <v>32230</v>
      </c>
      <c r="L409" s="520">
        <v>0</v>
      </c>
      <c r="M409" s="475">
        <v>1499135</v>
      </c>
      <c r="N409" s="496">
        <v>88061</v>
      </c>
      <c r="O409" s="411">
        <v>58800</v>
      </c>
      <c r="P409" s="412">
        <v>10.5243</v>
      </c>
      <c r="Q409" s="415">
        <v>8.480599999999999</v>
      </c>
      <c r="R409" s="685">
        <v>2.0436999999999999</v>
      </c>
      <c r="S409" s="499">
        <v>0</v>
      </c>
      <c r="T409" s="486">
        <v>0</v>
      </c>
      <c r="U409" s="486">
        <v>0</v>
      </c>
      <c r="V409" s="486">
        <f t="shared" ref="V409:V414" si="557">SUM(S409:U409)</f>
        <v>0</v>
      </c>
      <c r="W409" s="486">
        <v>0</v>
      </c>
      <c r="X409" s="486">
        <v>0</v>
      </c>
      <c r="Y409" s="486">
        <f t="shared" ref="Y409:Y414" si="558">SUM(W409:X409)</f>
        <v>0</v>
      </c>
      <c r="Z409" s="486">
        <f t="shared" ref="Z409:Z414" si="559">V409+Y409</f>
        <v>0</v>
      </c>
      <c r="AA409" s="178">
        <f t="shared" si="544"/>
        <v>0</v>
      </c>
      <c r="AB409" s="745">
        <f t="shared" ref="AB409:AB414" si="560">ROUND(V409*2%,0)</f>
        <v>0</v>
      </c>
      <c r="AC409" s="486">
        <v>0</v>
      </c>
      <c r="AD409" s="486">
        <v>0</v>
      </c>
      <c r="AE409" s="486">
        <f t="shared" si="546"/>
        <v>0</v>
      </c>
      <c r="AF409" s="486">
        <f t="shared" si="547"/>
        <v>0</v>
      </c>
      <c r="AG409" s="501">
        <v>0</v>
      </c>
      <c r="AH409" s="501">
        <v>0</v>
      </c>
      <c r="AI409" s="501">
        <v>0</v>
      </c>
      <c r="AJ409" s="501">
        <v>0</v>
      </c>
      <c r="AK409" s="501">
        <v>0</v>
      </c>
      <c r="AL409" s="501">
        <f t="shared" ref="AL409:AL414" si="561">AG409+AI409+AJ409</f>
        <v>0</v>
      </c>
      <c r="AM409" s="501">
        <f t="shared" ref="AM409:AM414" si="562">AH409+AK409</f>
        <v>0</v>
      </c>
      <c r="AN409" s="502">
        <f t="shared" si="550"/>
        <v>0</v>
      </c>
      <c r="AO409" s="499">
        <f t="shared" ref="AO409:AO414" si="563">I409+AF409</f>
        <v>6081307</v>
      </c>
      <c r="AP409" s="486">
        <f t="shared" ref="AP409:AP414" si="564">J409+V409</f>
        <v>4403081</v>
      </c>
      <c r="AQ409" s="486">
        <f t="shared" ref="AQ409:AQ414" si="565">K409+Y409</f>
        <v>32230</v>
      </c>
      <c r="AR409" s="486">
        <f t="shared" ref="AR409:AR414" si="566">L409</f>
        <v>0</v>
      </c>
      <c r="AS409" s="486">
        <f t="shared" ref="AS409:AT414" si="567">M409+AA409</f>
        <v>1499135</v>
      </c>
      <c r="AT409" s="486">
        <f t="shared" si="567"/>
        <v>88061</v>
      </c>
      <c r="AU409" s="486">
        <f t="shared" ref="AU409:AU414" si="568">O409+AE409</f>
        <v>58800</v>
      </c>
      <c r="AV409" s="501">
        <f t="shared" ref="AV409:AV414" si="569">P409+AN409</f>
        <v>10.5243</v>
      </c>
      <c r="AW409" s="501">
        <f t="shared" ref="AW409:AX414" si="570">Q409+AL409</f>
        <v>8.480599999999999</v>
      </c>
      <c r="AX409" s="502">
        <f t="shared" si="570"/>
        <v>2.0436999999999999</v>
      </c>
    </row>
    <row r="410" spans="1:50" ht="14.1" customHeight="1" x14ac:dyDescent="0.2">
      <c r="A410" s="585">
        <v>83</v>
      </c>
      <c r="B410" s="586">
        <v>2493</v>
      </c>
      <c r="C410" s="587">
        <v>600080021</v>
      </c>
      <c r="D410" s="586">
        <v>72742399</v>
      </c>
      <c r="E410" s="588" t="s">
        <v>736</v>
      </c>
      <c r="F410" s="585">
        <v>3113</v>
      </c>
      <c r="G410" s="588" t="s">
        <v>320</v>
      </c>
      <c r="H410" s="589" t="s">
        <v>283</v>
      </c>
      <c r="I410" s="495">
        <v>15959979</v>
      </c>
      <c r="J410" s="411">
        <v>11280797</v>
      </c>
      <c r="K410" s="520">
        <v>82167</v>
      </c>
      <c r="L410" s="520">
        <v>77167</v>
      </c>
      <c r="M410" s="475">
        <v>3814599</v>
      </c>
      <c r="N410" s="496">
        <v>225616</v>
      </c>
      <c r="O410" s="411">
        <v>556800</v>
      </c>
      <c r="P410" s="412">
        <v>21.088599999999996</v>
      </c>
      <c r="Q410" s="415">
        <v>15</v>
      </c>
      <c r="R410" s="685">
        <v>6.0885999999999996</v>
      </c>
      <c r="S410" s="499">
        <v>0</v>
      </c>
      <c r="T410" s="486">
        <v>0</v>
      </c>
      <c r="U410" s="486">
        <v>0</v>
      </c>
      <c r="V410" s="486">
        <f t="shared" si="557"/>
        <v>0</v>
      </c>
      <c r="W410" s="486">
        <v>0</v>
      </c>
      <c r="X410" s="486">
        <v>0</v>
      </c>
      <c r="Y410" s="486">
        <f t="shared" si="558"/>
        <v>0</v>
      </c>
      <c r="Z410" s="486">
        <f t="shared" si="559"/>
        <v>0</v>
      </c>
      <c r="AA410" s="178">
        <f t="shared" si="544"/>
        <v>0</v>
      </c>
      <c r="AB410" s="745">
        <f t="shared" si="560"/>
        <v>0</v>
      </c>
      <c r="AC410" s="486">
        <v>0</v>
      </c>
      <c r="AD410" s="486">
        <v>0</v>
      </c>
      <c r="AE410" s="486">
        <f t="shared" si="546"/>
        <v>0</v>
      </c>
      <c r="AF410" s="486">
        <f t="shared" si="547"/>
        <v>0</v>
      </c>
      <c r="AG410" s="501">
        <v>0</v>
      </c>
      <c r="AH410" s="501">
        <v>0</v>
      </c>
      <c r="AI410" s="501">
        <v>0</v>
      </c>
      <c r="AJ410" s="501">
        <v>0</v>
      </c>
      <c r="AK410" s="501">
        <v>0</v>
      </c>
      <c r="AL410" s="501">
        <f t="shared" si="561"/>
        <v>0</v>
      </c>
      <c r="AM410" s="501">
        <f t="shared" si="562"/>
        <v>0</v>
      </c>
      <c r="AN410" s="502">
        <f t="shared" si="550"/>
        <v>0</v>
      </c>
      <c r="AO410" s="499">
        <f t="shared" si="563"/>
        <v>15959979</v>
      </c>
      <c r="AP410" s="486">
        <f t="shared" si="564"/>
        <v>11280797</v>
      </c>
      <c r="AQ410" s="486">
        <f t="shared" si="565"/>
        <v>82167</v>
      </c>
      <c r="AR410" s="486">
        <f t="shared" si="566"/>
        <v>77167</v>
      </c>
      <c r="AS410" s="486">
        <f t="shared" si="567"/>
        <v>3814599</v>
      </c>
      <c r="AT410" s="486">
        <f t="shared" si="567"/>
        <v>225616</v>
      </c>
      <c r="AU410" s="486">
        <f t="shared" si="568"/>
        <v>556800</v>
      </c>
      <c r="AV410" s="501">
        <f t="shared" si="569"/>
        <v>21.088599999999996</v>
      </c>
      <c r="AW410" s="501">
        <f t="shared" si="570"/>
        <v>15</v>
      </c>
      <c r="AX410" s="502">
        <f t="shared" si="570"/>
        <v>6.0885999999999996</v>
      </c>
    </row>
    <row r="411" spans="1:50" ht="14.1" customHeight="1" x14ac:dyDescent="0.2">
      <c r="A411" s="585">
        <v>83</v>
      </c>
      <c r="B411" s="586">
        <v>2493</v>
      </c>
      <c r="C411" s="587">
        <v>600080021</v>
      </c>
      <c r="D411" s="586">
        <v>72742399</v>
      </c>
      <c r="E411" s="588" t="s">
        <v>736</v>
      </c>
      <c r="F411" s="585">
        <v>3113</v>
      </c>
      <c r="G411" s="208" t="s">
        <v>318</v>
      </c>
      <c r="H411" s="589" t="s">
        <v>284</v>
      </c>
      <c r="I411" s="495">
        <v>2837828</v>
      </c>
      <c r="J411" s="496">
        <v>2084741</v>
      </c>
      <c r="K411" s="475">
        <v>0</v>
      </c>
      <c r="L411" s="475">
        <v>0</v>
      </c>
      <c r="M411" s="475">
        <v>704642</v>
      </c>
      <c r="N411" s="496">
        <v>41695</v>
      </c>
      <c r="O411" s="496">
        <v>6750</v>
      </c>
      <c r="P411" s="412">
        <v>6.63</v>
      </c>
      <c r="Q411" s="497">
        <v>6.63</v>
      </c>
      <c r="R411" s="498">
        <v>0</v>
      </c>
      <c r="S411" s="499">
        <v>0</v>
      </c>
      <c r="T411" s="486">
        <v>21225</v>
      </c>
      <c r="U411" s="486">
        <v>0</v>
      </c>
      <c r="V411" s="486">
        <f t="shared" si="557"/>
        <v>21225</v>
      </c>
      <c r="W411" s="486">
        <v>0</v>
      </c>
      <c r="X411" s="486">
        <v>0</v>
      </c>
      <c r="Y411" s="486">
        <f t="shared" si="558"/>
        <v>0</v>
      </c>
      <c r="Z411" s="486">
        <f t="shared" si="559"/>
        <v>21225</v>
      </c>
      <c r="AA411" s="178">
        <f t="shared" si="544"/>
        <v>7174</v>
      </c>
      <c r="AB411" s="745">
        <f t="shared" si="560"/>
        <v>425</v>
      </c>
      <c r="AC411" s="486">
        <v>500</v>
      </c>
      <c r="AD411" s="486">
        <v>0</v>
      </c>
      <c r="AE411" s="486">
        <f t="shared" si="546"/>
        <v>500</v>
      </c>
      <c r="AF411" s="486">
        <f t="shared" si="547"/>
        <v>29324</v>
      </c>
      <c r="AG411" s="501">
        <v>0</v>
      </c>
      <c r="AH411" s="501">
        <v>0</v>
      </c>
      <c r="AI411" s="501">
        <v>0.06</v>
      </c>
      <c r="AJ411" s="501">
        <v>0</v>
      </c>
      <c r="AK411" s="501">
        <v>0</v>
      </c>
      <c r="AL411" s="501">
        <f t="shared" si="561"/>
        <v>0.06</v>
      </c>
      <c r="AM411" s="501">
        <f t="shared" si="562"/>
        <v>0</v>
      </c>
      <c r="AN411" s="502">
        <f t="shared" si="550"/>
        <v>0.06</v>
      </c>
      <c r="AO411" s="499">
        <f t="shared" si="563"/>
        <v>2867152</v>
      </c>
      <c r="AP411" s="486">
        <f t="shared" si="564"/>
        <v>2105966</v>
      </c>
      <c r="AQ411" s="486">
        <f t="shared" si="565"/>
        <v>0</v>
      </c>
      <c r="AR411" s="486">
        <f t="shared" si="566"/>
        <v>0</v>
      </c>
      <c r="AS411" s="486">
        <f t="shared" si="567"/>
        <v>711816</v>
      </c>
      <c r="AT411" s="486">
        <f t="shared" si="567"/>
        <v>42120</v>
      </c>
      <c r="AU411" s="486">
        <f t="shared" si="568"/>
        <v>7250</v>
      </c>
      <c r="AV411" s="501">
        <f t="shared" si="569"/>
        <v>6.6899999999999995</v>
      </c>
      <c r="AW411" s="501">
        <f t="shared" si="570"/>
        <v>6.6899999999999995</v>
      </c>
      <c r="AX411" s="502">
        <f t="shared" si="570"/>
        <v>0</v>
      </c>
    </row>
    <row r="412" spans="1:50" ht="14.1" customHeight="1" x14ac:dyDescent="0.2">
      <c r="A412" s="585">
        <v>83</v>
      </c>
      <c r="B412" s="586">
        <v>2493</v>
      </c>
      <c r="C412" s="587">
        <v>600080021</v>
      </c>
      <c r="D412" s="586">
        <v>72742399</v>
      </c>
      <c r="E412" s="588" t="s">
        <v>736</v>
      </c>
      <c r="F412" s="585">
        <v>3141</v>
      </c>
      <c r="G412" s="588" t="s">
        <v>321</v>
      </c>
      <c r="H412" s="589" t="s">
        <v>284</v>
      </c>
      <c r="I412" s="495">
        <v>2472300</v>
      </c>
      <c r="J412" s="496">
        <v>1807262</v>
      </c>
      <c r="K412" s="475">
        <v>0</v>
      </c>
      <c r="L412" s="475">
        <v>0</v>
      </c>
      <c r="M412" s="475">
        <v>610855</v>
      </c>
      <c r="N412" s="496">
        <v>36145</v>
      </c>
      <c r="O412" s="496">
        <v>18038</v>
      </c>
      <c r="P412" s="412">
        <v>6.15</v>
      </c>
      <c r="Q412" s="497">
        <v>0</v>
      </c>
      <c r="R412" s="498">
        <v>6.15</v>
      </c>
      <c r="S412" s="499">
        <v>0</v>
      </c>
      <c r="T412" s="486">
        <v>0</v>
      </c>
      <c r="U412" s="486">
        <v>0</v>
      </c>
      <c r="V412" s="486">
        <f t="shared" si="557"/>
        <v>0</v>
      </c>
      <c r="W412" s="486">
        <v>0</v>
      </c>
      <c r="X412" s="486">
        <v>0</v>
      </c>
      <c r="Y412" s="486">
        <f t="shared" si="558"/>
        <v>0</v>
      </c>
      <c r="Z412" s="486">
        <f t="shared" si="559"/>
        <v>0</v>
      </c>
      <c r="AA412" s="178">
        <f t="shared" si="544"/>
        <v>0</v>
      </c>
      <c r="AB412" s="745">
        <f t="shared" si="560"/>
        <v>0</v>
      </c>
      <c r="AC412" s="486">
        <v>0</v>
      </c>
      <c r="AD412" s="486">
        <v>0</v>
      </c>
      <c r="AE412" s="486">
        <f t="shared" si="546"/>
        <v>0</v>
      </c>
      <c r="AF412" s="486">
        <f t="shared" si="547"/>
        <v>0</v>
      </c>
      <c r="AG412" s="501">
        <v>0</v>
      </c>
      <c r="AH412" s="501">
        <v>0</v>
      </c>
      <c r="AI412" s="501">
        <v>0</v>
      </c>
      <c r="AJ412" s="501">
        <v>0</v>
      </c>
      <c r="AK412" s="501">
        <v>0</v>
      </c>
      <c r="AL412" s="501">
        <f t="shared" si="561"/>
        <v>0</v>
      </c>
      <c r="AM412" s="501">
        <f t="shared" si="562"/>
        <v>0</v>
      </c>
      <c r="AN412" s="502">
        <f t="shared" si="550"/>
        <v>0</v>
      </c>
      <c r="AO412" s="499">
        <f t="shared" si="563"/>
        <v>2472300</v>
      </c>
      <c r="AP412" s="486">
        <f t="shared" si="564"/>
        <v>1807262</v>
      </c>
      <c r="AQ412" s="486">
        <f t="shared" si="565"/>
        <v>0</v>
      </c>
      <c r="AR412" s="486">
        <f t="shared" si="566"/>
        <v>0</v>
      </c>
      <c r="AS412" s="486">
        <f t="shared" si="567"/>
        <v>610855</v>
      </c>
      <c r="AT412" s="486">
        <f t="shared" si="567"/>
        <v>36145</v>
      </c>
      <c r="AU412" s="486">
        <f t="shared" si="568"/>
        <v>18038</v>
      </c>
      <c r="AV412" s="501">
        <f t="shared" si="569"/>
        <v>6.15</v>
      </c>
      <c r="AW412" s="501">
        <f t="shared" si="570"/>
        <v>0</v>
      </c>
      <c r="AX412" s="502">
        <f t="shared" si="570"/>
        <v>6.15</v>
      </c>
    </row>
    <row r="413" spans="1:50" ht="14.1" customHeight="1" x14ac:dyDescent="0.2">
      <c r="A413" s="585">
        <v>83</v>
      </c>
      <c r="B413" s="586">
        <v>2493</v>
      </c>
      <c r="C413" s="587">
        <v>600080021</v>
      </c>
      <c r="D413" s="586">
        <v>72742399</v>
      </c>
      <c r="E413" s="588" t="s">
        <v>736</v>
      </c>
      <c r="F413" s="585">
        <v>3143</v>
      </c>
      <c r="G413" s="208" t="s">
        <v>634</v>
      </c>
      <c r="H413" s="589" t="s">
        <v>283</v>
      </c>
      <c r="I413" s="495">
        <v>1878663</v>
      </c>
      <c r="J413" s="411">
        <v>1383404</v>
      </c>
      <c r="K413" s="520">
        <v>0</v>
      </c>
      <c r="L413" s="520">
        <v>0</v>
      </c>
      <c r="M413" s="475">
        <v>467591</v>
      </c>
      <c r="N413" s="496">
        <v>27668</v>
      </c>
      <c r="O413" s="496">
        <v>0</v>
      </c>
      <c r="P413" s="412">
        <v>2.9641999999999999</v>
      </c>
      <c r="Q413" s="415">
        <v>2.9641999999999999</v>
      </c>
      <c r="R413" s="498">
        <v>0</v>
      </c>
      <c r="S413" s="499">
        <v>0</v>
      </c>
      <c r="T413" s="486">
        <v>0</v>
      </c>
      <c r="U413" s="486">
        <v>0</v>
      </c>
      <c r="V413" s="486">
        <f t="shared" si="557"/>
        <v>0</v>
      </c>
      <c r="W413" s="486">
        <v>0</v>
      </c>
      <c r="X413" s="486">
        <v>0</v>
      </c>
      <c r="Y413" s="486">
        <f t="shared" si="558"/>
        <v>0</v>
      </c>
      <c r="Z413" s="486">
        <f t="shared" si="559"/>
        <v>0</v>
      </c>
      <c r="AA413" s="178">
        <f t="shared" si="544"/>
        <v>0</v>
      </c>
      <c r="AB413" s="745">
        <f t="shared" si="560"/>
        <v>0</v>
      </c>
      <c r="AC413" s="486">
        <v>0</v>
      </c>
      <c r="AD413" s="486">
        <v>0</v>
      </c>
      <c r="AE413" s="486">
        <f t="shared" si="546"/>
        <v>0</v>
      </c>
      <c r="AF413" s="486">
        <f t="shared" si="547"/>
        <v>0</v>
      </c>
      <c r="AG413" s="501">
        <v>0</v>
      </c>
      <c r="AH413" s="501">
        <v>0</v>
      </c>
      <c r="AI413" s="501">
        <v>0</v>
      </c>
      <c r="AJ413" s="501">
        <v>0</v>
      </c>
      <c r="AK413" s="501">
        <v>0</v>
      </c>
      <c r="AL413" s="501">
        <f t="shared" si="561"/>
        <v>0</v>
      </c>
      <c r="AM413" s="501">
        <f t="shared" si="562"/>
        <v>0</v>
      </c>
      <c r="AN413" s="502">
        <f t="shared" si="550"/>
        <v>0</v>
      </c>
      <c r="AO413" s="499">
        <f t="shared" si="563"/>
        <v>1878663</v>
      </c>
      <c r="AP413" s="486">
        <f t="shared" si="564"/>
        <v>1383404</v>
      </c>
      <c r="AQ413" s="486">
        <f t="shared" si="565"/>
        <v>0</v>
      </c>
      <c r="AR413" s="486">
        <f t="shared" si="566"/>
        <v>0</v>
      </c>
      <c r="AS413" s="486">
        <f t="shared" si="567"/>
        <v>467591</v>
      </c>
      <c r="AT413" s="486">
        <f t="shared" si="567"/>
        <v>27668</v>
      </c>
      <c r="AU413" s="486">
        <f t="shared" si="568"/>
        <v>0</v>
      </c>
      <c r="AV413" s="501">
        <f t="shared" si="569"/>
        <v>2.9641999999999999</v>
      </c>
      <c r="AW413" s="501">
        <f t="shared" si="570"/>
        <v>2.9641999999999999</v>
      </c>
      <c r="AX413" s="502">
        <f t="shared" si="570"/>
        <v>0</v>
      </c>
    </row>
    <row r="414" spans="1:50" ht="14.1" customHeight="1" x14ac:dyDescent="0.2">
      <c r="A414" s="585">
        <v>83</v>
      </c>
      <c r="B414" s="586">
        <v>2493</v>
      </c>
      <c r="C414" s="587">
        <v>600080021</v>
      </c>
      <c r="D414" s="586">
        <v>72742399</v>
      </c>
      <c r="E414" s="588" t="s">
        <v>736</v>
      </c>
      <c r="F414" s="585">
        <v>3143</v>
      </c>
      <c r="G414" s="208" t="s">
        <v>635</v>
      </c>
      <c r="H414" s="589" t="s">
        <v>284</v>
      </c>
      <c r="I414" s="495">
        <v>49155</v>
      </c>
      <c r="J414" s="496">
        <v>34650</v>
      </c>
      <c r="K414" s="475">
        <v>0</v>
      </c>
      <c r="L414" s="475">
        <v>0</v>
      </c>
      <c r="M414" s="475">
        <v>11712</v>
      </c>
      <c r="N414" s="496">
        <v>693</v>
      </c>
      <c r="O414" s="496">
        <v>2100</v>
      </c>
      <c r="P414" s="412">
        <v>0.15</v>
      </c>
      <c r="Q414" s="497">
        <v>0</v>
      </c>
      <c r="R414" s="498">
        <v>0.15</v>
      </c>
      <c r="S414" s="499">
        <v>0</v>
      </c>
      <c r="T414" s="486">
        <v>0</v>
      </c>
      <c r="U414" s="486">
        <v>0</v>
      </c>
      <c r="V414" s="486">
        <f t="shared" si="557"/>
        <v>0</v>
      </c>
      <c r="W414" s="486">
        <v>0</v>
      </c>
      <c r="X414" s="486">
        <v>0</v>
      </c>
      <c r="Y414" s="486">
        <f t="shared" si="558"/>
        <v>0</v>
      </c>
      <c r="Z414" s="486">
        <f t="shared" si="559"/>
        <v>0</v>
      </c>
      <c r="AA414" s="178">
        <f t="shared" si="544"/>
        <v>0</v>
      </c>
      <c r="AB414" s="745">
        <f t="shared" si="560"/>
        <v>0</v>
      </c>
      <c r="AC414" s="486">
        <v>0</v>
      </c>
      <c r="AD414" s="486">
        <v>0</v>
      </c>
      <c r="AE414" s="486">
        <f t="shared" si="546"/>
        <v>0</v>
      </c>
      <c r="AF414" s="486">
        <f t="shared" si="547"/>
        <v>0</v>
      </c>
      <c r="AG414" s="501">
        <v>0</v>
      </c>
      <c r="AH414" s="501">
        <v>0</v>
      </c>
      <c r="AI414" s="501">
        <v>0</v>
      </c>
      <c r="AJ414" s="501">
        <v>0</v>
      </c>
      <c r="AK414" s="501">
        <v>0</v>
      </c>
      <c r="AL414" s="501">
        <f t="shared" si="561"/>
        <v>0</v>
      </c>
      <c r="AM414" s="501">
        <f t="shared" si="562"/>
        <v>0</v>
      </c>
      <c r="AN414" s="502">
        <f t="shared" si="550"/>
        <v>0</v>
      </c>
      <c r="AO414" s="499">
        <f t="shared" si="563"/>
        <v>49155</v>
      </c>
      <c r="AP414" s="486">
        <f t="shared" si="564"/>
        <v>34650</v>
      </c>
      <c r="AQ414" s="486">
        <f t="shared" si="565"/>
        <v>0</v>
      </c>
      <c r="AR414" s="486">
        <f t="shared" si="566"/>
        <v>0</v>
      </c>
      <c r="AS414" s="486">
        <f t="shared" si="567"/>
        <v>11712</v>
      </c>
      <c r="AT414" s="486">
        <f t="shared" si="567"/>
        <v>693</v>
      </c>
      <c r="AU414" s="486">
        <f t="shared" si="568"/>
        <v>2100</v>
      </c>
      <c r="AV414" s="501">
        <f t="shared" si="569"/>
        <v>0.15</v>
      </c>
      <c r="AW414" s="501">
        <f t="shared" si="570"/>
        <v>0</v>
      </c>
      <c r="AX414" s="502">
        <f t="shared" si="570"/>
        <v>0.15</v>
      </c>
    </row>
    <row r="415" spans="1:50" ht="14.1" customHeight="1" x14ac:dyDescent="0.2">
      <c r="A415" s="181">
        <v>83</v>
      </c>
      <c r="B415" s="179">
        <v>2493</v>
      </c>
      <c r="C415" s="180">
        <v>600080021</v>
      </c>
      <c r="D415" s="179">
        <v>72742399</v>
      </c>
      <c r="E415" s="578" t="s">
        <v>737</v>
      </c>
      <c r="F415" s="181"/>
      <c r="G415" s="578"/>
      <c r="H415" s="579"/>
      <c r="I415" s="580">
        <v>29279232</v>
      </c>
      <c r="J415" s="581">
        <v>20993935</v>
      </c>
      <c r="K415" s="581">
        <v>114397</v>
      </c>
      <c r="L415" s="581">
        <v>77167</v>
      </c>
      <c r="M415" s="581">
        <v>7108534</v>
      </c>
      <c r="N415" s="581">
        <v>419878</v>
      </c>
      <c r="O415" s="581">
        <v>642488</v>
      </c>
      <c r="P415" s="582">
        <v>47.507099999999994</v>
      </c>
      <c r="Q415" s="582">
        <v>33.074799999999996</v>
      </c>
      <c r="R415" s="584">
        <v>14.4323</v>
      </c>
      <c r="S415" s="583">
        <f t="shared" ref="S415:AX415" si="571">SUM(S409:S414)</f>
        <v>0</v>
      </c>
      <c r="T415" s="581">
        <f t="shared" si="571"/>
        <v>21225</v>
      </c>
      <c r="U415" s="581">
        <f t="shared" si="571"/>
        <v>0</v>
      </c>
      <c r="V415" s="581">
        <f t="shared" si="571"/>
        <v>21225</v>
      </c>
      <c r="W415" s="581">
        <f t="shared" si="571"/>
        <v>0</v>
      </c>
      <c r="X415" s="581">
        <f t="shared" si="571"/>
        <v>0</v>
      </c>
      <c r="Y415" s="581">
        <f t="shared" si="571"/>
        <v>0</v>
      </c>
      <c r="Z415" s="581">
        <f t="shared" si="571"/>
        <v>21225</v>
      </c>
      <c r="AA415" s="581">
        <f t="shared" si="571"/>
        <v>7174</v>
      </c>
      <c r="AB415" s="583">
        <f t="shared" si="571"/>
        <v>425</v>
      </c>
      <c r="AC415" s="581">
        <f t="shared" si="571"/>
        <v>500</v>
      </c>
      <c r="AD415" s="581">
        <f t="shared" si="571"/>
        <v>0</v>
      </c>
      <c r="AE415" s="581">
        <f t="shared" si="571"/>
        <v>500</v>
      </c>
      <c r="AF415" s="581">
        <f t="shared" si="571"/>
        <v>29324</v>
      </c>
      <c r="AG415" s="582">
        <f t="shared" si="571"/>
        <v>0</v>
      </c>
      <c r="AH415" s="582">
        <f t="shared" si="571"/>
        <v>0</v>
      </c>
      <c r="AI415" s="582">
        <f t="shared" si="571"/>
        <v>0.06</v>
      </c>
      <c r="AJ415" s="582">
        <f t="shared" si="571"/>
        <v>0</v>
      </c>
      <c r="AK415" s="582">
        <f t="shared" si="571"/>
        <v>0</v>
      </c>
      <c r="AL415" s="582">
        <f t="shared" si="571"/>
        <v>0.06</v>
      </c>
      <c r="AM415" s="582">
        <f t="shared" si="571"/>
        <v>0</v>
      </c>
      <c r="AN415" s="584">
        <f t="shared" si="571"/>
        <v>0.06</v>
      </c>
      <c r="AO415" s="583">
        <f t="shared" si="571"/>
        <v>29308556</v>
      </c>
      <c r="AP415" s="581">
        <f t="shared" si="571"/>
        <v>21015160</v>
      </c>
      <c r="AQ415" s="581">
        <f t="shared" si="571"/>
        <v>114397</v>
      </c>
      <c r="AR415" s="581">
        <f t="shared" si="571"/>
        <v>77167</v>
      </c>
      <c r="AS415" s="581">
        <f t="shared" si="571"/>
        <v>7115708</v>
      </c>
      <c r="AT415" s="581">
        <f t="shared" si="571"/>
        <v>420303</v>
      </c>
      <c r="AU415" s="581">
        <f t="shared" si="571"/>
        <v>642988</v>
      </c>
      <c r="AV415" s="582">
        <f t="shared" si="571"/>
        <v>47.567099999999989</v>
      </c>
      <c r="AW415" s="582">
        <f t="shared" si="571"/>
        <v>33.134799999999998</v>
      </c>
      <c r="AX415" s="584">
        <f t="shared" si="571"/>
        <v>14.4323</v>
      </c>
    </row>
    <row r="416" spans="1:50" ht="14.1" customHeight="1" x14ac:dyDescent="0.2">
      <c r="A416" s="585">
        <v>84</v>
      </c>
      <c r="B416" s="586">
        <v>2445</v>
      </c>
      <c r="C416" s="587">
        <v>600080030</v>
      </c>
      <c r="D416" s="586">
        <v>70695997</v>
      </c>
      <c r="E416" s="588" t="s">
        <v>738</v>
      </c>
      <c r="F416" s="585">
        <v>3111</v>
      </c>
      <c r="G416" s="588" t="s">
        <v>317</v>
      </c>
      <c r="H416" s="589" t="s">
        <v>283</v>
      </c>
      <c r="I416" s="495">
        <v>2932085</v>
      </c>
      <c r="J416" s="411">
        <v>2136955</v>
      </c>
      <c r="K416" s="520">
        <v>0</v>
      </c>
      <c r="L416" s="520">
        <v>0</v>
      </c>
      <c r="M416" s="475">
        <v>722291</v>
      </c>
      <c r="N416" s="496">
        <v>42739</v>
      </c>
      <c r="O416" s="411">
        <v>30100</v>
      </c>
      <c r="P416" s="412">
        <v>5.0217999999999998</v>
      </c>
      <c r="Q416" s="415">
        <v>4</v>
      </c>
      <c r="R416" s="685">
        <v>1.0218</v>
      </c>
      <c r="S416" s="499">
        <v>0</v>
      </c>
      <c r="T416" s="486">
        <v>0</v>
      </c>
      <c r="U416" s="486">
        <v>0</v>
      </c>
      <c r="V416" s="486">
        <f t="shared" ref="V416:V421" si="572">SUM(S416:U416)</f>
        <v>0</v>
      </c>
      <c r="W416" s="486">
        <v>0</v>
      </c>
      <c r="X416" s="486">
        <v>0</v>
      </c>
      <c r="Y416" s="486">
        <f t="shared" ref="Y416:Y421" si="573">SUM(W416:X416)</f>
        <v>0</v>
      </c>
      <c r="Z416" s="486">
        <f t="shared" ref="Z416:Z421" si="574">V416+Y416</f>
        <v>0</v>
      </c>
      <c r="AA416" s="178">
        <f t="shared" si="544"/>
        <v>0</v>
      </c>
      <c r="AB416" s="745">
        <f t="shared" ref="AB416:AB421" si="575">ROUND(V416*2%,0)</f>
        <v>0</v>
      </c>
      <c r="AC416" s="486">
        <v>0</v>
      </c>
      <c r="AD416" s="486">
        <v>0</v>
      </c>
      <c r="AE416" s="486">
        <f t="shared" si="546"/>
        <v>0</v>
      </c>
      <c r="AF416" s="486">
        <f t="shared" si="547"/>
        <v>0</v>
      </c>
      <c r="AG416" s="501">
        <v>0</v>
      </c>
      <c r="AH416" s="501">
        <v>0</v>
      </c>
      <c r="AI416" s="501">
        <v>0</v>
      </c>
      <c r="AJ416" s="501">
        <v>0</v>
      </c>
      <c r="AK416" s="501">
        <v>0</v>
      </c>
      <c r="AL416" s="501">
        <f t="shared" ref="AL416:AL421" si="576">AG416+AI416+AJ416</f>
        <v>0</v>
      </c>
      <c r="AM416" s="501">
        <f t="shared" ref="AM416:AM421" si="577">AH416+AK416</f>
        <v>0</v>
      </c>
      <c r="AN416" s="502">
        <f t="shared" si="550"/>
        <v>0</v>
      </c>
      <c r="AO416" s="499">
        <f t="shared" ref="AO416:AO421" si="578">I416+AF416</f>
        <v>2932085</v>
      </c>
      <c r="AP416" s="486">
        <f t="shared" ref="AP416:AP421" si="579">J416+V416</f>
        <v>2136955</v>
      </c>
      <c r="AQ416" s="486">
        <f t="shared" ref="AQ416:AQ421" si="580">K416+Y416</f>
        <v>0</v>
      </c>
      <c r="AR416" s="486">
        <f t="shared" ref="AR416:AR421" si="581">L416</f>
        <v>0</v>
      </c>
      <c r="AS416" s="486">
        <f t="shared" ref="AS416:AT421" si="582">M416+AA416</f>
        <v>722291</v>
      </c>
      <c r="AT416" s="486">
        <f t="shared" si="582"/>
        <v>42739</v>
      </c>
      <c r="AU416" s="486">
        <f t="shared" ref="AU416:AU421" si="583">O416+AE416</f>
        <v>30100</v>
      </c>
      <c r="AV416" s="501">
        <f t="shared" ref="AV416:AV421" si="584">P416+AN416</f>
        <v>5.0217999999999998</v>
      </c>
      <c r="AW416" s="501">
        <f t="shared" ref="AW416:AX421" si="585">Q416+AL416</f>
        <v>4</v>
      </c>
      <c r="AX416" s="502">
        <f t="shared" si="585"/>
        <v>1.0218</v>
      </c>
    </row>
    <row r="417" spans="1:50" ht="14.1" customHeight="1" x14ac:dyDescent="0.2">
      <c r="A417" s="585">
        <v>84</v>
      </c>
      <c r="B417" s="586">
        <v>2445</v>
      </c>
      <c r="C417" s="587">
        <v>600080030</v>
      </c>
      <c r="D417" s="586">
        <v>70695997</v>
      </c>
      <c r="E417" s="588" t="s">
        <v>738</v>
      </c>
      <c r="F417" s="585">
        <v>3117</v>
      </c>
      <c r="G417" s="588" t="s">
        <v>320</v>
      </c>
      <c r="H417" s="589" t="s">
        <v>283</v>
      </c>
      <c r="I417" s="495">
        <v>3190778</v>
      </c>
      <c r="J417" s="411">
        <v>2238529</v>
      </c>
      <c r="K417" s="520">
        <v>35580</v>
      </c>
      <c r="L417" s="520">
        <v>5180</v>
      </c>
      <c r="M417" s="475">
        <v>766898</v>
      </c>
      <c r="N417" s="496">
        <v>44771</v>
      </c>
      <c r="O417" s="411">
        <v>105000</v>
      </c>
      <c r="P417" s="412">
        <v>5.0354999999999999</v>
      </c>
      <c r="Q417" s="415">
        <v>3.2689999999999997</v>
      </c>
      <c r="R417" s="685">
        <v>1.7665</v>
      </c>
      <c r="S417" s="499">
        <v>0</v>
      </c>
      <c r="T417" s="486">
        <v>0</v>
      </c>
      <c r="U417" s="486">
        <v>0</v>
      </c>
      <c r="V417" s="486">
        <f t="shared" si="572"/>
        <v>0</v>
      </c>
      <c r="W417" s="486">
        <v>0</v>
      </c>
      <c r="X417" s="486">
        <v>0</v>
      </c>
      <c r="Y417" s="486">
        <f t="shared" si="573"/>
        <v>0</v>
      </c>
      <c r="Z417" s="486">
        <f t="shared" si="574"/>
        <v>0</v>
      </c>
      <c r="AA417" s="178">
        <f t="shared" si="544"/>
        <v>0</v>
      </c>
      <c r="AB417" s="745">
        <f t="shared" si="575"/>
        <v>0</v>
      </c>
      <c r="AC417" s="486">
        <v>0</v>
      </c>
      <c r="AD417" s="486">
        <v>0</v>
      </c>
      <c r="AE417" s="486">
        <f t="shared" si="546"/>
        <v>0</v>
      </c>
      <c r="AF417" s="486">
        <f t="shared" si="547"/>
        <v>0</v>
      </c>
      <c r="AG417" s="501">
        <v>0</v>
      </c>
      <c r="AH417" s="501">
        <v>0</v>
      </c>
      <c r="AI417" s="501">
        <v>0</v>
      </c>
      <c r="AJ417" s="501">
        <v>0</v>
      </c>
      <c r="AK417" s="501">
        <v>0</v>
      </c>
      <c r="AL417" s="501">
        <f t="shared" si="576"/>
        <v>0</v>
      </c>
      <c r="AM417" s="501">
        <f t="shared" si="577"/>
        <v>0</v>
      </c>
      <c r="AN417" s="502">
        <f t="shared" si="550"/>
        <v>0</v>
      </c>
      <c r="AO417" s="499">
        <f t="shared" si="578"/>
        <v>3190778</v>
      </c>
      <c r="AP417" s="486">
        <f t="shared" si="579"/>
        <v>2238529</v>
      </c>
      <c r="AQ417" s="486">
        <f t="shared" si="580"/>
        <v>35580</v>
      </c>
      <c r="AR417" s="486">
        <f t="shared" si="581"/>
        <v>5180</v>
      </c>
      <c r="AS417" s="486">
        <f t="shared" si="582"/>
        <v>766898</v>
      </c>
      <c r="AT417" s="486">
        <f t="shared" si="582"/>
        <v>44771</v>
      </c>
      <c r="AU417" s="486">
        <f t="shared" si="583"/>
        <v>105000</v>
      </c>
      <c r="AV417" s="501">
        <f t="shared" si="584"/>
        <v>5.0354999999999999</v>
      </c>
      <c r="AW417" s="501">
        <f t="shared" si="585"/>
        <v>3.2689999999999997</v>
      </c>
      <c r="AX417" s="502">
        <f t="shared" si="585"/>
        <v>1.7665</v>
      </c>
    </row>
    <row r="418" spans="1:50" ht="14.1" customHeight="1" x14ac:dyDescent="0.2">
      <c r="A418" s="585">
        <v>84</v>
      </c>
      <c r="B418" s="586">
        <v>2445</v>
      </c>
      <c r="C418" s="587">
        <v>600080030</v>
      </c>
      <c r="D418" s="586">
        <v>70695997</v>
      </c>
      <c r="E418" s="588" t="s">
        <v>738</v>
      </c>
      <c r="F418" s="585">
        <v>3117</v>
      </c>
      <c r="G418" s="208" t="s">
        <v>318</v>
      </c>
      <c r="H418" s="589" t="s">
        <v>284</v>
      </c>
      <c r="I418" s="495">
        <v>721811</v>
      </c>
      <c r="J418" s="496">
        <v>530789</v>
      </c>
      <c r="K418" s="475">
        <v>0</v>
      </c>
      <c r="L418" s="475">
        <v>0</v>
      </c>
      <c r="M418" s="475">
        <v>179406</v>
      </c>
      <c r="N418" s="496">
        <v>10616</v>
      </c>
      <c r="O418" s="496">
        <v>1000</v>
      </c>
      <c r="P418" s="412">
        <v>1.6400000000000001</v>
      </c>
      <c r="Q418" s="497">
        <v>1.6400000000000001</v>
      </c>
      <c r="R418" s="498">
        <v>0</v>
      </c>
      <c r="S418" s="499">
        <v>0</v>
      </c>
      <c r="T418" s="486">
        <v>0</v>
      </c>
      <c r="U418" s="486">
        <v>0</v>
      </c>
      <c r="V418" s="486">
        <f t="shared" si="572"/>
        <v>0</v>
      </c>
      <c r="W418" s="486">
        <v>0</v>
      </c>
      <c r="X418" s="486">
        <v>0</v>
      </c>
      <c r="Y418" s="486">
        <f t="shared" si="573"/>
        <v>0</v>
      </c>
      <c r="Z418" s="486">
        <f t="shared" si="574"/>
        <v>0</v>
      </c>
      <c r="AA418" s="178">
        <f t="shared" si="544"/>
        <v>0</v>
      </c>
      <c r="AB418" s="745">
        <f t="shared" si="575"/>
        <v>0</v>
      </c>
      <c r="AC418" s="486">
        <v>0</v>
      </c>
      <c r="AD418" s="486">
        <v>0</v>
      </c>
      <c r="AE418" s="486">
        <f t="shared" si="546"/>
        <v>0</v>
      </c>
      <c r="AF418" s="486">
        <f t="shared" si="547"/>
        <v>0</v>
      </c>
      <c r="AG418" s="501">
        <v>0</v>
      </c>
      <c r="AH418" s="501">
        <v>0</v>
      </c>
      <c r="AI418" s="501">
        <v>0</v>
      </c>
      <c r="AJ418" s="501">
        <v>0</v>
      </c>
      <c r="AK418" s="501">
        <v>0</v>
      </c>
      <c r="AL418" s="501">
        <f t="shared" si="576"/>
        <v>0</v>
      </c>
      <c r="AM418" s="501">
        <f t="shared" si="577"/>
        <v>0</v>
      </c>
      <c r="AN418" s="502">
        <f t="shared" si="550"/>
        <v>0</v>
      </c>
      <c r="AO418" s="499">
        <f t="shared" si="578"/>
        <v>721811</v>
      </c>
      <c r="AP418" s="486">
        <f t="shared" si="579"/>
        <v>530789</v>
      </c>
      <c r="AQ418" s="486">
        <f t="shared" si="580"/>
        <v>0</v>
      </c>
      <c r="AR418" s="486">
        <f t="shared" si="581"/>
        <v>0</v>
      </c>
      <c r="AS418" s="486">
        <f t="shared" si="582"/>
        <v>179406</v>
      </c>
      <c r="AT418" s="486">
        <f t="shared" si="582"/>
        <v>10616</v>
      </c>
      <c r="AU418" s="486">
        <f t="shared" si="583"/>
        <v>1000</v>
      </c>
      <c r="AV418" s="501">
        <f t="shared" si="584"/>
        <v>1.6400000000000001</v>
      </c>
      <c r="AW418" s="501">
        <f t="shared" si="585"/>
        <v>1.6400000000000001</v>
      </c>
      <c r="AX418" s="502">
        <f t="shared" si="585"/>
        <v>0</v>
      </c>
    </row>
    <row r="419" spans="1:50" ht="14.1" customHeight="1" x14ac:dyDescent="0.2">
      <c r="A419" s="585">
        <v>84</v>
      </c>
      <c r="B419" s="586">
        <v>2445</v>
      </c>
      <c r="C419" s="587">
        <v>600080030</v>
      </c>
      <c r="D419" s="586">
        <v>70695997</v>
      </c>
      <c r="E419" s="588" t="s">
        <v>738</v>
      </c>
      <c r="F419" s="585">
        <v>3141</v>
      </c>
      <c r="G419" s="588" t="s">
        <v>321</v>
      </c>
      <c r="H419" s="589" t="s">
        <v>284</v>
      </c>
      <c r="I419" s="495">
        <v>974848</v>
      </c>
      <c r="J419" s="496">
        <v>714525</v>
      </c>
      <c r="K419" s="475">
        <v>0</v>
      </c>
      <c r="L419" s="475">
        <v>0</v>
      </c>
      <c r="M419" s="475">
        <v>241509</v>
      </c>
      <c r="N419" s="496">
        <v>14290</v>
      </c>
      <c r="O419" s="496">
        <v>4524</v>
      </c>
      <c r="P419" s="412">
        <v>2.4300000000000002</v>
      </c>
      <c r="Q419" s="497">
        <v>0</v>
      </c>
      <c r="R419" s="498">
        <v>2.4300000000000002</v>
      </c>
      <c r="S419" s="499">
        <v>0</v>
      </c>
      <c r="T419" s="486">
        <v>0</v>
      </c>
      <c r="U419" s="486">
        <v>0</v>
      </c>
      <c r="V419" s="486">
        <f t="shared" si="572"/>
        <v>0</v>
      </c>
      <c r="W419" s="486">
        <v>0</v>
      </c>
      <c r="X419" s="486">
        <v>0</v>
      </c>
      <c r="Y419" s="486">
        <f t="shared" si="573"/>
        <v>0</v>
      </c>
      <c r="Z419" s="486">
        <f t="shared" si="574"/>
        <v>0</v>
      </c>
      <c r="AA419" s="178">
        <f t="shared" si="544"/>
        <v>0</v>
      </c>
      <c r="AB419" s="745">
        <f t="shared" si="575"/>
        <v>0</v>
      </c>
      <c r="AC419" s="486">
        <v>0</v>
      </c>
      <c r="AD419" s="486">
        <v>0</v>
      </c>
      <c r="AE419" s="486">
        <f t="shared" si="546"/>
        <v>0</v>
      </c>
      <c r="AF419" s="486">
        <f t="shared" si="547"/>
        <v>0</v>
      </c>
      <c r="AG419" s="501">
        <v>0</v>
      </c>
      <c r="AH419" s="501">
        <v>0</v>
      </c>
      <c r="AI419" s="501">
        <v>0</v>
      </c>
      <c r="AJ419" s="501">
        <v>0</v>
      </c>
      <c r="AK419" s="501">
        <v>0</v>
      </c>
      <c r="AL419" s="501">
        <f t="shared" si="576"/>
        <v>0</v>
      </c>
      <c r="AM419" s="501">
        <f t="shared" si="577"/>
        <v>0</v>
      </c>
      <c r="AN419" s="502">
        <f t="shared" si="550"/>
        <v>0</v>
      </c>
      <c r="AO419" s="499">
        <f t="shared" si="578"/>
        <v>974848</v>
      </c>
      <c r="AP419" s="486">
        <f t="shared" si="579"/>
        <v>714525</v>
      </c>
      <c r="AQ419" s="486">
        <f t="shared" si="580"/>
        <v>0</v>
      </c>
      <c r="AR419" s="486">
        <f t="shared" si="581"/>
        <v>0</v>
      </c>
      <c r="AS419" s="486">
        <f t="shared" si="582"/>
        <v>241509</v>
      </c>
      <c r="AT419" s="486">
        <f t="shared" si="582"/>
        <v>14290</v>
      </c>
      <c r="AU419" s="486">
        <f t="shared" si="583"/>
        <v>4524</v>
      </c>
      <c r="AV419" s="501">
        <f t="shared" si="584"/>
        <v>2.4300000000000002</v>
      </c>
      <c r="AW419" s="501">
        <f t="shared" si="585"/>
        <v>0</v>
      </c>
      <c r="AX419" s="502">
        <f t="shared" si="585"/>
        <v>2.4300000000000002</v>
      </c>
    </row>
    <row r="420" spans="1:50" ht="14.1" customHeight="1" x14ac:dyDescent="0.2">
      <c r="A420" s="585">
        <v>84</v>
      </c>
      <c r="B420" s="586">
        <v>2445</v>
      </c>
      <c r="C420" s="587">
        <v>600080030</v>
      </c>
      <c r="D420" s="586">
        <v>70695997</v>
      </c>
      <c r="E420" s="588" t="s">
        <v>738</v>
      </c>
      <c r="F420" s="585">
        <v>3143</v>
      </c>
      <c r="G420" s="208" t="s">
        <v>634</v>
      </c>
      <c r="H420" s="589" t="s">
        <v>283</v>
      </c>
      <c r="I420" s="495">
        <v>694569</v>
      </c>
      <c r="J420" s="411">
        <v>511465</v>
      </c>
      <c r="K420" s="520">
        <v>0</v>
      </c>
      <c r="L420" s="520">
        <v>0</v>
      </c>
      <c r="M420" s="475">
        <v>172875</v>
      </c>
      <c r="N420" s="496">
        <v>10229</v>
      </c>
      <c r="O420" s="496">
        <v>0</v>
      </c>
      <c r="P420" s="412">
        <v>1.1427</v>
      </c>
      <c r="Q420" s="415">
        <v>1.1427</v>
      </c>
      <c r="R420" s="498">
        <v>0</v>
      </c>
      <c r="S420" s="499">
        <v>0</v>
      </c>
      <c r="T420" s="486">
        <v>0</v>
      </c>
      <c r="U420" s="486">
        <v>0</v>
      </c>
      <c r="V420" s="486">
        <f t="shared" si="572"/>
        <v>0</v>
      </c>
      <c r="W420" s="486">
        <v>0</v>
      </c>
      <c r="X420" s="486">
        <v>0</v>
      </c>
      <c r="Y420" s="486">
        <f t="shared" si="573"/>
        <v>0</v>
      </c>
      <c r="Z420" s="486">
        <f t="shared" si="574"/>
        <v>0</v>
      </c>
      <c r="AA420" s="178">
        <f t="shared" si="544"/>
        <v>0</v>
      </c>
      <c r="AB420" s="745">
        <f t="shared" si="575"/>
        <v>0</v>
      </c>
      <c r="AC420" s="486">
        <v>0</v>
      </c>
      <c r="AD420" s="486">
        <v>0</v>
      </c>
      <c r="AE420" s="486">
        <f t="shared" si="546"/>
        <v>0</v>
      </c>
      <c r="AF420" s="486">
        <f t="shared" si="547"/>
        <v>0</v>
      </c>
      <c r="AG420" s="501">
        <v>0</v>
      </c>
      <c r="AH420" s="501">
        <v>0</v>
      </c>
      <c r="AI420" s="501">
        <v>0</v>
      </c>
      <c r="AJ420" s="501">
        <v>0</v>
      </c>
      <c r="AK420" s="501">
        <v>0</v>
      </c>
      <c r="AL420" s="501">
        <f t="shared" si="576"/>
        <v>0</v>
      </c>
      <c r="AM420" s="501">
        <f t="shared" si="577"/>
        <v>0</v>
      </c>
      <c r="AN420" s="502">
        <f t="shared" si="550"/>
        <v>0</v>
      </c>
      <c r="AO420" s="499">
        <f t="shared" si="578"/>
        <v>694569</v>
      </c>
      <c r="AP420" s="486">
        <f t="shared" si="579"/>
        <v>511465</v>
      </c>
      <c r="AQ420" s="486">
        <f t="shared" si="580"/>
        <v>0</v>
      </c>
      <c r="AR420" s="486">
        <f t="shared" si="581"/>
        <v>0</v>
      </c>
      <c r="AS420" s="486">
        <f t="shared" si="582"/>
        <v>172875</v>
      </c>
      <c r="AT420" s="486">
        <f t="shared" si="582"/>
        <v>10229</v>
      </c>
      <c r="AU420" s="486">
        <f t="shared" si="583"/>
        <v>0</v>
      </c>
      <c r="AV420" s="501">
        <f t="shared" si="584"/>
        <v>1.1427</v>
      </c>
      <c r="AW420" s="501">
        <f t="shared" si="585"/>
        <v>1.1427</v>
      </c>
      <c r="AX420" s="502">
        <f t="shared" si="585"/>
        <v>0</v>
      </c>
    </row>
    <row r="421" spans="1:50" ht="14.1" customHeight="1" x14ac:dyDescent="0.2">
      <c r="A421" s="585">
        <v>84</v>
      </c>
      <c r="B421" s="586">
        <v>2445</v>
      </c>
      <c r="C421" s="587">
        <v>600080030</v>
      </c>
      <c r="D421" s="586">
        <v>70695997</v>
      </c>
      <c r="E421" s="588" t="s">
        <v>738</v>
      </c>
      <c r="F421" s="585">
        <v>3143</v>
      </c>
      <c r="G421" s="208" t="s">
        <v>635</v>
      </c>
      <c r="H421" s="589" t="s">
        <v>284</v>
      </c>
      <c r="I421" s="495">
        <v>17556</v>
      </c>
      <c r="J421" s="496">
        <v>12375</v>
      </c>
      <c r="K421" s="475">
        <v>0</v>
      </c>
      <c r="L421" s="475">
        <v>0</v>
      </c>
      <c r="M421" s="475">
        <v>4183</v>
      </c>
      <c r="N421" s="496">
        <v>248</v>
      </c>
      <c r="O421" s="496">
        <v>750</v>
      </c>
      <c r="P421" s="412">
        <v>0.05</v>
      </c>
      <c r="Q421" s="497">
        <v>0</v>
      </c>
      <c r="R421" s="498">
        <v>0.05</v>
      </c>
      <c r="S421" s="499">
        <v>0</v>
      </c>
      <c r="T421" s="486">
        <v>0</v>
      </c>
      <c r="U421" s="486">
        <v>0</v>
      </c>
      <c r="V421" s="486">
        <f t="shared" si="572"/>
        <v>0</v>
      </c>
      <c r="W421" s="486">
        <v>0</v>
      </c>
      <c r="X421" s="486">
        <v>0</v>
      </c>
      <c r="Y421" s="486">
        <f t="shared" si="573"/>
        <v>0</v>
      </c>
      <c r="Z421" s="486">
        <f t="shared" si="574"/>
        <v>0</v>
      </c>
      <c r="AA421" s="178">
        <f t="shared" si="544"/>
        <v>0</v>
      </c>
      <c r="AB421" s="745">
        <f t="shared" si="575"/>
        <v>0</v>
      </c>
      <c r="AC421" s="486">
        <v>0</v>
      </c>
      <c r="AD421" s="486">
        <v>0</v>
      </c>
      <c r="AE421" s="486">
        <f t="shared" si="546"/>
        <v>0</v>
      </c>
      <c r="AF421" s="486">
        <f t="shared" si="547"/>
        <v>0</v>
      </c>
      <c r="AG421" s="501">
        <v>0</v>
      </c>
      <c r="AH421" s="501">
        <v>0</v>
      </c>
      <c r="AI421" s="501">
        <v>0</v>
      </c>
      <c r="AJ421" s="501">
        <v>0</v>
      </c>
      <c r="AK421" s="501">
        <v>0</v>
      </c>
      <c r="AL421" s="501">
        <f t="shared" si="576"/>
        <v>0</v>
      </c>
      <c r="AM421" s="501">
        <f t="shared" si="577"/>
        <v>0</v>
      </c>
      <c r="AN421" s="502">
        <f t="shared" si="550"/>
        <v>0</v>
      </c>
      <c r="AO421" s="499">
        <f t="shared" si="578"/>
        <v>17556</v>
      </c>
      <c r="AP421" s="486">
        <f t="shared" si="579"/>
        <v>12375</v>
      </c>
      <c r="AQ421" s="486">
        <f t="shared" si="580"/>
        <v>0</v>
      </c>
      <c r="AR421" s="486">
        <f t="shared" si="581"/>
        <v>0</v>
      </c>
      <c r="AS421" s="486">
        <f t="shared" si="582"/>
        <v>4183</v>
      </c>
      <c r="AT421" s="486">
        <f t="shared" si="582"/>
        <v>248</v>
      </c>
      <c r="AU421" s="486">
        <f t="shared" si="583"/>
        <v>750</v>
      </c>
      <c r="AV421" s="501">
        <f t="shared" si="584"/>
        <v>0.05</v>
      </c>
      <c r="AW421" s="501">
        <f t="shared" si="585"/>
        <v>0</v>
      </c>
      <c r="AX421" s="502">
        <f t="shared" si="585"/>
        <v>0.05</v>
      </c>
    </row>
    <row r="422" spans="1:50" ht="14.1" customHeight="1" x14ac:dyDescent="0.2">
      <c r="A422" s="181">
        <v>84</v>
      </c>
      <c r="B422" s="179">
        <v>2445</v>
      </c>
      <c r="C422" s="180">
        <v>600080030</v>
      </c>
      <c r="D422" s="179">
        <v>70695997</v>
      </c>
      <c r="E422" s="578" t="s">
        <v>739</v>
      </c>
      <c r="F422" s="181"/>
      <c r="G422" s="578"/>
      <c r="H422" s="579"/>
      <c r="I422" s="580">
        <v>8531647</v>
      </c>
      <c r="J422" s="581">
        <v>6144638</v>
      </c>
      <c r="K422" s="581">
        <v>35580</v>
      </c>
      <c r="L422" s="581">
        <v>5180</v>
      </c>
      <c r="M422" s="581">
        <v>2087162</v>
      </c>
      <c r="N422" s="581">
        <v>122893</v>
      </c>
      <c r="O422" s="581">
        <v>141374</v>
      </c>
      <c r="P422" s="582">
        <v>15.32</v>
      </c>
      <c r="Q422" s="582">
        <v>10.0517</v>
      </c>
      <c r="R422" s="584">
        <v>5.2683</v>
      </c>
      <c r="S422" s="583">
        <f t="shared" ref="S422:AX422" si="586">SUM(S416:S421)</f>
        <v>0</v>
      </c>
      <c r="T422" s="581">
        <f t="shared" si="586"/>
        <v>0</v>
      </c>
      <c r="U422" s="581">
        <f t="shared" si="586"/>
        <v>0</v>
      </c>
      <c r="V422" s="581">
        <f t="shared" si="586"/>
        <v>0</v>
      </c>
      <c r="W422" s="581">
        <f t="shared" si="586"/>
        <v>0</v>
      </c>
      <c r="X422" s="581">
        <f t="shared" si="586"/>
        <v>0</v>
      </c>
      <c r="Y422" s="581">
        <f t="shared" si="586"/>
        <v>0</v>
      </c>
      <c r="Z422" s="581">
        <f t="shared" si="586"/>
        <v>0</v>
      </c>
      <c r="AA422" s="581">
        <f t="shared" si="586"/>
        <v>0</v>
      </c>
      <c r="AB422" s="583">
        <f t="shared" si="586"/>
        <v>0</v>
      </c>
      <c r="AC422" s="581">
        <f t="shared" si="586"/>
        <v>0</v>
      </c>
      <c r="AD422" s="581">
        <f t="shared" si="586"/>
        <v>0</v>
      </c>
      <c r="AE422" s="581">
        <f t="shared" si="586"/>
        <v>0</v>
      </c>
      <c r="AF422" s="581">
        <f t="shared" si="586"/>
        <v>0</v>
      </c>
      <c r="AG422" s="582">
        <f t="shared" si="586"/>
        <v>0</v>
      </c>
      <c r="AH422" s="582">
        <f t="shared" si="586"/>
        <v>0</v>
      </c>
      <c r="AI422" s="582">
        <f t="shared" si="586"/>
        <v>0</v>
      </c>
      <c r="AJ422" s="582">
        <f t="shared" si="586"/>
        <v>0</v>
      </c>
      <c r="AK422" s="582">
        <f t="shared" si="586"/>
        <v>0</v>
      </c>
      <c r="AL422" s="582">
        <f t="shared" si="586"/>
        <v>0</v>
      </c>
      <c r="AM422" s="582">
        <f t="shared" si="586"/>
        <v>0</v>
      </c>
      <c r="AN422" s="584">
        <f t="shared" si="586"/>
        <v>0</v>
      </c>
      <c r="AO422" s="583">
        <f t="shared" si="586"/>
        <v>8531647</v>
      </c>
      <c r="AP422" s="581">
        <f t="shared" si="586"/>
        <v>6144638</v>
      </c>
      <c r="AQ422" s="581">
        <f t="shared" si="586"/>
        <v>35580</v>
      </c>
      <c r="AR422" s="581">
        <f t="shared" si="586"/>
        <v>5180</v>
      </c>
      <c r="AS422" s="581">
        <f t="shared" si="586"/>
        <v>2087162</v>
      </c>
      <c r="AT422" s="581">
        <f t="shared" si="586"/>
        <v>122893</v>
      </c>
      <c r="AU422" s="581">
        <f t="shared" si="586"/>
        <v>141374</v>
      </c>
      <c r="AV422" s="582">
        <f t="shared" si="586"/>
        <v>15.32</v>
      </c>
      <c r="AW422" s="582">
        <f t="shared" si="586"/>
        <v>10.0517</v>
      </c>
      <c r="AX422" s="584">
        <f t="shared" si="586"/>
        <v>5.2683</v>
      </c>
    </row>
    <row r="423" spans="1:50" ht="14.1" customHeight="1" x14ac:dyDescent="0.2">
      <c r="A423" s="585">
        <v>85</v>
      </c>
      <c r="B423" s="586">
        <v>2495</v>
      </c>
      <c r="C423" s="587">
        <v>600080196</v>
      </c>
      <c r="D423" s="586">
        <v>70983810</v>
      </c>
      <c r="E423" s="588" t="s">
        <v>740</v>
      </c>
      <c r="F423" s="585">
        <v>3111</v>
      </c>
      <c r="G423" s="588" t="s">
        <v>317</v>
      </c>
      <c r="H423" s="589" t="s">
        <v>283</v>
      </c>
      <c r="I423" s="495">
        <v>4207083</v>
      </c>
      <c r="J423" s="411">
        <v>3065010</v>
      </c>
      <c r="K423" s="520">
        <v>0</v>
      </c>
      <c r="L423" s="520">
        <v>0</v>
      </c>
      <c r="M423" s="475">
        <v>1035973</v>
      </c>
      <c r="N423" s="496">
        <v>61300</v>
      </c>
      <c r="O423" s="411">
        <v>44800</v>
      </c>
      <c r="P423" s="412">
        <v>7.3554000000000004</v>
      </c>
      <c r="Q423" s="415">
        <v>5.8226000000000004</v>
      </c>
      <c r="R423" s="685">
        <v>1.5327999999999999</v>
      </c>
      <c r="S423" s="499">
        <v>0</v>
      </c>
      <c r="T423" s="486">
        <v>0</v>
      </c>
      <c r="U423" s="486">
        <v>0</v>
      </c>
      <c r="V423" s="486">
        <f t="shared" ref="V423:V428" si="587">SUM(S423:U423)</f>
        <v>0</v>
      </c>
      <c r="W423" s="486">
        <v>0</v>
      </c>
      <c r="X423" s="486">
        <v>0</v>
      </c>
      <c r="Y423" s="486">
        <f t="shared" ref="Y423:Y428" si="588">SUM(W423:X423)</f>
        <v>0</v>
      </c>
      <c r="Z423" s="486">
        <f t="shared" ref="Z423:Z428" si="589">V423+Y423</f>
        <v>0</v>
      </c>
      <c r="AA423" s="178">
        <f t="shared" si="544"/>
        <v>0</v>
      </c>
      <c r="AB423" s="745">
        <f t="shared" ref="AB423:AB428" si="590">ROUND(V423*2%,0)</f>
        <v>0</v>
      </c>
      <c r="AC423" s="486">
        <v>0</v>
      </c>
      <c r="AD423" s="486">
        <v>0</v>
      </c>
      <c r="AE423" s="486">
        <f t="shared" si="546"/>
        <v>0</v>
      </c>
      <c r="AF423" s="486">
        <f t="shared" si="547"/>
        <v>0</v>
      </c>
      <c r="AG423" s="501">
        <v>0</v>
      </c>
      <c r="AH423" s="501">
        <v>0</v>
      </c>
      <c r="AI423" s="501">
        <v>0</v>
      </c>
      <c r="AJ423" s="501">
        <v>0</v>
      </c>
      <c r="AK423" s="501">
        <v>0</v>
      </c>
      <c r="AL423" s="501">
        <f t="shared" ref="AL423:AL428" si="591">AG423+AI423+AJ423</f>
        <v>0</v>
      </c>
      <c r="AM423" s="501">
        <f t="shared" ref="AM423:AM428" si="592">AH423+AK423</f>
        <v>0</v>
      </c>
      <c r="AN423" s="502">
        <f t="shared" si="550"/>
        <v>0</v>
      </c>
      <c r="AO423" s="499">
        <f t="shared" ref="AO423:AO428" si="593">I423+AF423</f>
        <v>4207083</v>
      </c>
      <c r="AP423" s="486">
        <f t="shared" ref="AP423:AP428" si="594">J423+V423</f>
        <v>3065010</v>
      </c>
      <c r="AQ423" s="486">
        <f t="shared" ref="AQ423:AQ428" si="595">K423+Y423</f>
        <v>0</v>
      </c>
      <c r="AR423" s="486">
        <f t="shared" ref="AR423:AR428" si="596">L423</f>
        <v>0</v>
      </c>
      <c r="AS423" s="486">
        <f t="shared" ref="AS423:AT428" si="597">M423+AA423</f>
        <v>1035973</v>
      </c>
      <c r="AT423" s="486">
        <f t="shared" si="597"/>
        <v>61300</v>
      </c>
      <c r="AU423" s="486">
        <f t="shared" ref="AU423:AU428" si="598">O423+AE423</f>
        <v>44800</v>
      </c>
      <c r="AV423" s="501">
        <f t="shared" ref="AV423:AV428" si="599">P423+AN423</f>
        <v>7.3554000000000004</v>
      </c>
      <c r="AW423" s="501">
        <f t="shared" ref="AW423:AX428" si="600">Q423+AL423</f>
        <v>5.8226000000000004</v>
      </c>
      <c r="AX423" s="502">
        <f t="shared" si="600"/>
        <v>1.5327999999999999</v>
      </c>
    </row>
    <row r="424" spans="1:50" ht="14.1" customHeight="1" x14ac:dyDescent="0.2">
      <c r="A424" s="585">
        <v>85</v>
      </c>
      <c r="B424" s="586">
        <v>2495</v>
      </c>
      <c r="C424" s="587">
        <v>600080196</v>
      </c>
      <c r="D424" s="586">
        <v>70983810</v>
      </c>
      <c r="E424" s="588" t="s">
        <v>740</v>
      </c>
      <c r="F424" s="585">
        <v>3113</v>
      </c>
      <c r="G424" s="588" t="s">
        <v>320</v>
      </c>
      <c r="H424" s="589" t="s">
        <v>283</v>
      </c>
      <c r="I424" s="495">
        <v>14871256</v>
      </c>
      <c r="J424" s="411">
        <v>10565804</v>
      </c>
      <c r="K424" s="520">
        <v>50932</v>
      </c>
      <c r="L424" s="520">
        <v>30932</v>
      </c>
      <c r="M424" s="475">
        <v>3578003</v>
      </c>
      <c r="N424" s="496">
        <v>211317</v>
      </c>
      <c r="O424" s="411">
        <v>465200</v>
      </c>
      <c r="P424" s="412">
        <v>19.564999999999998</v>
      </c>
      <c r="Q424" s="415">
        <v>13.9373</v>
      </c>
      <c r="R424" s="685">
        <v>5.627699999999999</v>
      </c>
      <c r="S424" s="499">
        <v>0</v>
      </c>
      <c r="T424" s="486">
        <v>0</v>
      </c>
      <c r="U424" s="486">
        <v>0</v>
      </c>
      <c r="V424" s="486">
        <f t="shared" si="587"/>
        <v>0</v>
      </c>
      <c r="W424" s="486">
        <v>0</v>
      </c>
      <c r="X424" s="486">
        <v>0</v>
      </c>
      <c r="Y424" s="486">
        <f t="shared" si="588"/>
        <v>0</v>
      </c>
      <c r="Z424" s="486">
        <f t="shared" si="589"/>
        <v>0</v>
      </c>
      <c r="AA424" s="178">
        <f t="shared" si="544"/>
        <v>0</v>
      </c>
      <c r="AB424" s="745">
        <f t="shared" si="590"/>
        <v>0</v>
      </c>
      <c r="AC424" s="486">
        <v>0</v>
      </c>
      <c r="AD424" s="486">
        <v>0</v>
      </c>
      <c r="AE424" s="486">
        <f t="shared" si="546"/>
        <v>0</v>
      </c>
      <c r="AF424" s="486">
        <f t="shared" si="547"/>
        <v>0</v>
      </c>
      <c r="AG424" s="501">
        <v>0</v>
      </c>
      <c r="AH424" s="501">
        <v>0</v>
      </c>
      <c r="AI424" s="501">
        <v>0</v>
      </c>
      <c r="AJ424" s="501">
        <v>0</v>
      </c>
      <c r="AK424" s="501">
        <v>0</v>
      </c>
      <c r="AL424" s="501">
        <f t="shared" si="591"/>
        <v>0</v>
      </c>
      <c r="AM424" s="501">
        <f t="shared" si="592"/>
        <v>0</v>
      </c>
      <c r="AN424" s="502">
        <f t="shared" si="550"/>
        <v>0</v>
      </c>
      <c r="AO424" s="499">
        <f t="shared" si="593"/>
        <v>14871256</v>
      </c>
      <c r="AP424" s="486">
        <f t="shared" si="594"/>
        <v>10565804</v>
      </c>
      <c r="AQ424" s="486">
        <f t="shared" si="595"/>
        <v>50932</v>
      </c>
      <c r="AR424" s="486">
        <f t="shared" si="596"/>
        <v>30932</v>
      </c>
      <c r="AS424" s="486">
        <f t="shared" si="597"/>
        <v>3578003</v>
      </c>
      <c r="AT424" s="486">
        <f t="shared" si="597"/>
        <v>211317</v>
      </c>
      <c r="AU424" s="486">
        <f t="shared" si="598"/>
        <v>465200</v>
      </c>
      <c r="AV424" s="501">
        <f t="shared" si="599"/>
        <v>19.564999999999998</v>
      </c>
      <c r="AW424" s="501">
        <f t="shared" si="600"/>
        <v>13.9373</v>
      </c>
      <c r="AX424" s="502">
        <f t="shared" si="600"/>
        <v>5.627699999999999</v>
      </c>
    </row>
    <row r="425" spans="1:50" ht="14.1" customHeight="1" x14ac:dyDescent="0.2">
      <c r="A425" s="585">
        <v>85</v>
      </c>
      <c r="B425" s="586">
        <v>2495</v>
      </c>
      <c r="C425" s="587">
        <v>600080196</v>
      </c>
      <c r="D425" s="586">
        <v>70983810</v>
      </c>
      <c r="E425" s="588" t="s">
        <v>740</v>
      </c>
      <c r="F425" s="585">
        <v>3113</v>
      </c>
      <c r="G425" s="208" t="s">
        <v>318</v>
      </c>
      <c r="H425" s="589" t="s">
        <v>284</v>
      </c>
      <c r="I425" s="495">
        <v>2072380</v>
      </c>
      <c r="J425" s="496">
        <v>1524579</v>
      </c>
      <c r="K425" s="475">
        <v>0</v>
      </c>
      <c r="L425" s="475">
        <v>0</v>
      </c>
      <c r="M425" s="475">
        <v>515309</v>
      </c>
      <c r="N425" s="496">
        <v>30492</v>
      </c>
      <c r="O425" s="496">
        <v>2000</v>
      </c>
      <c r="P425" s="412">
        <v>4.4400000000000004</v>
      </c>
      <c r="Q425" s="497">
        <v>4.4400000000000004</v>
      </c>
      <c r="R425" s="498">
        <v>0</v>
      </c>
      <c r="S425" s="499">
        <v>0</v>
      </c>
      <c r="T425" s="486">
        <v>0</v>
      </c>
      <c r="U425" s="486">
        <v>0</v>
      </c>
      <c r="V425" s="486">
        <f t="shared" si="587"/>
        <v>0</v>
      </c>
      <c r="W425" s="486">
        <v>0</v>
      </c>
      <c r="X425" s="486">
        <v>0</v>
      </c>
      <c r="Y425" s="486">
        <f t="shared" si="588"/>
        <v>0</v>
      </c>
      <c r="Z425" s="486">
        <f t="shared" si="589"/>
        <v>0</v>
      </c>
      <c r="AA425" s="178">
        <f t="shared" si="544"/>
        <v>0</v>
      </c>
      <c r="AB425" s="745">
        <f t="shared" si="590"/>
        <v>0</v>
      </c>
      <c r="AC425" s="486">
        <v>0</v>
      </c>
      <c r="AD425" s="486">
        <v>0</v>
      </c>
      <c r="AE425" s="486">
        <f t="shared" si="546"/>
        <v>0</v>
      </c>
      <c r="AF425" s="486">
        <f t="shared" si="547"/>
        <v>0</v>
      </c>
      <c r="AG425" s="501">
        <v>0</v>
      </c>
      <c r="AH425" s="501">
        <v>0</v>
      </c>
      <c r="AI425" s="501">
        <v>0</v>
      </c>
      <c r="AJ425" s="501">
        <v>0</v>
      </c>
      <c r="AK425" s="501">
        <v>0</v>
      </c>
      <c r="AL425" s="501">
        <f t="shared" si="591"/>
        <v>0</v>
      </c>
      <c r="AM425" s="501">
        <f t="shared" si="592"/>
        <v>0</v>
      </c>
      <c r="AN425" s="502">
        <f t="shared" si="550"/>
        <v>0</v>
      </c>
      <c r="AO425" s="499">
        <f t="shared" si="593"/>
        <v>2072380</v>
      </c>
      <c r="AP425" s="486">
        <f t="shared" si="594"/>
        <v>1524579</v>
      </c>
      <c r="AQ425" s="486">
        <f t="shared" si="595"/>
        <v>0</v>
      </c>
      <c r="AR425" s="486">
        <f t="shared" si="596"/>
        <v>0</v>
      </c>
      <c r="AS425" s="486">
        <f t="shared" si="597"/>
        <v>515309</v>
      </c>
      <c r="AT425" s="486">
        <f t="shared" si="597"/>
        <v>30492</v>
      </c>
      <c r="AU425" s="486">
        <f t="shared" si="598"/>
        <v>2000</v>
      </c>
      <c r="AV425" s="501">
        <f t="shared" si="599"/>
        <v>4.4400000000000004</v>
      </c>
      <c r="AW425" s="501">
        <f t="shared" si="600"/>
        <v>4.4400000000000004</v>
      </c>
      <c r="AX425" s="502">
        <f t="shared" si="600"/>
        <v>0</v>
      </c>
    </row>
    <row r="426" spans="1:50" ht="14.1" customHeight="1" x14ac:dyDescent="0.2">
      <c r="A426" s="585">
        <v>85</v>
      </c>
      <c r="B426" s="586">
        <v>2495</v>
      </c>
      <c r="C426" s="587">
        <v>600080196</v>
      </c>
      <c r="D426" s="586">
        <v>70983810</v>
      </c>
      <c r="E426" s="588" t="s">
        <v>740</v>
      </c>
      <c r="F426" s="585">
        <v>3141</v>
      </c>
      <c r="G426" s="588" t="s">
        <v>321</v>
      </c>
      <c r="H426" s="589" t="s">
        <v>284</v>
      </c>
      <c r="I426" s="495">
        <v>2231034</v>
      </c>
      <c r="J426" s="496">
        <v>1631683</v>
      </c>
      <c r="K426" s="475">
        <v>0</v>
      </c>
      <c r="L426" s="475">
        <v>0</v>
      </c>
      <c r="M426" s="475">
        <v>551509</v>
      </c>
      <c r="N426" s="496">
        <v>32634</v>
      </c>
      <c r="O426" s="496">
        <v>15208</v>
      </c>
      <c r="P426" s="412">
        <v>5.54</v>
      </c>
      <c r="Q426" s="497">
        <v>0</v>
      </c>
      <c r="R426" s="498">
        <v>5.54</v>
      </c>
      <c r="S426" s="499">
        <v>0</v>
      </c>
      <c r="T426" s="486">
        <v>0</v>
      </c>
      <c r="U426" s="486">
        <v>0</v>
      </c>
      <c r="V426" s="486">
        <f t="shared" si="587"/>
        <v>0</v>
      </c>
      <c r="W426" s="486">
        <v>0</v>
      </c>
      <c r="X426" s="486">
        <v>0</v>
      </c>
      <c r="Y426" s="486">
        <f t="shared" si="588"/>
        <v>0</v>
      </c>
      <c r="Z426" s="486">
        <f t="shared" si="589"/>
        <v>0</v>
      </c>
      <c r="AA426" s="178">
        <f t="shared" si="544"/>
        <v>0</v>
      </c>
      <c r="AB426" s="745">
        <f t="shared" si="590"/>
        <v>0</v>
      </c>
      <c r="AC426" s="486">
        <v>0</v>
      </c>
      <c r="AD426" s="486">
        <v>0</v>
      </c>
      <c r="AE426" s="486">
        <f t="shared" si="546"/>
        <v>0</v>
      </c>
      <c r="AF426" s="486">
        <f t="shared" si="547"/>
        <v>0</v>
      </c>
      <c r="AG426" s="501">
        <v>0</v>
      </c>
      <c r="AH426" s="501">
        <v>0</v>
      </c>
      <c r="AI426" s="501">
        <v>0</v>
      </c>
      <c r="AJ426" s="501">
        <v>0</v>
      </c>
      <c r="AK426" s="501">
        <v>0</v>
      </c>
      <c r="AL426" s="501">
        <f t="shared" si="591"/>
        <v>0</v>
      </c>
      <c r="AM426" s="501">
        <f t="shared" si="592"/>
        <v>0</v>
      </c>
      <c r="AN426" s="502">
        <f t="shared" si="550"/>
        <v>0</v>
      </c>
      <c r="AO426" s="499">
        <f t="shared" si="593"/>
        <v>2231034</v>
      </c>
      <c r="AP426" s="486">
        <f t="shared" si="594"/>
        <v>1631683</v>
      </c>
      <c r="AQ426" s="486">
        <f t="shared" si="595"/>
        <v>0</v>
      </c>
      <c r="AR426" s="486">
        <f t="shared" si="596"/>
        <v>0</v>
      </c>
      <c r="AS426" s="486">
        <f t="shared" si="597"/>
        <v>551509</v>
      </c>
      <c r="AT426" s="486">
        <f t="shared" si="597"/>
        <v>32634</v>
      </c>
      <c r="AU426" s="486">
        <f t="shared" si="598"/>
        <v>15208</v>
      </c>
      <c r="AV426" s="501">
        <f t="shared" si="599"/>
        <v>5.54</v>
      </c>
      <c r="AW426" s="501">
        <f t="shared" si="600"/>
        <v>0</v>
      </c>
      <c r="AX426" s="502">
        <f t="shared" si="600"/>
        <v>5.54</v>
      </c>
    </row>
    <row r="427" spans="1:50" ht="14.1" customHeight="1" x14ac:dyDescent="0.2">
      <c r="A427" s="585">
        <v>85</v>
      </c>
      <c r="B427" s="586">
        <v>2495</v>
      </c>
      <c r="C427" s="587">
        <v>600080196</v>
      </c>
      <c r="D427" s="586">
        <v>70983810</v>
      </c>
      <c r="E427" s="588" t="s">
        <v>740</v>
      </c>
      <c r="F427" s="585">
        <v>3143</v>
      </c>
      <c r="G427" s="208" t="s">
        <v>634</v>
      </c>
      <c r="H427" s="589" t="s">
        <v>283</v>
      </c>
      <c r="I427" s="495">
        <v>1989559</v>
      </c>
      <c r="J427" s="411">
        <v>1465066</v>
      </c>
      <c r="K427" s="520">
        <v>0</v>
      </c>
      <c r="L427" s="520">
        <v>0</v>
      </c>
      <c r="M427" s="475">
        <v>495192</v>
      </c>
      <c r="N427" s="496">
        <v>29301</v>
      </c>
      <c r="O427" s="496">
        <v>0</v>
      </c>
      <c r="P427" s="412">
        <v>2.9630000000000001</v>
      </c>
      <c r="Q427" s="415">
        <v>2.9630000000000001</v>
      </c>
      <c r="R427" s="498">
        <v>0</v>
      </c>
      <c r="S427" s="499">
        <v>0</v>
      </c>
      <c r="T427" s="486">
        <v>0</v>
      </c>
      <c r="U427" s="486">
        <v>0</v>
      </c>
      <c r="V427" s="486">
        <f t="shared" si="587"/>
        <v>0</v>
      </c>
      <c r="W427" s="486">
        <v>0</v>
      </c>
      <c r="X427" s="486">
        <v>0</v>
      </c>
      <c r="Y427" s="486">
        <f t="shared" si="588"/>
        <v>0</v>
      </c>
      <c r="Z427" s="486">
        <f t="shared" si="589"/>
        <v>0</v>
      </c>
      <c r="AA427" s="178">
        <f t="shared" si="544"/>
        <v>0</v>
      </c>
      <c r="AB427" s="745">
        <f t="shared" si="590"/>
        <v>0</v>
      </c>
      <c r="AC427" s="486">
        <v>0</v>
      </c>
      <c r="AD427" s="486">
        <v>0</v>
      </c>
      <c r="AE427" s="486">
        <f t="shared" si="546"/>
        <v>0</v>
      </c>
      <c r="AF427" s="486">
        <f t="shared" si="547"/>
        <v>0</v>
      </c>
      <c r="AG427" s="501">
        <v>0</v>
      </c>
      <c r="AH427" s="501">
        <v>0</v>
      </c>
      <c r="AI427" s="501">
        <v>0</v>
      </c>
      <c r="AJ427" s="501">
        <v>0</v>
      </c>
      <c r="AK427" s="501">
        <v>0</v>
      </c>
      <c r="AL427" s="501">
        <f t="shared" si="591"/>
        <v>0</v>
      </c>
      <c r="AM427" s="501">
        <f t="shared" si="592"/>
        <v>0</v>
      </c>
      <c r="AN427" s="502">
        <f t="shared" si="550"/>
        <v>0</v>
      </c>
      <c r="AO427" s="499">
        <f t="shared" si="593"/>
        <v>1989559</v>
      </c>
      <c r="AP427" s="486">
        <f t="shared" si="594"/>
        <v>1465066</v>
      </c>
      <c r="AQ427" s="486">
        <f t="shared" si="595"/>
        <v>0</v>
      </c>
      <c r="AR427" s="486">
        <f t="shared" si="596"/>
        <v>0</v>
      </c>
      <c r="AS427" s="486">
        <f t="shared" si="597"/>
        <v>495192</v>
      </c>
      <c r="AT427" s="486">
        <f t="shared" si="597"/>
        <v>29301</v>
      </c>
      <c r="AU427" s="486">
        <f t="shared" si="598"/>
        <v>0</v>
      </c>
      <c r="AV427" s="501">
        <f t="shared" si="599"/>
        <v>2.9630000000000001</v>
      </c>
      <c r="AW427" s="501">
        <f t="shared" si="600"/>
        <v>2.9630000000000001</v>
      </c>
      <c r="AX427" s="502">
        <f t="shared" si="600"/>
        <v>0</v>
      </c>
    </row>
    <row r="428" spans="1:50" ht="14.1" customHeight="1" x14ac:dyDescent="0.2">
      <c r="A428" s="585">
        <v>85</v>
      </c>
      <c r="B428" s="586">
        <v>2495</v>
      </c>
      <c r="C428" s="587">
        <v>600080196</v>
      </c>
      <c r="D428" s="586">
        <v>70983810</v>
      </c>
      <c r="E428" s="588" t="s">
        <v>740</v>
      </c>
      <c r="F428" s="585">
        <v>3143</v>
      </c>
      <c r="G428" s="208" t="s">
        <v>635</v>
      </c>
      <c r="H428" s="589" t="s">
        <v>284</v>
      </c>
      <c r="I428" s="495">
        <v>66008</v>
      </c>
      <c r="J428" s="496">
        <v>46530</v>
      </c>
      <c r="K428" s="475">
        <v>0</v>
      </c>
      <c r="L428" s="475">
        <v>0</v>
      </c>
      <c r="M428" s="475">
        <v>15727</v>
      </c>
      <c r="N428" s="496">
        <v>931</v>
      </c>
      <c r="O428" s="496">
        <v>2820</v>
      </c>
      <c r="P428" s="412">
        <v>0.2</v>
      </c>
      <c r="Q428" s="497">
        <v>0</v>
      </c>
      <c r="R428" s="498">
        <v>0.2</v>
      </c>
      <c r="S428" s="499">
        <v>0</v>
      </c>
      <c r="T428" s="486">
        <v>0</v>
      </c>
      <c r="U428" s="486">
        <v>0</v>
      </c>
      <c r="V428" s="486">
        <f t="shared" si="587"/>
        <v>0</v>
      </c>
      <c r="W428" s="486">
        <v>0</v>
      </c>
      <c r="X428" s="486">
        <v>0</v>
      </c>
      <c r="Y428" s="486">
        <f t="shared" si="588"/>
        <v>0</v>
      </c>
      <c r="Z428" s="486">
        <f t="shared" si="589"/>
        <v>0</v>
      </c>
      <c r="AA428" s="178">
        <f t="shared" si="544"/>
        <v>0</v>
      </c>
      <c r="AB428" s="745">
        <f t="shared" si="590"/>
        <v>0</v>
      </c>
      <c r="AC428" s="486">
        <v>0</v>
      </c>
      <c r="AD428" s="486">
        <v>0</v>
      </c>
      <c r="AE428" s="486">
        <f t="shared" si="546"/>
        <v>0</v>
      </c>
      <c r="AF428" s="486">
        <f t="shared" si="547"/>
        <v>0</v>
      </c>
      <c r="AG428" s="501">
        <v>0</v>
      </c>
      <c r="AH428" s="501">
        <v>0</v>
      </c>
      <c r="AI428" s="501">
        <v>0</v>
      </c>
      <c r="AJ428" s="501">
        <v>0</v>
      </c>
      <c r="AK428" s="501">
        <v>0</v>
      </c>
      <c r="AL428" s="501">
        <f t="shared" si="591"/>
        <v>0</v>
      </c>
      <c r="AM428" s="501">
        <f t="shared" si="592"/>
        <v>0</v>
      </c>
      <c r="AN428" s="502">
        <f t="shared" si="550"/>
        <v>0</v>
      </c>
      <c r="AO428" s="499">
        <f t="shared" si="593"/>
        <v>66008</v>
      </c>
      <c r="AP428" s="486">
        <f t="shared" si="594"/>
        <v>46530</v>
      </c>
      <c r="AQ428" s="486">
        <f t="shared" si="595"/>
        <v>0</v>
      </c>
      <c r="AR428" s="486">
        <f t="shared" si="596"/>
        <v>0</v>
      </c>
      <c r="AS428" s="486">
        <f t="shared" si="597"/>
        <v>15727</v>
      </c>
      <c r="AT428" s="486">
        <f t="shared" si="597"/>
        <v>931</v>
      </c>
      <c r="AU428" s="486">
        <f t="shared" si="598"/>
        <v>2820</v>
      </c>
      <c r="AV428" s="501">
        <f t="shared" si="599"/>
        <v>0.2</v>
      </c>
      <c r="AW428" s="501">
        <f t="shared" si="600"/>
        <v>0</v>
      </c>
      <c r="AX428" s="502">
        <f t="shared" si="600"/>
        <v>0.2</v>
      </c>
    </row>
    <row r="429" spans="1:50" ht="14.1" customHeight="1" x14ac:dyDescent="0.2">
      <c r="A429" s="181">
        <v>85</v>
      </c>
      <c r="B429" s="179">
        <v>2495</v>
      </c>
      <c r="C429" s="180">
        <v>600080196</v>
      </c>
      <c r="D429" s="179">
        <v>70983810</v>
      </c>
      <c r="E429" s="578" t="s">
        <v>741</v>
      </c>
      <c r="F429" s="181"/>
      <c r="G429" s="578"/>
      <c r="H429" s="579"/>
      <c r="I429" s="580">
        <v>25437320</v>
      </c>
      <c r="J429" s="581">
        <v>18298672</v>
      </c>
      <c r="K429" s="581">
        <v>50932</v>
      </c>
      <c r="L429" s="581">
        <v>30932</v>
      </c>
      <c r="M429" s="581">
        <v>6191713</v>
      </c>
      <c r="N429" s="581">
        <v>365975</v>
      </c>
      <c r="O429" s="581">
        <v>530028</v>
      </c>
      <c r="P429" s="582">
        <v>40.063400000000001</v>
      </c>
      <c r="Q429" s="582">
        <v>27.162900000000004</v>
      </c>
      <c r="R429" s="584">
        <v>12.900499999999997</v>
      </c>
      <c r="S429" s="583">
        <f t="shared" ref="S429:AX429" si="601">SUM(S423:S428)</f>
        <v>0</v>
      </c>
      <c r="T429" s="581">
        <f t="shared" si="601"/>
        <v>0</v>
      </c>
      <c r="U429" s="581">
        <f t="shared" si="601"/>
        <v>0</v>
      </c>
      <c r="V429" s="581">
        <f t="shared" si="601"/>
        <v>0</v>
      </c>
      <c r="W429" s="581">
        <f t="shared" si="601"/>
        <v>0</v>
      </c>
      <c r="X429" s="581">
        <f t="shared" si="601"/>
        <v>0</v>
      </c>
      <c r="Y429" s="581">
        <f t="shared" si="601"/>
        <v>0</v>
      </c>
      <c r="Z429" s="581">
        <f t="shared" si="601"/>
        <v>0</v>
      </c>
      <c r="AA429" s="581">
        <f t="shared" si="601"/>
        <v>0</v>
      </c>
      <c r="AB429" s="583">
        <f t="shared" si="601"/>
        <v>0</v>
      </c>
      <c r="AC429" s="581">
        <f t="shared" si="601"/>
        <v>0</v>
      </c>
      <c r="AD429" s="581">
        <f t="shared" si="601"/>
        <v>0</v>
      </c>
      <c r="AE429" s="581">
        <f t="shared" si="601"/>
        <v>0</v>
      </c>
      <c r="AF429" s="581">
        <f t="shared" si="601"/>
        <v>0</v>
      </c>
      <c r="AG429" s="582">
        <f t="shared" si="601"/>
        <v>0</v>
      </c>
      <c r="AH429" s="582">
        <f t="shared" si="601"/>
        <v>0</v>
      </c>
      <c r="AI429" s="582">
        <f t="shared" si="601"/>
        <v>0</v>
      </c>
      <c r="AJ429" s="582">
        <f t="shared" si="601"/>
        <v>0</v>
      </c>
      <c r="AK429" s="582">
        <f t="shared" si="601"/>
        <v>0</v>
      </c>
      <c r="AL429" s="582">
        <f t="shared" si="601"/>
        <v>0</v>
      </c>
      <c r="AM429" s="582">
        <f t="shared" si="601"/>
        <v>0</v>
      </c>
      <c r="AN429" s="584">
        <f t="shared" si="601"/>
        <v>0</v>
      </c>
      <c r="AO429" s="583">
        <f t="shared" si="601"/>
        <v>25437320</v>
      </c>
      <c r="AP429" s="581">
        <f t="shared" si="601"/>
        <v>18298672</v>
      </c>
      <c r="AQ429" s="581">
        <f t="shared" si="601"/>
        <v>50932</v>
      </c>
      <c r="AR429" s="581">
        <f t="shared" si="601"/>
        <v>30932</v>
      </c>
      <c r="AS429" s="581">
        <f t="shared" si="601"/>
        <v>6191713</v>
      </c>
      <c r="AT429" s="581">
        <f t="shared" si="601"/>
        <v>365975</v>
      </c>
      <c r="AU429" s="581">
        <f t="shared" si="601"/>
        <v>530028</v>
      </c>
      <c r="AV429" s="582">
        <f t="shared" si="601"/>
        <v>40.063400000000001</v>
      </c>
      <c r="AW429" s="582">
        <f t="shared" si="601"/>
        <v>27.162900000000004</v>
      </c>
      <c r="AX429" s="584">
        <f t="shared" si="601"/>
        <v>12.900499999999997</v>
      </c>
    </row>
    <row r="430" spans="1:50" ht="14.1" customHeight="1" x14ac:dyDescent="0.2">
      <c r="A430" s="585">
        <v>86</v>
      </c>
      <c r="B430" s="586">
        <v>2305</v>
      </c>
      <c r="C430" s="587">
        <v>650026080</v>
      </c>
      <c r="D430" s="586">
        <v>72741686</v>
      </c>
      <c r="E430" s="588" t="s">
        <v>742</v>
      </c>
      <c r="F430" s="585">
        <v>3111</v>
      </c>
      <c r="G430" s="588" t="s">
        <v>317</v>
      </c>
      <c r="H430" s="589" t="s">
        <v>283</v>
      </c>
      <c r="I430" s="495">
        <v>2625091</v>
      </c>
      <c r="J430" s="411">
        <v>1914500</v>
      </c>
      <c r="K430" s="520">
        <v>0</v>
      </c>
      <c r="L430" s="520">
        <v>0</v>
      </c>
      <c r="M430" s="475">
        <v>647101</v>
      </c>
      <c r="N430" s="496">
        <v>38290</v>
      </c>
      <c r="O430" s="411">
        <v>25200</v>
      </c>
      <c r="P430" s="412">
        <v>4.7927999999999997</v>
      </c>
      <c r="Q430" s="415">
        <v>3.871</v>
      </c>
      <c r="R430" s="685">
        <v>0.92179999999999995</v>
      </c>
      <c r="S430" s="499">
        <v>0</v>
      </c>
      <c r="T430" s="486">
        <v>0</v>
      </c>
      <c r="U430" s="486">
        <v>0</v>
      </c>
      <c r="V430" s="486">
        <f t="shared" ref="V430:V435" si="602">SUM(S430:U430)</f>
        <v>0</v>
      </c>
      <c r="W430" s="486">
        <v>0</v>
      </c>
      <c r="X430" s="486">
        <v>0</v>
      </c>
      <c r="Y430" s="486">
        <f t="shared" ref="Y430:Y435" si="603">SUM(W430:X430)</f>
        <v>0</v>
      </c>
      <c r="Z430" s="486">
        <f t="shared" ref="Z430:Z435" si="604">V430+Y430</f>
        <v>0</v>
      </c>
      <c r="AA430" s="178">
        <f t="shared" si="544"/>
        <v>0</v>
      </c>
      <c r="AB430" s="745">
        <f t="shared" ref="AB430:AB435" si="605">ROUND(V430*2%,0)</f>
        <v>0</v>
      </c>
      <c r="AC430" s="486">
        <v>0</v>
      </c>
      <c r="AD430" s="486">
        <v>0</v>
      </c>
      <c r="AE430" s="486">
        <f t="shared" si="546"/>
        <v>0</v>
      </c>
      <c r="AF430" s="486">
        <f t="shared" si="547"/>
        <v>0</v>
      </c>
      <c r="AG430" s="501">
        <v>0</v>
      </c>
      <c r="AH430" s="501">
        <v>0</v>
      </c>
      <c r="AI430" s="501">
        <v>0</v>
      </c>
      <c r="AJ430" s="501">
        <v>0</v>
      </c>
      <c r="AK430" s="501">
        <v>0</v>
      </c>
      <c r="AL430" s="501">
        <f t="shared" ref="AL430:AL435" si="606">AG430+AI430+AJ430</f>
        <v>0</v>
      </c>
      <c r="AM430" s="501">
        <f t="shared" ref="AM430:AM435" si="607">AH430+AK430</f>
        <v>0</v>
      </c>
      <c r="AN430" s="502">
        <f t="shared" si="550"/>
        <v>0</v>
      </c>
      <c r="AO430" s="499">
        <f t="shared" ref="AO430:AO435" si="608">I430+AF430</f>
        <v>2625091</v>
      </c>
      <c r="AP430" s="486">
        <f t="shared" ref="AP430:AP435" si="609">J430+V430</f>
        <v>1914500</v>
      </c>
      <c r="AQ430" s="486">
        <f t="shared" ref="AQ430:AQ435" si="610">K430+Y430</f>
        <v>0</v>
      </c>
      <c r="AR430" s="486">
        <f t="shared" ref="AR430:AR435" si="611">L430</f>
        <v>0</v>
      </c>
      <c r="AS430" s="486">
        <f t="shared" ref="AS430:AT435" si="612">M430+AA430</f>
        <v>647101</v>
      </c>
      <c r="AT430" s="486">
        <f t="shared" si="612"/>
        <v>38290</v>
      </c>
      <c r="AU430" s="486">
        <f t="shared" ref="AU430:AU435" si="613">O430+AE430</f>
        <v>25200</v>
      </c>
      <c r="AV430" s="501">
        <f t="shared" ref="AV430:AV435" si="614">P430+AN430</f>
        <v>4.7927999999999997</v>
      </c>
      <c r="AW430" s="501">
        <f t="shared" ref="AW430:AX435" si="615">Q430+AL430</f>
        <v>3.871</v>
      </c>
      <c r="AX430" s="502">
        <f t="shared" si="615"/>
        <v>0.92179999999999995</v>
      </c>
    </row>
    <row r="431" spans="1:50" ht="14.1" customHeight="1" x14ac:dyDescent="0.2">
      <c r="A431" s="585">
        <v>86</v>
      </c>
      <c r="B431" s="586">
        <v>2305</v>
      </c>
      <c r="C431" s="587">
        <v>650026080</v>
      </c>
      <c r="D431" s="586">
        <v>72741686</v>
      </c>
      <c r="E431" s="588" t="s">
        <v>742</v>
      </c>
      <c r="F431" s="585">
        <v>3117</v>
      </c>
      <c r="G431" s="588" t="s">
        <v>320</v>
      </c>
      <c r="H431" s="589" t="s">
        <v>283</v>
      </c>
      <c r="I431" s="495">
        <v>4677595</v>
      </c>
      <c r="J431" s="411">
        <v>3297849</v>
      </c>
      <c r="K431" s="520">
        <v>56216</v>
      </c>
      <c r="L431" s="520">
        <v>6216</v>
      </c>
      <c r="M431" s="475">
        <v>1131573</v>
      </c>
      <c r="N431" s="496">
        <v>65957</v>
      </c>
      <c r="O431" s="411">
        <v>126000</v>
      </c>
      <c r="P431" s="412">
        <v>7.0147000000000004</v>
      </c>
      <c r="Q431" s="415">
        <v>4.7096</v>
      </c>
      <c r="R431" s="685">
        <v>2.3050999999999999</v>
      </c>
      <c r="S431" s="499">
        <v>0</v>
      </c>
      <c r="T431" s="486">
        <v>0</v>
      </c>
      <c r="U431" s="486">
        <v>0</v>
      </c>
      <c r="V431" s="486">
        <f t="shared" si="602"/>
        <v>0</v>
      </c>
      <c r="W431" s="486">
        <v>0</v>
      </c>
      <c r="X431" s="486">
        <v>0</v>
      </c>
      <c r="Y431" s="486">
        <f t="shared" si="603"/>
        <v>0</v>
      </c>
      <c r="Z431" s="486">
        <f t="shared" si="604"/>
        <v>0</v>
      </c>
      <c r="AA431" s="178">
        <f t="shared" si="544"/>
        <v>0</v>
      </c>
      <c r="AB431" s="745">
        <f t="shared" si="605"/>
        <v>0</v>
      </c>
      <c r="AC431" s="486">
        <v>0</v>
      </c>
      <c r="AD431" s="486">
        <v>0</v>
      </c>
      <c r="AE431" s="486">
        <f t="shared" si="546"/>
        <v>0</v>
      </c>
      <c r="AF431" s="486">
        <f t="shared" si="547"/>
        <v>0</v>
      </c>
      <c r="AG431" s="501">
        <v>0</v>
      </c>
      <c r="AH431" s="501">
        <v>0</v>
      </c>
      <c r="AI431" s="501">
        <v>0</v>
      </c>
      <c r="AJ431" s="501">
        <v>0</v>
      </c>
      <c r="AK431" s="501">
        <v>0</v>
      </c>
      <c r="AL431" s="501">
        <f t="shared" si="606"/>
        <v>0</v>
      </c>
      <c r="AM431" s="501">
        <f t="shared" si="607"/>
        <v>0</v>
      </c>
      <c r="AN431" s="502">
        <f t="shared" si="550"/>
        <v>0</v>
      </c>
      <c r="AO431" s="499">
        <f t="shared" si="608"/>
        <v>4677595</v>
      </c>
      <c r="AP431" s="486">
        <f t="shared" si="609"/>
        <v>3297849</v>
      </c>
      <c r="AQ431" s="486">
        <f t="shared" si="610"/>
        <v>56216</v>
      </c>
      <c r="AR431" s="486">
        <f t="shared" si="611"/>
        <v>6216</v>
      </c>
      <c r="AS431" s="486">
        <f t="shared" si="612"/>
        <v>1131573</v>
      </c>
      <c r="AT431" s="486">
        <f t="shared" si="612"/>
        <v>65957</v>
      </c>
      <c r="AU431" s="486">
        <f t="shared" si="613"/>
        <v>126000</v>
      </c>
      <c r="AV431" s="501">
        <f t="shared" si="614"/>
        <v>7.0147000000000004</v>
      </c>
      <c r="AW431" s="501">
        <f t="shared" si="615"/>
        <v>4.7096</v>
      </c>
      <c r="AX431" s="502">
        <f t="shared" si="615"/>
        <v>2.3050999999999999</v>
      </c>
    </row>
    <row r="432" spans="1:50" ht="14.1" customHeight="1" x14ac:dyDescent="0.2">
      <c r="A432" s="585">
        <v>86</v>
      </c>
      <c r="B432" s="586">
        <v>2305</v>
      </c>
      <c r="C432" s="587">
        <v>650026080</v>
      </c>
      <c r="D432" s="586">
        <v>72741686</v>
      </c>
      <c r="E432" s="588" t="s">
        <v>742</v>
      </c>
      <c r="F432" s="585">
        <v>3117</v>
      </c>
      <c r="G432" s="208" t="s">
        <v>318</v>
      </c>
      <c r="H432" s="589" t="s">
        <v>284</v>
      </c>
      <c r="I432" s="495">
        <v>472591</v>
      </c>
      <c r="J432" s="496">
        <v>343035</v>
      </c>
      <c r="K432" s="475">
        <v>0</v>
      </c>
      <c r="L432" s="475">
        <v>0</v>
      </c>
      <c r="M432" s="475">
        <v>115946</v>
      </c>
      <c r="N432" s="496">
        <v>6860</v>
      </c>
      <c r="O432" s="496">
        <v>6750</v>
      </c>
      <c r="P432" s="412">
        <v>0.96</v>
      </c>
      <c r="Q432" s="497">
        <v>0.96</v>
      </c>
      <c r="R432" s="498">
        <v>0</v>
      </c>
      <c r="S432" s="499">
        <v>0</v>
      </c>
      <c r="T432" s="486">
        <v>0</v>
      </c>
      <c r="U432" s="486">
        <v>0</v>
      </c>
      <c r="V432" s="486">
        <f t="shared" si="602"/>
        <v>0</v>
      </c>
      <c r="W432" s="486">
        <v>0</v>
      </c>
      <c r="X432" s="486">
        <v>0</v>
      </c>
      <c r="Y432" s="486">
        <f t="shared" si="603"/>
        <v>0</v>
      </c>
      <c r="Z432" s="486">
        <f t="shared" si="604"/>
        <v>0</v>
      </c>
      <c r="AA432" s="178">
        <f t="shared" si="544"/>
        <v>0</v>
      </c>
      <c r="AB432" s="745">
        <f t="shared" si="605"/>
        <v>0</v>
      </c>
      <c r="AC432" s="486">
        <v>0</v>
      </c>
      <c r="AD432" s="486">
        <v>0</v>
      </c>
      <c r="AE432" s="486">
        <f t="shared" si="546"/>
        <v>0</v>
      </c>
      <c r="AF432" s="486">
        <f t="shared" si="547"/>
        <v>0</v>
      </c>
      <c r="AG432" s="501">
        <v>0</v>
      </c>
      <c r="AH432" s="501">
        <v>0</v>
      </c>
      <c r="AI432" s="501">
        <v>0</v>
      </c>
      <c r="AJ432" s="501">
        <v>0</v>
      </c>
      <c r="AK432" s="501">
        <v>0</v>
      </c>
      <c r="AL432" s="501">
        <f t="shared" si="606"/>
        <v>0</v>
      </c>
      <c r="AM432" s="501">
        <f t="shared" si="607"/>
        <v>0</v>
      </c>
      <c r="AN432" s="502">
        <f t="shared" si="550"/>
        <v>0</v>
      </c>
      <c r="AO432" s="499">
        <f t="shared" si="608"/>
        <v>472591</v>
      </c>
      <c r="AP432" s="486">
        <f t="shared" si="609"/>
        <v>343035</v>
      </c>
      <c r="AQ432" s="486">
        <f t="shared" si="610"/>
        <v>0</v>
      </c>
      <c r="AR432" s="486">
        <f t="shared" si="611"/>
        <v>0</v>
      </c>
      <c r="AS432" s="486">
        <f t="shared" si="612"/>
        <v>115946</v>
      </c>
      <c r="AT432" s="486">
        <f t="shared" si="612"/>
        <v>6860</v>
      </c>
      <c r="AU432" s="486">
        <f t="shared" si="613"/>
        <v>6750</v>
      </c>
      <c r="AV432" s="501">
        <f t="shared" si="614"/>
        <v>0.96</v>
      </c>
      <c r="AW432" s="501">
        <f t="shared" si="615"/>
        <v>0.96</v>
      </c>
      <c r="AX432" s="502">
        <f t="shared" si="615"/>
        <v>0</v>
      </c>
    </row>
    <row r="433" spans="1:50" ht="14.1" customHeight="1" x14ac:dyDescent="0.2">
      <c r="A433" s="585">
        <v>86</v>
      </c>
      <c r="B433" s="586">
        <v>2305</v>
      </c>
      <c r="C433" s="587">
        <v>650026080</v>
      </c>
      <c r="D433" s="586">
        <v>72741686</v>
      </c>
      <c r="E433" s="588" t="s">
        <v>742</v>
      </c>
      <c r="F433" s="585">
        <v>3141</v>
      </c>
      <c r="G433" s="588" t="s">
        <v>321</v>
      </c>
      <c r="H433" s="589" t="s">
        <v>284</v>
      </c>
      <c r="I433" s="495">
        <v>923802</v>
      </c>
      <c r="J433" s="496">
        <v>676513</v>
      </c>
      <c r="K433" s="475">
        <v>0</v>
      </c>
      <c r="L433" s="475">
        <v>0</v>
      </c>
      <c r="M433" s="475">
        <v>228662</v>
      </c>
      <c r="N433" s="496">
        <v>13531</v>
      </c>
      <c r="O433" s="496">
        <v>5096</v>
      </c>
      <c r="P433" s="412">
        <v>2.3000000000000003</v>
      </c>
      <c r="Q433" s="497">
        <v>0</v>
      </c>
      <c r="R433" s="498">
        <v>2.3000000000000003</v>
      </c>
      <c r="S433" s="499">
        <v>0</v>
      </c>
      <c r="T433" s="486">
        <v>0</v>
      </c>
      <c r="U433" s="486">
        <v>0</v>
      </c>
      <c r="V433" s="486">
        <f t="shared" si="602"/>
        <v>0</v>
      </c>
      <c r="W433" s="486">
        <v>0</v>
      </c>
      <c r="X433" s="486">
        <v>0</v>
      </c>
      <c r="Y433" s="486">
        <f t="shared" si="603"/>
        <v>0</v>
      </c>
      <c r="Z433" s="486">
        <f t="shared" si="604"/>
        <v>0</v>
      </c>
      <c r="AA433" s="178">
        <f t="shared" si="544"/>
        <v>0</v>
      </c>
      <c r="AB433" s="745">
        <f t="shared" si="605"/>
        <v>0</v>
      </c>
      <c r="AC433" s="486">
        <v>0</v>
      </c>
      <c r="AD433" s="486">
        <v>0</v>
      </c>
      <c r="AE433" s="486">
        <f t="shared" si="546"/>
        <v>0</v>
      </c>
      <c r="AF433" s="486">
        <f t="shared" si="547"/>
        <v>0</v>
      </c>
      <c r="AG433" s="501">
        <v>0</v>
      </c>
      <c r="AH433" s="501">
        <v>0</v>
      </c>
      <c r="AI433" s="501">
        <v>0</v>
      </c>
      <c r="AJ433" s="501">
        <v>0</v>
      </c>
      <c r="AK433" s="501">
        <v>0</v>
      </c>
      <c r="AL433" s="501">
        <f t="shared" si="606"/>
        <v>0</v>
      </c>
      <c r="AM433" s="501">
        <f t="shared" si="607"/>
        <v>0</v>
      </c>
      <c r="AN433" s="502">
        <f t="shared" si="550"/>
        <v>0</v>
      </c>
      <c r="AO433" s="499">
        <f t="shared" si="608"/>
        <v>923802</v>
      </c>
      <c r="AP433" s="486">
        <f t="shared" si="609"/>
        <v>676513</v>
      </c>
      <c r="AQ433" s="486">
        <f t="shared" si="610"/>
        <v>0</v>
      </c>
      <c r="AR433" s="486">
        <f t="shared" si="611"/>
        <v>0</v>
      </c>
      <c r="AS433" s="486">
        <f t="shared" si="612"/>
        <v>228662</v>
      </c>
      <c r="AT433" s="486">
        <f t="shared" si="612"/>
        <v>13531</v>
      </c>
      <c r="AU433" s="486">
        <f t="shared" si="613"/>
        <v>5096</v>
      </c>
      <c r="AV433" s="501">
        <f t="shared" si="614"/>
        <v>2.3000000000000003</v>
      </c>
      <c r="AW433" s="501">
        <f t="shared" si="615"/>
        <v>0</v>
      </c>
      <c r="AX433" s="502">
        <f t="shared" si="615"/>
        <v>2.3000000000000003</v>
      </c>
    </row>
    <row r="434" spans="1:50" ht="14.1" customHeight="1" x14ac:dyDescent="0.2">
      <c r="A434" s="585">
        <v>86</v>
      </c>
      <c r="B434" s="586">
        <v>2305</v>
      </c>
      <c r="C434" s="587">
        <v>650026080</v>
      </c>
      <c r="D434" s="586">
        <v>72741686</v>
      </c>
      <c r="E434" s="588" t="s">
        <v>742</v>
      </c>
      <c r="F434" s="585">
        <v>3143</v>
      </c>
      <c r="G434" s="208" t="s">
        <v>634</v>
      </c>
      <c r="H434" s="589" t="s">
        <v>283</v>
      </c>
      <c r="I434" s="495">
        <v>678027</v>
      </c>
      <c r="J434" s="411">
        <v>499283</v>
      </c>
      <c r="K434" s="520">
        <v>0</v>
      </c>
      <c r="L434" s="520">
        <v>0</v>
      </c>
      <c r="M434" s="475">
        <v>168758</v>
      </c>
      <c r="N434" s="496">
        <v>9986</v>
      </c>
      <c r="O434" s="496">
        <v>0</v>
      </c>
      <c r="P434" s="412">
        <v>1</v>
      </c>
      <c r="Q434" s="415">
        <v>1</v>
      </c>
      <c r="R434" s="498">
        <v>0</v>
      </c>
      <c r="S434" s="499">
        <v>0</v>
      </c>
      <c r="T434" s="486">
        <v>0</v>
      </c>
      <c r="U434" s="486">
        <v>0</v>
      </c>
      <c r="V434" s="486">
        <f t="shared" si="602"/>
        <v>0</v>
      </c>
      <c r="W434" s="486">
        <v>0</v>
      </c>
      <c r="X434" s="486">
        <v>0</v>
      </c>
      <c r="Y434" s="486">
        <f t="shared" si="603"/>
        <v>0</v>
      </c>
      <c r="Z434" s="486">
        <f t="shared" si="604"/>
        <v>0</v>
      </c>
      <c r="AA434" s="178">
        <f t="shared" si="544"/>
        <v>0</v>
      </c>
      <c r="AB434" s="745">
        <f t="shared" si="605"/>
        <v>0</v>
      </c>
      <c r="AC434" s="486">
        <v>0</v>
      </c>
      <c r="AD434" s="486">
        <v>0</v>
      </c>
      <c r="AE434" s="486">
        <f t="shared" si="546"/>
        <v>0</v>
      </c>
      <c r="AF434" s="486">
        <f t="shared" si="547"/>
        <v>0</v>
      </c>
      <c r="AG434" s="501">
        <v>0</v>
      </c>
      <c r="AH434" s="501">
        <v>0</v>
      </c>
      <c r="AI434" s="501">
        <v>0</v>
      </c>
      <c r="AJ434" s="501">
        <v>0</v>
      </c>
      <c r="AK434" s="501">
        <v>0</v>
      </c>
      <c r="AL434" s="501">
        <f t="shared" si="606"/>
        <v>0</v>
      </c>
      <c r="AM434" s="501">
        <f t="shared" si="607"/>
        <v>0</v>
      </c>
      <c r="AN434" s="502">
        <f t="shared" si="550"/>
        <v>0</v>
      </c>
      <c r="AO434" s="499">
        <f t="shared" si="608"/>
        <v>678027</v>
      </c>
      <c r="AP434" s="486">
        <f t="shared" si="609"/>
        <v>499283</v>
      </c>
      <c r="AQ434" s="486">
        <f t="shared" si="610"/>
        <v>0</v>
      </c>
      <c r="AR434" s="486">
        <f t="shared" si="611"/>
        <v>0</v>
      </c>
      <c r="AS434" s="486">
        <f t="shared" si="612"/>
        <v>168758</v>
      </c>
      <c r="AT434" s="486">
        <f t="shared" si="612"/>
        <v>9986</v>
      </c>
      <c r="AU434" s="486">
        <f t="shared" si="613"/>
        <v>0</v>
      </c>
      <c r="AV434" s="501">
        <f t="shared" si="614"/>
        <v>1</v>
      </c>
      <c r="AW434" s="501">
        <f t="shared" si="615"/>
        <v>1</v>
      </c>
      <c r="AX434" s="502">
        <f t="shared" si="615"/>
        <v>0</v>
      </c>
    </row>
    <row r="435" spans="1:50" ht="14.1" customHeight="1" x14ac:dyDescent="0.2">
      <c r="A435" s="585">
        <v>86</v>
      </c>
      <c r="B435" s="586">
        <v>2305</v>
      </c>
      <c r="C435" s="587">
        <v>650026080</v>
      </c>
      <c r="D435" s="586">
        <v>72741686</v>
      </c>
      <c r="E435" s="588" t="s">
        <v>742</v>
      </c>
      <c r="F435" s="585">
        <v>3143</v>
      </c>
      <c r="G435" s="208" t="s">
        <v>635</v>
      </c>
      <c r="H435" s="589" t="s">
        <v>284</v>
      </c>
      <c r="I435" s="495">
        <v>17556</v>
      </c>
      <c r="J435" s="496">
        <v>12375</v>
      </c>
      <c r="K435" s="475">
        <v>0</v>
      </c>
      <c r="L435" s="475">
        <v>0</v>
      </c>
      <c r="M435" s="475">
        <v>4183</v>
      </c>
      <c r="N435" s="496">
        <v>248</v>
      </c>
      <c r="O435" s="496">
        <v>750</v>
      </c>
      <c r="P435" s="412">
        <v>0.05</v>
      </c>
      <c r="Q435" s="497">
        <v>0</v>
      </c>
      <c r="R435" s="498">
        <v>0.05</v>
      </c>
      <c r="S435" s="499">
        <v>0</v>
      </c>
      <c r="T435" s="486">
        <v>0</v>
      </c>
      <c r="U435" s="486">
        <v>0</v>
      </c>
      <c r="V435" s="486">
        <f t="shared" si="602"/>
        <v>0</v>
      </c>
      <c r="W435" s="486">
        <v>0</v>
      </c>
      <c r="X435" s="486">
        <v>0</v>
      </c>
      <c r="Y435" s="486">
        <f t="shared" si="603"/>
        <v>0</v>
      </c>
      <c r="Z435" s="486">
        <f t="shared" si="604"/>
        <v>0</v>
      </c>
      <c r="AA435" s="178">
        <f t="shared" si="544"/>
        <v>0</v>
      </c>
      <c r="AB435" s="745">
        <f t="shared" si="605"/>
        <v>0</v>
      </c>
      <c r="AC435" s="486">
        <v>0</v>
      </c>
      <c r="AD435" s="486">
        <v>0</v>
      </c>
      <c r="AE435" s="486">
        <f t="shared" si="546"/>
        <v>0</v>
      </c>
      <c r="AF435" s="486">
        <f t="shared" si="547"/>
        <v>0</v>
      </c>
      <c r="AG435" s="501">
        <v>0</v>
      </c>
      <c r="AH435" s="501">
        <v>0</v>
      </c>
      <c r="AI435" s="501">
        <v>0</v>
      </c>
      <c r="AJ435" s="501">
        <v>0</v>
      </c>
      <c r="AK435" s="501">
        <v>0</v>
      </c>
      <c r="AL435" s="501">
        <f t="shared" si="606"/>
        <v>0</v>
      </c>
      <c r="AM435" s="501">
        <f t="shared" si="607"/>
        <v>0</v>
      </c>
      <c r="AN435" s="502">
        <f t="shared" si="550"/>
        <v>0</v>
      </c>
      <c r="AO435" s="499">
        <f t="shared" si="608"/>
        <v>17556</v>
      </c>
      <c r="AP435" s="486">
        <f t="shared" si="609"/>
        <v>12375</v>
      </c>
      <c r="AQ435" s="486">
        <f t="shared" si="610"/>
        <v>0</v>
      </c>
      <c r="AR435" s="486">
        <f t="shared" si="611"/>
        <v>0</v>
      </c>
      <c r="AS435" s="486">
        <f t="shared" si="612"/>
        <v>4183</v>
      </c>
      <c r="AT435" s="486">
        <f t="shared" si="612"/>
        <v>248</v>
      </c>
      <c r="AU435" s="486">
        <f t="shared" si="613"/>
        <v>750</v>
      </c>
      <c r="AV435" s="501">
        <f t="shared" si="614"/>
        <v>0.05</v>
      </c>
      <c r="AW435" s="501">
        <f t="shared" si="615"/>
        <v>0</v>
      </c>
      <c r="AX435" s="502">
        <f t="shared" si="615"/>
        <v>0.05</v>
      </c>
    </row>
    <row r="436" spans="1:50" ht="14.1" customHeight="1" x14ac:dyDescent="0.2">
      <c r="A436" s="181">
        <v>86</v>
      </c>
      <c r="B436" s="179">
        <v>2305</v>
      </c>
      <c r="C436" s="180">
        <v>650026080</v>
      </c>
      <c r="D436" s="179">
        <v>72741686</v>
      </c>
      <c r="E436" s="578" t="s">
        <v>743</v>
      </c>
      <c r="F436" s="181"/>
      <c r="G436" s="578"/>
      <c r="H436" s="579"/>
      <c r="I436" s="580">
        <v>9394662</v>
      </c>
      <c r="J436" s="581">
        <v>6743555</v>
      </c>
      <c r="K436" s="581">
        <v>56216</v>
      </c>
      <c r="L436" s="581">
        <v>6216</v>
      </c>
      <c r="M436" s="581">
        <v>2296223</v>
      </c>
      <c r="N436" s="581">
        <v>134872</v>
      </c>
      <c r="O436" s="581">
        <v>163796</v>
      </c>
      <c r="P436" s="582">
        <v>16.117500000000003</v>
      </c>
      <c r="Q436" s="582">
        <v>10.540600000000001</v>
      </c>
      <c r="R436" s="584">
        <v>5.5768999999999993</v>
      </c>
      <c r="S436" s="583">
        <f t="shared" ref="S436:AX436" si="616">SUM(S430:S435)</f>
        <v>0</v>
      </c>
      <c r="T436" s="581">
        <f t="shared" si="616"/>
        <v>0</v>
      </c>
      <c r="U436" s="581">
        <f t="shared" si="616"/>
        <v>0</v>
      </c>
      <c r="V436" s="581">
        <f t="shared" si="616"/>
        <v>0</v>
      </c>
      <c r="W436" s="581">
        <f t="shared" si="616"/>
        <v>0</v>
      </c>
      <c r="X436" s="581">
        <f t="shared" si="616"/>
        <v>0</v>
      </c>
      <c r="Y436" s="581">
        <f t="shared" si="616"/>
        <v>0</v>
      </c>
      <c r="Z436" s="581">
        <f t="shared" si="616"/>
        <v>0</v>
      </c>
      <c r="AA436" s="581">
        <f t="shared" si="616"/>
        <v>0</v>
      </c>
      <c r="AB436" s="583">
        <f t="shared" si="616"/>
        <v>0</v>
      </c>
      <c r="AC436" s="581">
        <f t="shared" si="616"/>
        <v>0</v>
      </c>
      <c r="AD436" s="581">
        <f t="shared" si="616"/>
        <v>0</v>
      </c>
      <c r="AE436" s="581">
        <f t="shared" si="616"/>
        <v>0</v>
      </c>
      <c r="AF436" s="581">
        <f t="shared" si="616"/>
        <v>0</v>
      </c>
      <c r="AG436" s="582">
        <f t="shared" si="616"/>
        <v>0</v>
      </c>
      <c r="AH436" s="582">
        <f t="shared" si="616"/>
        <v>0</v>
      </c>
      <c r="AI436" s="582">
        <f t="shared" si="616"/>
        <v>0</v>
      </c>
      <c r="AJ436" s="582">
        <f t="shared" si="616"/>
        <v>0</v>
      </c>
      <c r="AK436" s="582">
        <f t="shared" si="616"/>
        <v>0</v>
      </c>
      <c r="AL436" s="582">
        <f t="shared" si="616"/>
        <v>0</v>
      </c>
      <c r="AM436" s="582">
        <f t="shared" si="616"/>
        <v>0</v>
      </c>
      <c r="AN436" s="584">
        <f t="shared" si="616"/>
        <v>0</v>
      </c>
      <c r="AO436" s="583">
        <f t="shared" si="616"/>
        <v>9394662</v>
      </c>
      <c r="AP436" s="581">
        <f t="shared" si="616"/>
        <v>6743555</v>
      </c>
      <c r="AQ436" s="581">
        <f t="shared" si="616"/>
        <v>56216</v>
      </c>
      <c r="AR436" s="581">
        <f t="shared" si="616"/>
        <v>6216</v>
      </c>
      <c r="AS436" s="581">
        <f t="shared" si="616"/>
        <v>2296223</v>
      </c>
      <c r="AT436" s="581">
        <f t="shared" si="616"/>
        <v>134872</v>
      </c>
      <c r="AU436" s="581">
        <f t="shared" si="616"/>
        <v>163796</v>
      </c>
      <c r="AV436" s="582">
        <f t="shared" si="616"/>
        <v>16.117500000000003</v>
      </c>
      <c r="AW436" s="582">
        <f t="shared" si="616"/>
        <v>10.540600000000001</v>
      </c>
      <c r="AX436" s="584">
        <f t="shared" si="616"/>
        <v>5.5768999999999993</v>
      </c>
    </row>
    <row r="437" spans="1:50" ht="14.1" customHeight="1" x14ac:dyDescent="0.2">
      <c r="A437" s="585">
        <v>87</v>
      </c>
      <c r="B437" s="586">
        <v>2498</v>
      </c>
      <c r="C437" s="587">
        <v>650021576</v>
      </c>
      <c r="D437" s="586">
        <v>70695539</v>
      </c>
      <c r="E437" s="588" t="s">
        <v>744</v>
      </c>
      <c r="F437" s="585">
        <v>3111</v>
      </c>
      <c r="G437" s="588" t="s">
        <v>317</v>
      </c>
      <c r="H437" s="589" t="s">
        <v>283</v>
      </c>
      <c r="I437" s="495">
        <v>4572087</v>
      </c>
      <c r="J437" s="411">
        <v>3322391</v>
      </c>
      <c r="K437" s="520">
        <v>10000</v>
      </c>
      <c r="L437" s="520">
        <v>0</v>
      </c>
      <c r="M437" s="475">
        <v>1126348</v>
      </c>
      <c r="N437" s="496">
        <v>66448</v>
      </c>
      <c r="O437" s="411">
        <v>46900</v>
      </c>
      <c r="P437" s="412">
        <v>7.5527999999999995</v>
      </c>
      <c r="Q437" s="415">
        <v>6</v>
      </c>
      <c r="R437" s="685">
        <v>1.5528</v>
      </c>
      <c r="S437" s="499">
        <v>0</v>
      </c>
      <c r="T437" s="486">
        <v>0</v>
      </c>
      <c r="U437" s="486">
        <v>0</v>
      </c>
      <c r="V437" s="486">
        <f t="shared" ref="V437:V442" si="617">SUM(S437:U437)</f>
        <v>0</v>
      </c>
      <c r="W437" s="486">
        <v>0</v>
      </c>
      <c r="X437" s="486">
        <v>0</v>
      </c>
      <c r="Y437" s="486">
        <f t="shared" ref="Y437:Y442" si="618">SUM(W437:X437)</f>
        <v>0</v>
      </c>
      <c r="Z437" s="486">
        <f t="shared" ref="Z437:Z442" si="619">V437+Y437</f>
        <v>0</v>
      </c>
      <c r="AA437" s="178">
        <f t="shared" si="544"/>
        <v>0</v>
      </c>
      <c r="AB437" s="745">
        <f t="shared" ref="AB437:AB442" si="620">ROUND(V437*2%,0)</f>
        <v>0</v>
      </c>
      <c r="AC437" s="486">
        <v>0</v>
      </c>
      <c r="AD437" s="486">
        <v>0</v>
      </c>
      <c r="AE437" s="486">
        <f t="shared" si="546"/>
        <v>0</v>
      </c>
      <c r="AF437" s="486">
        <f t="shared" si="547"/>
        <v>0</v>
      </c>
      <c r="AG437" s="501">
        <v>0</v>
      </c>
      <c r="AH437" s="501">
        <v>0</v>
      </c>
      <c r="AI437" s="501">
        <v>0</v>
      </c>
      <c r="AJ437" s="501">
        <v>0</v>
      </c>
      <c r="AK437" s="501">
        <v>0</v>
      </c>
      <c r="AL437" s="501">
        <f t="shared" ref="AL437:AL442" si="621">AG437+AI437+AJ437</f>
        <v>0</v>
      </c>
      <c r="AM437" s="501">
        <f t="shared" ref="AM437:AM442" si="622">AH437+AK437</f>
        <v>0</v>
      </c>
      <c r="AN437" s="502">
        <f t="shared" si="550"/>
        <v>0</v>
      </c>
      <c r="AO437" s="499">
        <f t="shared" ref="AO437:AO442" si="623">I437+AF437</f>
        <v>4572087</v>
      </c>
      <c r="AP437" s="486">
        <f t="shared" ref="AP437:AP442" si="624">J437+V437</f>
        <v>3322391</v>
      </c>
      <c r="AQ437" s="486">
        <f t="shared" ref="AQ437:AQ442" si="625">K437+Y437</f>
        <v>10000</v>
      </c>
      <c r="AR437" s="486">
        <f t="shared" ref="AR437:AR442" si="626">L437</f>
        <v>0</v>
      </c>
      <c r="AS437" s="486">
        <f t="shared" ref="AS437:AT442" si="627">M437+AA437</f>
        <v>1126348</v>
      </c>
      <c r="AT437" s="486">
        <f t="shared" si="627"/>
        <v>66448</v>
      </c>
      <c r="AU437" s="486">
        <f t="shared" ref="AU437:AU442" si="628">O437+AE437</f>
        <v>46900</v>
      </c>
      <c r="AV437" s="501">
        <f t="shared" ref="AV437:AV442" si="629">P437+AN437</f>
        <v>7.5527999999999995</v>
      </c>
      <c r="AW437" s="501">
        <f t="shared" ref="AW437:AX442" si="630">Q437+AL437</f>
        <v>6</v>
      </c>
      <c r="AX437" s="502">
        <f t="shared" si="630"/>
        <v>1.5528</v>
      </c>
    </row>
    <row r="438" spans="1:50" ht="14.1" customHeight="1" x14ac:dyDescent="0.2">
      <c r="A438" s="585">
        <v>87</v>
      </c>
      <c r="B438" s="586">
        <v>2498</v>
      </c>
      <c r="C438" s="587">
        <v>650021576</v>
      </c>
      <c r="D438" s="586">
        <v>70695539</v>
      </c>
      <c r="E438" s="588" t="s">
        <v>744</v>
      </c>
      <c r="F438" s="585">
        <v>3113</v>
      </c>
      <c r="G438" s="588" t="s">
        <v>320</v>
      </c>
      <c r="H438" s="589" t="s">
        <v>283</v>
      </c>
      <c r="I438" s="495">
        <v>16725394</v>
      </c>
      <c r="J438" s="411">
        <v>11767613</v>
      </c>
      <c r="K438" s="520">
        <v>164296</v>
      </c>
      <c r="L438" s="520">
        <v>104296</v>
      </c>
      <c r="M438" s="475">
        <v>3997733</v>
      </c>
      <c r="N438" s="496">
        <v>235352</v>
      </c>
      <c r="O438" s="411">
        <v>560400</v>
      </c>
      <c r="P438" s="412">
        <v>21.920300000000001</v>
      </c>
      <c r="Q438" s="415">
        <v>15.5891</v>
      </c>
      <c r="R438" s="685">
        <v>6.3312000000000008</v>
      </c>
      <c r="S438" s="499">
        <v>0</v>
      </c>
      <c r="T438" s="486">
        <v>0</v>
      </c>
      <c r="U438" s="486">
        <v>0</v>
      </c>
      <c r="V438" s="486">
        <f t="shared" si="617"/>
        <v>0</v>
      </c>
      <c r="W438" s="486">
        <v>0</v>
      </c>
      <c r="X438" s="486">
        <v>0</v>
      </c>
      <c r="Y438" s="486">
        <f t="shared" si="618"/>
        <v>0</v>
      </c>
      <c r="Z438" s="486">
        <f t="shared" si="619"/>
        <v>0</v>
      </c>
      <c r="AA438" s="178">
        <f t="shared" si="544"/>
        <v>0</v>
      </c>
      <c r="AB438" s="745">
        <f t="shared" si="620"/>
        <v>0</v>
      </c>
      <c r="AC438" s="486">
        <v>0</v>
      </c>
      <c r="AD438" s="486">
        <v>0</v>
      </c>
      <c r="AE438" s="486">
        <f t="shared" si="546"/>
        <v>0</v>
      </c>
      <c r="AF438" s="486">
        <f t="shared" si="547"/>
        <v>0</v>
      </c>
      <c r="AG438" s="501">
        <v>0</v>
      </c>
      <c r="AH438" s="501">
        <v>0</v>
      </c>
      <c r="AI438" s="501">
        <v>0</v>
      </c>
      <c r="AJ438" s="501">
        <v>0</v>
      </c>
      <c r="AK438" s="501">
        <v>0</v>
      </c>
      <c r="AL438" s="501">
        <f t="shared" si="621"/>
        <v>0</v>
      </c>
      <c r="AM438" s="501">
        <f t="shared" si="622"/>
        <v>0</v>
      </c>
      <c r="AN438" s="502">
        <f t="shared" si="550"/>
        <v>0</v>
      </c>
      <c r="AO438" s="499">
        <f t="shared" si="623"/>
        <v>16725394</v>
      </c>
      <c r="AP438" s="486">
        <f t="shared" si="624"/>
        <v>11767613</v>
      </c>
      <c r="AQ438" s="486">
        <f t="shared" si="625"/>
        <v>164296</v>
      </c>
      <c r="AR438" s="486">
        <f t="shared" si="626"/>
        <v>104296</v>
      </c>
      <c r="AS438" s="486">
        <f t="shared" si="627"/>
        <v>3997733</v>
      </c>
      <c r="AT438" s="486">
        <f t="shared" si="627"/>
        <v>235352</v>
      </c>
      <c r="AU438" s="486">
        <f t="shared" si="628"/>
        <v>560400</v>
      </c>
      <c r="AV438" s="501">
        <f t="shared" si="629"/>
        <v>21.920300000000001</v>
      </c>
      <c r="AW438" s="501">
        <f t="shared" si="630"/>
        <v>15.5891</v>
      </c>
      <c r="AX438" s="502">
        <f t="shared" si="630"/>
        <v>6.3312000000000008</v>
      </c>
    </row>
    <row r="439" spans="1:50" ht="14.1" customHeight="1" x14ac:dyDescent="0.2">
      <c r="A439" s="585">
        <v>87</v>
      </c>
      <c r="B439" s="586">
        <v>2498</v>
      </c>
      <c r="C439" s="587">
        <v>650021576</v>
      </c>
      <c r="D439" s="586">
        <v>70695539</v>
      </c>
      <c r="E439" s="588" t="s">
        <v>744</v>
      </c>
      <c r="F439" s="585">
        <v>3113</v>
      </c>
      <c r="G439" s="208" t="s">
        <v>318</v>
      </c>
      <c r="H439" s="589" t="s">
        <v>284</v>
      </c>
      <c r="I439" s="495">
        <v>2600835</v>
      </c>
      <c r="J439" s="496">
        <v>1914458</v>
      </c>
      <c r="K439" s="475">
        <v>0</v>
      </c>
      <c r="L439" s="475">
        <v>0</v>
      </c>
      <c r="M439" s="475">
        <v>647088</v>
      </c>
      <c r="N439" s="496">
        <v>38289</v>
      </c>
      <c r="O439" s="496">
        <v>1000</v>
      </c>
      <c r="P439" s="412">
        <v>5.6</v>
      </c>
      <c r="Q439" s="497">
        <v>5.6</v>
      </c>
      <c r="R439" s="498">
        <v>0</v>
      </c>
      <c r="S439" s="499">
        <v>0</v>
      </c>
      <c r="T439" s="486">
        <v>-12260</v>
      </c>
      <c r="U439" s="486">
        <v>0</v>
      </c>
      <c r="V439" s="486">
        <f t="shared" si="617"/>
        <v>-12260</v>
      </c>
      <c r="W439" s="486">
        <v>0</v>
      </c>
      <c r="X439" s="486">
        <v>0</v>
      </c>
      <c r="Y439" s="486">
        <f t="shared" si="618"/>
        <v>0</v>
      </c>
      <c r="Z439" s="486">
        <f t="shared" si="619"/>
        <v>-12260</v>
      </c>
      <c r="AA439" s="178">
        <f t="shared" si="544"/>
        <v>-4144</v>
      </c>
      <c r="AB439" s="745">
        <f t="shared" si="620"/>
        <v>-245</v>
      </c>
      <c r="AC439" s="486">
        <v>6000</v>
      </c>
      <c r="AD439" s="486">
        <v>0</v>
      </c>
      <c r="AE439" s="486">
        <f t="shared" si="546"/>
        <v>6000</v>
      </c>
      <c r="AF439" s="486">
        <f t="shared" si="547"/>
        <v>-10649</v>
      </c>
      <c r="AG439" s="501">
        <v>0</v>
      </c>
      <c r="AH439" s="501">
        <v>0</v>
      </c>
      <c r="AI439" s="501">
        <v>-0.04</v>
      </c>
      <c r="AJ439" s="501">
        <v>0</v>
      </c>
      <c r="AK439" s="501">
        <v>0</v>
      </c>
      <c r="AL439" s="501">
        <f t="shared" si="621"/>
        <v>-0.04</v>
      </c>
      <c r="AM439" s="501">
        <f t="shared" si="622"/>
        <v>0</v>
      </c>
      <c r="AN439" s="502">
        <f t="shared" si="550"/>
        <v>-0.04</v>
      </c>
      <c r="AO439" s="499">
        <f t="shared" si="623"/>
        <v>2590186</v>
      </c>
      <c r="AP439" s="486">
        <f t="shared" si="624"/>
        <v>1902198</v>
      </c>
      <c r="AQ439" s="486">
        <f t="shared" si="625"/>
        <v>0</v>
      </c>
      <c r="AR439" s="486">
        <f t="shared" si="626"/>
        <v>0</v>
      </c>
      <c r="AS439" s="486">
        <f t="shared" si="627"/>
        <v>642944</v>
      </c>
      <c r="AT439" s="486">
        <f t="shared" si="627"/>
        <v>38044</v>
      </c>
      <c r="AU439" s="486">
        <f t="shared" si="628"/>
        <v>7000</v>
      </c>
      <c r="AV439" s="501">
        <f t="shared" si="629"/>
        <v>5.56</v>
      </c>
      <c r="AW439" s="501">
        <f t="shared" si="630"/>
        <v>5.56</v>
      </c>
      <c r="AX439" s="502">
        <f t="shared" si="630"/>
        <v>0</v>
      </c>
    </row>
    <row r="440" spans="1:50" ht="14.1" customHeight="1" x14ac:dyDescent="0.2">
      <c r="A440" s="585">
        <v>87</v>
      </c>
      <c r="B440" s="586">
        <v>2498</v>
      </c>
      <c r="C440" s="587">
        <v>650021576</v>
      </c>
      <c r="D440" s="586">
        <v>70695539</v>
      </c>
      <c r="E440" s="588" t="s">
        <v>744</v>
      </c>
      <c r="F440" s="585">
        <v>3141</v>
      </c>
      <c r="G440" s="588" t="s">
        <v>321</v>
      </c>
      <c r="H440" s="589" t="s">
        <v>284</v>
      </c>
      <c r="I440" s="495">
        <v>2484343</v>
      </c>
      <c r="J440" s="496">
        <v>1816933</v>
      </c>
      <c r="K440" s="475">
        <v>0</v>
      </c>
      <c r="L440" s="475">
        <v>0</v>
      </c>
      <c r="M440" s="475">
        <v>614124</v>
      </c>
      <c r="N440" s="496">
        <v>36338</v>
      </c>
      <c r="O440" s="496">
        <v>16948</v>
      </c>
      <c r="P440" s="412">
        <v>6.17</v>
      </c>
      <c r="Q440" s="497">
        <v>0</v>
      </c>
      <c r="R440" s="498">
        <v>6.17</v>
      </c>
      <c r="S440" s="499">
        <v>0</v>
      </c>
      <c r="T440" s="486">
        <v>0</v>
      </c>
      <c r="U440" s="486">
        <v>0</v>
      </c>
      <c r="V440" s="486">
        <f t="shared" si="617"/>
        <v>0</v>
      </c>
      <c r="W440" s="486">
        <v>0</v>
      </c>
      <c r="X440" s="486">
        <v>0</v>
      </c>
      <c r="Y440" s="486">
        <f t="shared" si="618"/>
        <v>0</v>
      </c>
      <c r="Z440" s="486">
        <f t="shared" si="619"/>
        <v>0</v>
      </c>
      <c r="AA440" s="178">
        <f t="shared" si="544"/>
        <v>0</v>
      </c>
      <c r="AB440" s="745">
        <f t="shared" si="620"/>
        <v>0</v>
      </c>
      <c r="AC440" s="486">
        <v>0</v>
      </c>
      <c r="AD440" s="486">
        <v>0</v>
      </c>
      <c r="AE440" s="486">
        <f t="shared" si="546"/>
        <v>0</v>
      </c>
      <c r="AF440" s="486">
        <f t="shared" si="547"/>
        <v>0</v>
      </c>
      <c r="AG440" s="501">
        <v>0</v>
      </c>
      <c r="AH440" s="501">
        <v>0</v>
      </c>
      <c r="AI440" s="501">
        <v>0</v>
      </c>
      <c r="AJ440" s="501">
        <v>0</v>
      </c>
      <c r="AK440" s="501">
        <v>0</v>
      </c>
      <c r="AL440" s="501">
        <f t="shared" si="621"/>
        <v>0</v>
      </c>
      <c r="AM440" s="501">
        <f t="shared" si="622"/>
        <v>0</v>
      </c>
      <c r="AN440" s="502">
        <f t="shared" si="550"/>
        <v>0</v>
      </c>
      <c r="AO440" s="499">
        <f t="shared" si="623"/>
        <v>2484343</v>
      </c>
      <c r="AP440" s="486">
        <f t="shared" si="624"/>
        <v>1816933</v>
      </c>
      <c r="AQ440" s="486">
        <f t="shared" si="625"/>
        <v>0</v>
      </c>
      <c r="AR440" s="486">
        <f t="shared" si="626"/>
        <v>0</v>
      </c>
      <c r="AS440" s="486">
        <f t="shared" si="627"/>
        <v>614124</v>
      </c>
      <c r="AT440" s="486">
        <f t="shared" si="627"/>
        <v>36338</v>
      </c>
      <c r="AU440" s="486">
        <f t="shared" si="628"/>
        <v>16948</v>
      </c>
      <c r="AV440" s="501">
        <f t="shared" si="629"/>
        <v>6.17</v>
      </c>
      <c r="AW440" s="501">
        <f t="shared" si="630"/>
        <v>0</v>
      </c>
      <c r="AX440" s="502">
        <f t="shared" si="630"/>
        <v>6.17</v>
      </c>
    </row>
    <row r="441" spans="1:50" ht="14.1" customHeight="1" x14ac:dyDescent="0.2">
      <c r="A441" s="585">
        <v>87</v>
      </c>
      <c r="B441" s="586">
        <v>2498</v>
      </c>
      <c r="C441" s="587">
        <v>650021576</v>
      </c>
      <c r="D441" s="586">
        <v>70695539</v>
      </c>
      <c r="E441" s="588" t="s">
        <v>744</v>
      </c>
      <c r="F441" s="585">
        <v>3143</v>
      </c>
      <c r="G441" s="208" t="s">
        <v>634</v>
      </c>
      <c r="H441" s="589" t="s">
        <v>283</v>
      </c>
      <c r="I441" s="495">
        <v>1484386</v>
      </c>
      <c r="J441" s="411">
        <v>1093068</v>
      </c>
      <c r="K441" s="520">
        <v>0</v>
      </c>
      <c r="L441" s="520">
        <v>0</v>
      </c>
      <c r="M441" s="475">
        <v>369457</v>
      </c>
      <c r="N441" s="496">
        <v>21861</v>
      </c>
      <c r="O441" s="496">
        <v>0</v>
      </c>
      <c r="P441" s="412">
        <v>2.5</v>
      </c>
      <c r="Q441" s="415">
        <v>2.5</v>
      </c>
      <c r="R441" s="498">
        <v>0</v>
      </c>
      <c r="S441" s="499">
        <v>0</v>
      </c>
      <c r="T441" s="486">
        <v>0</v>
      </c>
      <c r="U441" s="486">
        <v>0</v>
      </c>
      <c r="V441" s="486">
        <f t="shared" si="617"/>
        <v>0</v>
      </c>
      <c r="W441" s="486">
        <v>0</v>
      </c>
      <c r="X441" s="486">
        <v>0</v>
      </c>
      <c r="Y441" s="486">
        <f t="shared" si="618"/>
        <v>0</v>
      </c>
      <c r="Z441" s="486">
        <f t="shared" si="619"/>
        <v>0</v>
      </c>
      <c r="AA441" s="178">
        <f t="shared" si="544"/>
        <v>0</v>
      </c>
      <c r="AB441" s="745">
        <f t="shared" si="620"/>
        <v>0</v>
      </c>
      <c r="AC441" s="486">
        <v>0</v>
      </c>
      <c r="AD441" s="486">
        <v>0</v>
      </c>
      <c r="AE441" s="486">
        <f t="shared" si="546"/>
        <v>0</v>
      </c>
      <c r="AF441" s="486">
        <f t="shared" si="547"/>
        <v>0</v>
      </c>
      <c r="AG441" s="501">
        <v>0</v>
      </c>
      <c r="AH441" s="501">
        <v>0</v>
      </c>
      <c r="AI441" s="501">
        <v>0</v>
      </c>
      <c r="AJ441" s="501">
        <v>0</v>
      </c>
      <c r="AK441" s="501">
        <v>0</v>
      </c>
      <c r="AL441" s="501">
        <f t="shared" si="621"/>
        <v>0</v>
      </c>
      <c r="AM441" s="501">
        <f t="shared" si="622"/>
        <v>0</v>
      </c>
      <c r="AN441" s="502">
        <f t="shared" si="550"/>
        <v>0</v>
      </c>
      <c r="AO441" s="499">
        <f t="shared" si="623"/>
        <v>1484386</v>
      </c>
      <c r="AP441" s="486">
        <f t="shared" si="624"/>
        <v>1093068</v>
      </c>
      <c r="AQ441" s="486">
        <f t="shared" si="625"/>
        <v>0</v>
      </c>
      <c r="AR441" s="486">
        <f t="shared" si="626"/>
        <v>0</v>
      </c>
      <c r="AS441" s="486">
        <f t="shared" si="627"/>
        <v>369457</v>
      </c>
      <c r="AT441" s="486">
        <f t="shared" si="627"/>
        <v>21861</v>
      </c>
      <c r="AU441" s="486">
        <f t="shared" si="628"/>
        <v>0</v>
      </c>
      <c r="AV441" s="501">
        <f t="shared" si="629"/>
        <v>2.5</v>
      </c>
      <c r="AW441" s="501">
        <f t="shared" si="630"/>
        <v>2.5</v>
      </c>
      <c r="AX441" s="502">
        <f t="shared" si="630"/>
        <v>0</v>
      </c>
    </row>
    <row r="442" spans="1:50" ht="14.1" customHeight="1" x14ac:dyDescent="0.2">
      <c r="A442" s="585">
        <v>87</v>
      </c>
      <c r="B442" s="586">
        <v>2498</v>
      </c>
      <c r="C442" s="587">
        <v>650021576</v>
      </c>
      <c r="D442" s="586">
        <v>70695539</v>
      </c>
      <c r="E442" s="588" t="s">
        <v>744</v>
      </c>
      <c r="F442" s="585">
        <v>3143</v>
      </c>
      <c r="G442" s="208" t="s">
        <v>635</v>
      </c>
      <c r="H442" s="589" t="s">
        <v>284</v>
      </c>
      <c r="I442" s="495">
        <v>47750</v>
      </c>
      <c r="J442" s="496">
        <v>33660</v>
      </c>
      <c r="K442" s="475">
        <v>0</v>
      </c>
      <c r="L442" s="475">
        <v>0</v>
      </c>
      <c r="M442" s="475">
        <v>11377</v>
      </c>
      <c r="N442" s="496">
        <v>673</v>
      </c>
      <c r="O442" s="496">
        <v>2040</v>
      </c>
      <c r="P442" s="412">
        <v>0.14000000000000001</v>
      </c>
      <c r="Q442" s="497">
        <v>0</v>
      </c>
      <c r="R442" s="498">
        <v>0.14000000000000001</v>
      </c>
      <c r="S442" s="499">
        <v>0</v>
      </c>
      <c r="T442" s="486">
        <v>0</v>
      </c>
      <c r="U442" s="486">
        <v>0</v>
      </c>
      <c r="V442" s="486">
        <f t="shared" si="617"/>
        <v>0</v>
      </c>
      <c r="W442" s="486">
        <v>0</v>
      </c>
      <c r="X442" s="486">
        <v>0</v>
      </c>
      <c r="Y442" s="486">
        <f t="shared" si="618"/>
        <v>0</v>
      </c>
      <c r="Z442" s="486">
        <f t="shared" si="619"/>
        <v>0</v>
      </c>
      <c r="AA442" s="178">
        <f t="shared" si="544"/>
        <v>0</v>
      </c>
      <c r="AB442" s="745">
        <f t="shared" si="620"/>
        <v>0</v>
      </c>
      <c r="AC442" s="486">
        <v>0</v>
      </c>
      <c r="AD442" s="486">
        <v>0</v>
      </c>
      <c r="AE442" s="486">
        <f t="shared" si="546"/>
        <v>0</v>
      </c>
      <c r="AF442" s="486">
        <f t="shared" si="547"/>
        <v>0</v>
      </c>
      <c r="AG442" s="501">
        <v>0</v>
      </c>
      <c r="AH442" s="501">
        <v>0</v>
      </c>
      <c r="AI442" s="501">
        <v>0</v>
      </c>
      <c r="AJ442" s="501">
        <v>0</v>
      </c>
      <c r="AK442" s="501">
        <v>0</v>
      </c>
      <c r="AL442" s="501">
        <f t="shared" si="621"/>
        <v>0</v>
      </c>
      <c r="AM442" s="501">
        <f t="shared" si="622"/>
        <v>0</v>
      </c>
      <c r="AN442" s="502">
        <f t="shared" si="550"/>
        <v>0</v>
      </c>
      <c r="AO442" s="499">
        <f t="shared" si="623"/>
        <v>47750</v>
      </c>
      <c r="AP442" s="486">
        <f t="shared" si="624"/>
        <v>33660</v>
      </c>
      <c r="AQ442" s="486">
        <f t="shared" si="625"/>
        <v>0</v>
      </c>
      <c r="AR442" s="486">
        <f t="shared" si="626"/>
        <v>0</v>
      </c>
      <c r="AS442" s="486">
        <f t="shared" si="627"/>
        <v>11377</v>
      </c>
      <c r="AT442" s="486">
        <f t="shared" si="627"/>
        <v>673</v>
      </c>
      <c r="AU442" s="486">
        <f t="shared" si="628"/>
        <v>2040</v>
      </c>
      <c r="AV442" s="501">
        <f t="shared" si="629"/>
        <v>0.14000000000000001</v>
      </c>
      <c r="AW442" s="501">
        <f t="shared" si="630"/>
        <v>0</v>
      </c>
      <c r="AX442" s="502">
        <f t="shared" si="630"/>
        <v>0.14000000000000001</v>
      </c>
    </row>
    <row r="443" spans="1:50" ht="14.1" customHeight="1" x14ac:dyDescent="0.2">
      <c r="A443" s="181">
        <v>87</v>
      </c>
      <c r="B443" s="179">
        <v>2498</v>
      </c>
      <c r="C443" s="180">
        <v>650021576</v>
      </c>
      <c r="D443" s="179">
        <v>70695539</v>
      </c>
      <c r="E443" s="578" t="s">
        <v>745</v>
      </c>
      <c r="F443" s="181"/>
      <c r="G443" s="578"/>
      <c r="H443" s="579"/>
      <c r="I443" s="580">
        <v>27914795</v>
      </c>
      <c r="J443" s="581">
        <v>19948123</v>
      </c>
      <c r="K443" s="581">
        <v>174296</v>
      </c>
      <c r="L443" s="581">
        <v>104296</v>
      </c>
      <c r="M443" s="581">
        <v>6766127</v>
      </c>
      <c r="N443" s="581">
        <v>398961</v>
      </c>
      <c r="O443" s="581">
        <v>627288</v>
      </c>
      <c r="P443" s="582">
        <v>43.883100000000006</v>
      </c>
      <c r="Q443" s="582">
        <v>29.689100000000003</v>
      </c>
      <c r="R443" s="584">
        <v>14.194000000000001</v>
      </c>
      <c r="S443" s="583">
        <f t="shared" ref="S443:AX443" si="631">SUM(S437:S442)</f>
        <v>0</v>
      </c>
      <c r="T443" s="581">
        <f t="shared" si="631"/>
        <v>-12260</v>
      </c>
      <c r="U443" s="581">
        <f t="shared" si="631"/>
        <v>0</v>
      </c>
      <c r="V443" s="581">
        <f t="shared" si="631"/>
        <v>-12260</v>
      </c>
      <c r="W443" s="581">
        <f t="shared" si="631"/>
        <v>0</v>
      </c>
      <c r="X443" s="581">
        <f t="shared" si="631"/>
        <v>0</v>
      </c>
      <c r="Y443" s="581">
        <f t="shared" si="631"/>
        <v>0</v>
      </c>
      <c r="Z443" s="581">
        <f t="shared" si="631"/>
        <v>-12260</v>
      </c>
      <c r="AA443" s="581">
        <f t="shared" si="631"/>
        <v>-4144</v>
      </c>
      <c r="AB443" s="583">
        <f t="shared" si="631"/>
        <v>-245</v>
      </c>
      <c r="AC443" s="581">
        <f t="shared" si="631"/>
        <v>6000</v>
      </c>
      <c r="AD443" s="581">
        <f t="shared" si="631"/>
        <v>0</v>
      </c>
      <c r="AE443" s="581">
        <f t="shared" si="631"/>
        <v>6000</v>
      </c>
      <c r="AF443" s="581">
        <f t="shared" si="631"/>
        <v>-10649</v>
      </c>
      <c r="AG443" s="582">
        <f t="shared" si="631"/>
        <v>0</v>
      </c>
      <c r="AH443" s="582">
        <f t="shared" si="631"/>
        <v>0</v>
      </c>
      <c r="AI443" s="582">
        <f t="shared" si="631"/>
        <v>-0.04</v>
      </c>
      <c r="AJ443" s="582">
        <f t="shared" si="631"/>
        <v>0</v>
      </c>
      <c r="AK443" s="582">
        <f t="shared" si="631"/>
        <v>0</v>
      </c>
      <c r="AL443" s="582">
        <f t="shared" si="631"/>
        <v>-0.04</v>
      </c>
      <c r="AM443" s="582">
        <f t="shared" si="631"/>
        <v>0</v>
      </c>
      <c r="AN443" s="584">
        <f t="shared" si="631"/>
        <v>-0.04</v>
      </c>
      <c r="AO443" s="583">
        <f t="shared" si="631"/>
        <v>27904146</v>
      </c>
      <c r="AP443" s="581">
        <f t="shared" si="631"/>
        <v>19935863</v>
      </c>
      <c r="AQ443" s="581">
        <f t="shared" si="631"/>
        <v>174296</v>
      </c>
      <c r="AR443" s="581">
        <f t="shared" si="631"/>
        <v>104296</v>
      </c>
      <c r="AS443" s="581">
        <f t="shared" si="631"/>
        <v>6761983</v>
      </c>
      <c r="AT443" s="581">
        <f t="shared" si="631"/>
        <v>398716</v>
      </c>
      <c r="AU443" s="581">
        <f t="shared" si="631"/>
        <v>633288</v>
      </c>
      <c r="AV443" s="582">
        <f t="shared" si="631"/>
        <v>43.843100000000007</v>
      </c>
      <c r="AW443" s="582">
        <f t="shared" si="631"/>
        <v>29.649100000000001</v>
      </c>
      <c r="AX443" s="584">
        <f t="shared" si="631"/>
        <v>14.194000000000001</v>
      </c>
    </row>
    <row r="444" spans="1:50" ht="14.1" customHeight="1" x14ac:dyDescent="0.2">
      <c r="A444" s="585">
        <v>88</v>
      </c>
      <c r="B444" s="586">
        <v>2499</v>
      </c>
      <c r="C444" s="587">
        <v>650025288</v>
      </c>
      <c r="D444" s="586">
        <v>70983283</v>
      </c>
      <c r="E444" s="588" t="s">
        <v>746</v>
      </c>
      <c r="F444" s="585">
        <v>3111</v>
      </c>
      <c r="G444" s="588" t="s">
        <v>317</v>
      </c>
      <c r="H444" s="589" t="s">
        <v>283</v>
      </c>
      <c r="I444" s="495">
        <v>2808337</v>
      </c>
      <c r="J444" s="411">
        <v>2053562</v>
      </c>
      <c r="K444" s="520">
        <v>0</v>
      </c>
      <c r="L444" s="520">
        <v>0</v>
      </c>
      <c r="M444" s="475">
        <v>694104</v>
      </c>
      <c r="N444" s="496">
        <v>41071</v>
      </c>
      <c r="O444" s="411">
        <v>19600</v>
      </c>
      <c r="P444" s="412">
        <v>4.8091999999999997</v>
      </c>
      <c r="Q444" s="415">
        <v>3.8874</v>
      </c>
      <c r="R444" s="685">
        <v>0.92179999999999995</v>
      </c>
      <c r="S444" s="499">
        <v>0</v>
      </c>
      <c r="T444" s="486">
        <v>0</v>
      </c>
      <c r="U444" s="486">
        <v>0</v>
      </c>
      <c r="V444" s="486">
        <f>SUM(S444:U444)</f>
        <v>0</v>
      </c>
      <c r="W444" s="486">
        <v>0</v>
      </c>
      <c r="X444" s="486">
        <v>0</v>
      </c>
      <c r="Y444" s="486">
        <f>SUM(W444:X444)</f>
        <v>0</v>
      </c>
      <c r="Z444" s="486">
        <f>V444+Y444</f>
        <v>0</v>
      </c>
      <c r="AA444" s="178">
        <f t="shared" si="544"/>
        <v>0</v>
      </c>
      <c r="AB444" s="745">
        <f>ROUND(V444*2%,0)</f>
        <v>0</v>
      </c>
      <c r="AC444" s="486">
        <v>0</v>
      </c>
      <c r="AD444" s="486">
        <v>0</v>
      </c>
      <c r="AE444" s="486">
        <f t="shared" si="546"/>
        <v>0</v>
      </c>
      <c r="AF444" s="486">
        <f t="shared" si="547"/>
        <v>0</v>
      </c>
      <c r="AG444" s="501">
        <v>0</v>
      </c>
      <c r="AH444" s="501">
        <v>0</v>
      </c>
      <c r="AI444" s="501">
        <v>0</v>
      </c>
      <c r="AJ444" s="501">
        <v>0</v>
      </c>
      <c r="AK444" s="501">
        <v>0</v>
      </c>
      <c r="AL444" s="501">
        <f t="shared" ref="AL444:AL448" si="632">AG444+AI444+AJ444</f>
        <v>0</v>
      </c>
      <c r="AM444" s="501">
        <f t="shared" ref="AM444:AM448" si="633">AH444+AK444</f>
        <v>0</v>
      </c>
      <c r="AN444" s="502">
        <f t="shared" si="550"/>
        <v>0</v>
      </c>
      <c r="AO444" s="499">
        <f>I444+AF444</f>
        <v>2808337</v>
      </c>
      <c r="AP444" s="486">
        <f>J444+V444</f>
        <v>2053562</v>
      </c>
      <c r="AQ444" s="486">
        <f>K444+Y444</f>
        <v>0</v>
      </c>
      <c r="AR444" s="486">
        <f>L444</f>
        <v>0</v>
      </c>
      <c r="AS444" s="486">
        <f t="shared" ref="AS444:AT448" si="634">M444+AA444</f>
        <v>694104</v>
      </c>
      <c r="AT444" s="486">
        <f t="shared" si="634"/>
        <v>41071</v>
      </c>
      <c r="AU444" s="486">
        <f>O444+AE444</f>
        <v>19600</v>
      </c>
      <c r="AV444" s="501">
        <f>P444+AN444</f>
        <v>4.8091999999999997</v>
      </c>
      <c r="AW444" s="501">
        <f t="shared" ref="AW444:AX448" si="635">Q444+AL444</f>
        <v>3.8874</v>
      </c>
      <c r="AX444" s="502">
        <f t="shared" si="635"/>
        <v>0.92179999999999995</v>
      </c>
    </row>
    <row r="445" spans="1:50" ht="14.1" customHeight="1" x14ac:dyDescent="0.2">
      <c r="A445" s="585">
        <v>88</v>
      </c>
      <c r="B445" s="586">
        <v>2499</v>
      </c>
      <c r="C445" s="587">
        <v>650025288</v>
      </c>
      <c r="D445" s="586">
        <v>70983283</v>
      </c>
      <c r="E445" s="588" t="s">
        <v>746</v>
      </c>
      <c r="F445" s="585">
        <v>3117</v>
      </c>
      <c r="G445" s="588" t="s">
        <v>320</v>
      </c>
      <c r="H445" s="589" t="s">
        <v>283</v>
      </c>
      <c r="I445" s="495">
        <v>3979070</v>
      </c>
      <c r="J445" s="411">
        <v>2832734</v>
      </c>
      <c r="K445" s="520">
        <v>6216</v>
      </c>
      <c r="L445" s="520">
        <v>6216</v>
      </c>
      <c r="M445" s="475">
        <v>957465</v>
      </c>
      <c r="N445" s="496">
        <v>56655</v>
      </c>
      <c r="O445" s="411">
        <v>126000</v>
      </c>
      <c r="P445" s="412">
        <v>5.4851999999999999</v>
      </c>
      <c r="Q445" s="415">
        <v>3.4877000000000002</v>
      </c>
      <c r="R445" s="685">
        <v>1.9974999999999998</v>
      </c>
      <c r="S445" s="499">
        <v>0</v>
      </c>
      <c r="T445" s="486">
        <v>0</v>
      </c>
      <c r="U445" s="486">
        <v>0</v>
      </c>
      <c r="V445" s="486">
        <f>SUM(S445:U445)</f>
        <v>0</v>
      </c>
      <c r="W445" s="486">
        <v>0</v>
      </c>
      <c r="X445" s="486">
        <v>0</v>
      </c>
      <c r="Y445" s="486">
        <f>SUM(W445:X445)</f>
        <v>0</v>
      </c>
      <c r="Z445" s="486">
        <f>V445+Y445</f>
        <v>0</v>
      </c>
      <c r="AA445" s="178">
        <f t="shared" si="544"/>
        <v>0</v>
      </c>
      <c r="AB445" s="745">
        <f>ROUND(V445*2%,0)</f>
        <v>0</v>
      </c>
      <c r="AC445" s="486">
        <v>0</v>
      </c>
      <c r="AD445" s="486">
        <v>0</v>
      </c>
      <c r="AE445" s="486">
        <f t="shared" si="546"/>
        <v>0</v>
      </c>
      <c r="AF445" s="486">
        <f t="shared" si="547"/>
        <v>0</v>
      </c>
      <c r="AG445" s="501">
        <v>0</v>
      </c>
      <c r="AH445" s="501">
        <v>0</v>
      </c>
      <c r="AI445" s="501">
        <v>0</v>
      </c>
      <c r="AJ445" s="501">
        <v>0</v>
      </c>
      <c r="AK445" s="501">
        <v>0</v>
      </c>
      <c r="AL445" s="501">
        <f t="shared" si="632"/>
        <v>0</v>
      </c>
      <c r="AM445" s="501">
        <f t="shared" si="633"/>
        <v>0</v>
      </c>
      <c r="AN445" s="502">
        <f t="shared" si="550"/>
        <v>0</v>
      </c>
      <c r="AO445" s="499">
        <f>I445+AF445</f>
        <v>3979070</v>
      </c>
      <c r="AP445" s="486">
        <f>J445+V445</f>
        <v>2832734</v>
      </c>
      <c r="AQ445" s="486">
        <f>K445+Y445</f>
        <v>6216</v>
      </c>
      <c r="AR445" s="486">
        <f>L445</f>
        <v>6216</v>
      </c>
      <c r="AS445" s="486">
        <f t="shared" si="634"/>
        <v>957465</v>
      </c>
      <c r="AT445" s="486">
        <f t="shared" si="634"/>
        <v>56655</v>
      </c>
      <c r="AU445" s="486">
        <f>O445+AE445</f>
        <v>126000</v>
      </c>
      <c r="AV445" s="501">
        <f>P445+AN445</f>
        <v>5.4851999999999999</v>
      </c>
      <c r="AW445" s="501">
        <f t="shared" si="635"/>
        <v>3.4877000000000002</v>
      </c>
      <c r="AX445" s="502">
        <f t="shared" si="635"/>
        <v>1.9974999999999998</v>
      </c>
    </row>
    <row r="446" spans="1:50" ht="14.1" customHeight="1" x14ac:dyDescent="0.2">
      <c r="A446" s="585">
        <v>88</v>
      </c>
      <c r="B446" s="586">
        <v>2499</v>
      </c>
      <c r="C446" s="587">
        <v>650025288</v>
      </c>
      <c r="D446" s="586">
        <v>70983283</v>
      </c>
      <c r="E446" s="588" t="s">
        <v>746</v>
      </c>
      <c r="F446" s="585">
        <v>3141</v>
      </c>
      <c r="G446" s="588" t="s">
        <v>321</v>
      </c>
      <c r="H446" s="589" t="s">
        <v>284</v>
      </c>
      <c r="I446" s="495">
        <v>894169</v>
      </c>
      <c r="J446" s="496">
        <v>655456</v>
      </c>
      <c r="K446" s="475">
        <v>0</v>
      </c>
      <c r="L446" s="475">
        <v>0</v>
      </c>
      <c r="M446" s="475">
        <v>221544</v>
      </c>
      <c r="N446" s="496">
        <v>13109</v>
      </c>
      <c r="O446" s="496">
        <v>4060</v>
      </c>
      <c r="P446" s="412">
        <v>2.2200000000000002</v>
      </c>
      <c r="Q446" s="497">
        <v>0</v>
      </c>
      <c r="R446" s="498">
        <v>2.2200000000000002</v>
      </c>
      <c r="S446" s="499">
        <v>0</v>
      </c>
      <c r="T446" s="486">
        <v>0</v>
      </c>
      <c r="U446" s="486">
        <v>0</v>
      </c>
      <c r="V446" s="486">
        <f>SUM(S446:U446)</f>
        <v>0</v>
      </c>
      <c r="W446" s="486">
        <v>0</v>
      </c>
      <c r="X446" s="486">
        <v>0</v>
      </c>
      <c r="Y446" s="486">
        <f>SUM(W446:X446)</f>
        <v>0</v>
      </c>
      <c r="Z446" s="486">
        <f>V446+Y446</f>
        <v>0</v>
      </c>
      <c r="AA446" s="178">
        <f t="shared" si="544"/>
        <v>0</v>
      </c>
      <c r="AB446" s="745">
        <f>ROUND(V446*2%,0)</f>
        <v>0</v>
      </c>
      <c r="AC446" s="486">
        <v>0</v>
      </c>
      <c r="AD446" s="486">
        <v>0</v>
      </c>
      <c r="AE446" s="486">
        <f t="shared" si="546"/>
        <v>0</v>
      </c>
      <c r="AF446" s="486">
        <f t="shared" si="547"/>
        <v>0</v>
      </c>
      <c r="AG446" s="501">
        <v>0</v>
      </c>
      <c r="AH446" s="501">
        <v>0</v>
      </c>
      <c r="AI446" s="501">
        <v>0</v>
      </c>
      <c r="AJ446" s="501">
        <v>0</v>
      </c>
      <c r="AK446" s="501">
        <v>0</v>
      </c>
      <c r="AL446" s="501">
        <f t="shared" si="632"/>
        <v>0</v>
      </c>
      <c r="AM446" s="501">
        <f t="shared" si="633"/>
        <v>0</v>
      </c>
      <c r="AN446" s="502">
        <f t="shared" si="550"/>
        <v>0</v>
      </c>
      <c r="AO446" s="499">
        <f>I446+AF446</f>
        <v>894169</v>
      </c>
      <c r="AP446" s="486">
        <f>J446+V446</f>
        <v>655456</v>
      </c>
      <c r="AQ446" s="486">
        <f>K446+Y446</f>
        <v>0</v>
      </c>
      <c r="AR446" s="486">
        <f>L446</f>
        <v>0</v>
      </c>
      <c r="AS446" s="486">
        <f t="shared" si="634"/>
        <v>221544</v>
      </c>
      <c r="AT446" s="486">
        <f t="shared" si="634"/>
        <v>13109</v>
      </c>
      <c r="AU446" s="486">
        <f>O446+AE446</f>
        <v>4060</v>
      </c>
      <c r="AV446" s="501">
        <f>P446+AN446</f>
        <v>2.2200000000000002</v>
      </c>
      <c r="AW446" s="501">
        <f t="shared" si="635"/>
        <v>0</v>
      </c>
      <c r="AX446" s="502">
        <f t="shared" si="635"/>
        <v>2.2200000000000002</v>
      </c>
    </row>
    <row r="447" spans="1:50" ht="14.1" customHeight="1" x14ac:dyDescent="0.2">
      <c r="A447" s="585">
        <v>88</v>
      </c>
      <c r="B447" s="586">
        <v>2499</v>
      </c>
      <c r="C447" s="587">
        <v>650025288</v>
      </c>
      <c r="D447" s="586">
        <v>70983283</v>
      </c>
      <c r="E447" s="588" t="s">
        <v>746</v>
      </c>
      <c r="F447" s="585">
        <v>3143</v>
      </c>
      <c r="G447" s="208" t="s">
        <v>634</v>
      </c>
      <c r="H447" s="589" t="s">
        <v>283</v>
      </c>
      <c r="I447" s="495">
        <v>993993</v>
      </c>
      <c r="J447" s="411">
        <v>731954</v>
      </c>
      <c r="K447" s="520">
        <v>0</v>
      </c>
      <c r="L447" s="520">
        <v>0</v>
      </c>
      <c r="M447" s="475">
        <v>247400</v>
      </c>
      <c r="N447" s="496">
        <v>14639</v>
      </c>
      <c r="O447" s="496">
        <v>0</v>
      </c>
      <c r="P447" s="412">
        <v>1.6073999999999999</v>
      </c>
      <c r="Q447" s="415">
        <v>1.6073999999999999</v>
      </c>
      <c r="R447" s="498">
        <v>0</v>
      </c>
      <c r="S447" s="499">
        <v>0</v>
      </c>
      <c r="T447" s="486">
        <v>0</v>
      </c>
      <c r="U447" s="486">
        <v>0</v>
      </c>
      <c r="V447" s="486">
        <f>SUM(S447:U447)</f>
        <v>0</v>
      </c>
      <c r="W447" s="486">
        <v>0</v>
      </c>
      <c r="X447" s="486">
        <v>0</v>
      </c>
      <c r="Y447" s="486">
        <f>SUM(W447:X447)</f>
        <v>0</v>
      </c>
      <c r="Z447" s="486">
        <f>V447+Y447</f>
        <v>0</v>
      </c>
      <c r="AA447" s="178">
        <f t="shared" si="544"/>
        <v>0</v>
      </c>
      <c r="AB447" s="745">
        <f>ROUND(V447*2%,0)</f>
        <v>0</v>
      </c>
      <c r="AC447" s="486">
        <v>0</v>
      </c>
      <c r="AD447" s="486">
        <v>0</v>
      </c>
      <c r="AE447" s="486">
        <f t="shared" si="546"/>
        <v>0</v>
      </c>
      <c r="AF447" s="486">
        <f t="shared" si="547"/>
        <v>0</v>
      </c>
      <c r="AG447" s="501">
        <v>0</v>
      </c>
      <c r="AH447" s="501">
        <v>0</v>
      </c>
      <c r="AI447" s="501">
        <v>0</v>
      </c>
      <c r="AJ447" s="501">
        <v>0</v>
      </c>
      <c r="AK447" s="501">
        <v>0</v>
      </c>
      <c r="AL447" s="501">
        <f t="shared" si="632"/>
        <v>0</v>
      </c>
      <c r="AM447" s="501">
        <f t="shared" si="633"/>
        <v>0</v>
      </c>
      <c r="AN447" s="502">
        <f t="shared" si="550"/>
        <v>0</v>
      </c>
      <c r="AO447" s="499">
        <f>I447+AF447</f>
        <v>993993</v>
      </c>
      <c r="AP447" s="486">
        <f>J447+V447</f>
        <v>731954</v>
      </c>
      <c r="AQ447" s="486">
        <f>K447+Y447</f>
        <v>0</v>
      </c>
      <c r="AR447" s="486">
        <f>L447</f>
        <v>0</v>
      </c>
      <c r="AS447" s="486">
        <f t="shared" si="634"/>
        <v>247400</v>
      </c>
      <c r="AT447" s="486">
        <f t="shared" si="634"/>
        <v>14639</v>
      </c>
      <c r="AU447" s="486">
        <f>O447+AE447</f>
        <v>0</v>
      </c>
      <c r="AV447" s="501">
        <f>P447+AN447</f>
        <v>1.6073999999999999</v>
      </c>
      <c r="AW447" s="501">
        <f t="shared" si="635"/>
        <v>1.6073999999999999</v>
      </c>
      <c r="AX447" s="502">
        <f t="shared" si="635"/>
        <v>0</v>
      </c>
    </row>
    <row r="448" spans="1:50" ht="14.1" customHeight="1" x14ac:dyDescent="0.2">
      <c r="A448" s="585">
        <v>88</v>
      </c>
      <c r="B448" s="586">
        <v>2499</v>
      </c>
      <c r="C448" s="587">
        <v>650025288</v>
      </c>
      <c r="D448" s="586">
        <v>70983283</v>
      </c>
      <c r="E448" s="588" t="s">
        <v>746</v>
      </c>
      <c r="F448" s="585">
        <v>3143</v>
      </c>
      <c r="G448" s="208" t="s">
        <v>635</v>
      </c>
      <c r="H448" s="589" t="s">
        <v>284</v>
      </c>
      <c r="I448" s="495">
        <v>28088</v>
      </c>
      <c r="J448" s="496">
        <v>19800</v>
      </c>
      <c r="K448" s="475">
        <v>0</v>
      </c>
      <c r="L448" s="475">
        <v>0</v>
      </c>
      <c r="M448" s="475">
        <v>6692</v>
      </c>
      <c r="N448" s="496">
        <v>396</v>
      </c>
      <c r="O448" s="496">
        <v>1200</v>
      </c>
      <c r="P448" s="412">
        <v>0.08</v>
      </c>
      <c r="Q448" s="497">
        <v>0</v>
      </c>
      <c r="R448" s="498">
        <v>0.08</v>
      </c>
      <c r="S448" s="499">
        <v>0</v>
      </c>
      <c r="T448" s="486">
        <v>0</v>
      </c>
      <c r="U448" s="486">
        <v>0</v>
      </c>
      <c r="V448" s="486">
        <f>SUM(S448:U448)</f>
        <v>0</v>
      </c>
      <c r="W448" s="486">
        <v>0</v>
      </c>
      <c r="X448" s="486">
        <v>0</v>
      </c>
      <c r="Y448" s="486">
        <f>SUM(W448:X448)</f>
        <v>0</v>
      </c>
      <c r="Z448" s="486">
        <f>V448+Y448</f>
        <v>0</v>
      </c>
      <c r="AA448" s="178">
        <f t="shared" si="544"/>
        <v>0</v>
      </c>
      <c r="AB448" s="745">
        <f>ROUND(V448*2%,0)</f>
        <v>0</v>
      </c>
      <c r="AC448" s="486">
        <v>0</v>
      </c>
      <c r="AD448" s="486">
        <v>0</v>
      </c>
      <c r="AE448" s="486">
        <f t="shared" si="546"/>
        <v>0</v>
      </c>
      <c r="AF448" s="486">
        <f t="shared" si="547"/>
        <v>0</v>
      </c>
      <c r="AG448" s="501">
        <v>0</v>
      </c>
      <c r="AH448" s="501">
        <v>0</v>
      </c>
      <c r="AI448" s="501">
        <v>0</v>
      </c>
      <c r="AJ448" s="501">
        <v>0</v>
      </c>
      <c r="AK448" s="501">
        <v>0</v>
      </c>
      <c r="AL448" s="501">
        <f t="shared" si="632"/>
        <v>0</v>
      </c>
      <c r="AM448" s="501">
        <f t="shared" si="633"/>
        <v>0</v>
      </c>
      <c r="AN448" s="502">
        <f t="shared" si="550"/>
        <v>0</v>
      </c>
      <c r="AO448" s="499">
        <f>I448+AF448</f>
        <v>28088</v>
      </c>
      <c r="AP448" s="486">
        <f>J448+V448</f>
        <v>19800</v>
      </c>
      <c r="AQ448" s="486">
        <f>K448+Y448</f>
        <v>0</v>
      </c>
      <c r="AR448" s="486">
        <f>L448</f>
        <v>0</v>
      </c>
      <c r="AS448" s="486">
        <f t="shared" si="634"/>
        <v>6692</v>
      </c>
      <c r="AT448" s="486">
        <f t="shared" si="634"/>
        <v>396</v>
      </c>
      <c r="AU448" s="486">
        <f>O448+AE448</f>
        <v>1200</v>
      </c>
      <c r="AV448" s="501">
        <f>P448+AN448</f>
        <v>0.08</v>
      </c>
      <c r="AW448" s="501">
        <f t="shared" si="635"/>
        <v>0</v>
      </c>
      <c r="AX448" s="502">
        <f t="shared" si="635"/>
        <v>0.08</v>
      </c>
    </row>
    <row r="449" spans="1:50" ht="14.1" customHeight="1" x14ac:dyDescent="0.2">
      <c r="A449" s="187">
        <v>88</v>
      </c>
      <c r="B449" s="186">
        <v>2499</v>
      </c>
      <c r="C449" s="598">
        <v>650025288</v>
      </c>
      <c r="D449" s="186">
        <v>70983283</v>
      </c>
      <c r="E449" s="599" t="s">
        <v>747</v>
      </c>
      <c r="F449" s="187"/>
      <c r="G449" s="599"/>
      <c r="H449" s="600"/>
      <c r="I449" s="580">
        <v>8703657</v>
      </c>
      <c r="J449" s="581">
        <v>6293506</v>
      </c>
      <c r="K449" s="581">
        <v>6216</v>
      </c>
      <c r="L449" s="581">
        <v>6216</v>
      </c>
      <c r="M449" s="581">
        <v>2127205</v>
      </c>
      <c r="N449" s="581">
        <v>125870</v>
      </c>
      <c r="O449" s="581">
        <v>150860</v>
      </c>
      <c r="P449" s="582">
        <v>14.2018</v>
      </c>
      <c r="Q449" s="582">
        <v>8.9824999999999999</v>
      </c>
      <c r="R449" s="584">
        <v>5.2193000000000005</v>
      </c>
      <c r="S449" s="583">
        <f t="shared" ref="S449:AX449" si="636">SUM(S444:S448)</f>
        <v>0</v>
      </c>
      <c r="T449" s="581">
        <f t="shared" si="636"/>
        <v>0</v>
      </c>
      <c r="U449" s="581">
        <f t="shared" si="636"/>
        <v>0</v>
      </c>
      <c r="V449" s="581">
        <f t="shared" si="636"/>
        <v>0</v>
      </c>
      <c r="W449" s="581">
        <f t="shared" si="636"/>
        <v>0</v>
      </c>
      <c r="X449" s="581">
        <f t="shared" si="636"/>
        <v>0</v>
      </c>
      <c r="Y449" s="581">
        <f t="shared" si="636"/>
        <v>0</v>
      </c>
      <c r="Z449" s="581">
        <f t="shared" si="636"/>
        <v>0</v>
      </c>
      <c r="AA449" s="581">
        <f t="shared" si="636"/>
        <v>0</v>
      </c>
      <c r="AB449" s="583">
        <f t="shared" si="636"/>
        <v>0</v>
      </c>
      <c r="AC449" s="581">
        <f t="shared" si="636"/>
        <v>0</v>
      </c>
      <c r="AD449" s="581">
        <f t="shared" si="636"/>
        <v>0</v>
      </c>
      <c r="AE449" s="581">
        <f t="shared" si="636"/>
        <v>0</v>
      </c>
      <c r="AF449" s="581">
        <f t="shared" si="636"/>
        <v>0</v>
      </c>
      <c r="AG449" s="582">
        <f t="shared" si="636"/>
        <v>0</v>
      </c>
      <c r="AH449" s="582">
        <f t="shared" si="636"/>
        <v>0</v>
      </c>
      <c r="AI449" s="582">
        <f t="shared" si="636"/>
        <v>0</v>
      </c>
      <c r="AJ449" s="582">
        <f t="shared" si="636"/>
        <v>0</v>
      </c>
      <c r="AK449" s="582">
        <f t="shared" si="636"/>
        <v>0</v>
      </c>
      <c r="AL449" s="582">
        <f t="shared" si="636"/>
        <v>0</v>
      </c>
      <c r="AM449" s="582">
        <f t="shared" si="636"/>
        <v>0</v>
      </c>
      <c r="AN449" s="584">
        <f t="shared" si="636"/>
        <v>0</v>
      </c>
      <c r="AO449" s="583">
        <f t="shared" si="636"/>
        <v>8703657</v>
      </c>
      <c r="AP449" s="581">
        <f t="shared" si="636"/>
        <v>6293506</v>
      </c>
      <c r="AQ449" s="581">
        <f t="shared" si="636"/>
        <v>6216</v>
      </c>
      <c r="AR449" s="581">
        <f t="shared" si="636"/>
        <v>6216</v>
      </c>
      <c r="AS449" s="581">
        <f t="shared" si="636"/>
        <v>2127205</v>
      </c>
      <c r="AT449" s="581">
        <f t="shared" si="636"/>
        <v>125870</v>
      </c>
      <c r="AU449" s="581">
        <f t="shared" si="636"/>
        <v>150860</v>
      </c>
      <c r="AV449" s="582">
        <f t="shared" si="636"/>
        <v>14.2018</v>
      </c>
      <c r="AW449" s="582">
        <f t="shared" si="636"/>
        <v>8.9824999999999999</v>
      </c>
      <c r="AX449" s="584">
        <f t="shared" si="636"/>
        <v>5.2193000000000005</v>
      </c>
    </row>
    <row r="450" spans="1:50" ht="14.1" customHeight="1" x14ac:dyDescent="0.2">
      <c r="A450" s="585">
        <v>89</v>
      </c>
      <c r="B450" s="586">
        <v>2331</v>
      </c>
      <c r="C450" s="587">
        <v>691014302</v>
      </c>
      <c r="D450" s="586" t="s">
        <v>805</v>
      </c>
      <c r="E450" s="588" t="s">
        <v>812</v>
      </c>
      <c r="F450" s="585">
        <v>3111</v>
      </c>
      <c r="G450" s="588" t="s">
        <v>317</v>
      </c>
      <c r="H450" s="589" t="s">
        <v>283</v>
      </c>
      <c r="I450" s="495">
        <v>1878639</v>
      </c>
      <c r="J450" s="411">
        <v>1358349</v>
      </c>
      <c r="K450" s="520">
        <v>0</v>
      </c>
      <c r="L450" s="520">
        <v>0</v>
      </c>
      <c r="M450" s="475">
        <v>459122</v>
      </c>
      <c r="N450" s="496">
        <v>27167</v>
      </c>
      <c r="O450" s="411">
        <v>34001</v>
      </c>
      <c r="P450" s="412">
        <v>3.1549</v>
      </c>
      <c r="Q450" s="415">
        <v>2.37</v>
      </c>
      <c r="R450" s="685">
        <v>0.78489999999999993</v>
      </c>
      <c r="S450" s="499">
        <v>0</v>
      </c>
      <c r="T450" s="486">
        <v>0</v>
      </c>
      <c r="U450" s="486">
        <v>0</v>
      </c>
      <c r="V450" s="486">
        <f>SUM(S450:U450)</f>
        <v>0</v>
      </c>
      <c r="W450" s="486">
        <v>0</v>
      </c>
      <c r="X450" s="486">
        <v>0</v>
      </c>
      <c r="Y450" s="486">
        <f>SUM(W450:X450)</f>
        <v>0</v>
      </c>
      <c r="Z450" s="486">
        <f>V450+Y450</f>
        <v>0</v>
      </c>
      <c r="AA450" s="178">
        <f t="shared" si="544"/>
        <v>0</v>
      </c>
      <c r="AB450" s="745">
        <f>ROUND(V450*2%,0)</f>
        <v>0</v>
      </c>
      <c r="AC450" s="486">
        <v>0</v>
      </c>
      <c r="AD450" s="486">
        <v>0</v>
      </c>
      <c r="AE450" s="486">
        <f t="shared" si="546"/>
        <v>0</v>
      </c>
      <c r="AF450" s="486">
        <f t="shared" si="547"/>
        <v>0</v>
      </c>
      <c r="AG450" s="501">
        <v>0</v>
      </c>
      <c r="AH450" s="501">
        <v>0</v>
      </c>
      <c r="AI450" s="501">
        <v>0</v>
      </c>
      <c r="AJ450" s="501">
        <v>0</v>
      </c>
      <c r="AK450" s="501">
        <v>0</v>
      </c>
      <c r="AL450" s="501">
        <f t="shared" ref="AL450:AL451" si="637">AG450+AI450+AJ450</f>
        <v>0</v>
      </c>
      <c r="AM450" s="501">
        <f t="shared" ref="AM450:AM451" si="638">AH450+AK450</f>
        <v>0</v>
      </c>
      <c r="AN450" s="502">
        <f t="shared" si="550"/>
        <v>0</v>
      </c>
      <c r="AO450" s="499">
        <f>I450+AF450</f>
        <v>1878639</v>
      </c>
      <c r="AP450" s="486">
        <f>J450+V450</f>
        <v>1358349</v>
      </c>
      <c r="AQ450" s="486">
        <f>K450+Y450</f>
        <v>0</v>
      </c>
      <c r="AR450" s="486">
        <f>L450</f>
        <v>0</v>
      </c>
      <c r="AS450" s="486">
        <f>M450+AA450</f>
        <v>459122</v>
      </c>
      <c r="AT450" s="486">
        <f>N450+AB450</f>
        <v>27167</v>
      </c>
      <c r="AU450" s="486">
        <f>O450+AE450</f>
        <v>34001</v>
      </c>
      <c r="AV450" s="501">
        <f>P450+AN450</f>
        <v>3.1549</v>
      </c>
      <c r="AW450" s="501">
        <f>Q450+AL450</f>
        <v>2.37</v>
      </c>
      <c r="AX450" s="502">
        <f>R450+AM450</f>
        <v>0.78489999999999993</v>
      </c>
    </row>
    <row r="451" spans="1:50" ht="14.1" customHeight="1" x14ac:dyDescent="0.2">
      <c r="A451" s="585">
        <v>89</v>
      </c>
      <c r="B451" s="586">
        <v>2331</v>
      </c>
      <c r="C451" s="587">
        <v>691014302</v>
      </c>
      <c r="D451" s="586" t="s">
        <v>805</v>
      </c>
      <c r="E451" s="588" t="s">
        <v>812</v>
      </c>
      <c r="F451" s="585">
        <v>3141</v>
      </c>
      <c r="G451" s="588" t="s">
        <v>321</v>
      </c>
      <c r="H451" s="589" t="s">
        <v>284</v>
      </c>
      <c r="I451" s="495">
        <v>333511</v>
      </c>
      <c r="J451" s="496">
        <v>244735</v>
      </c>
      <c r="K451" s="475">
        <v>0</v>
      </c>
      <c r="L451" s="475">
        <v>0</v>
      </c>
      <c r="M451" s="475">
        <v>82721</v>
      </c>
      <c r="N451" s="496">
        <v>4895</v>
      </c>
      <c r="O451" s="496">
        <v>1160</v>
      </c>
      <c r="P451" s="412">
        <v>0.83000000000000007</v>
      </c>
      <c r="Q451" s="497">
        <v>0</v>
      </c>
      <c r="R451" s="498">
        <v>0.83000000000000007</v>
      </c>
      <c r="S451" s="499">
        <v>0</v>
      </c>
      <c r="T451" s="486">
        <v>0</v>
      </c>
      <c r="U451" s="486">
        <v>0</v>
      </c>
      <c r="V451" s="486">
        <f>SUM(S451:U451)</f>
        <v>0</v>
      </c>
      <c r="W451" s="486">
        <v>0</v>
      </c>
      <c r="X451" s="486">
        <v>0</v>
      </c>
      <c r="Y451" s="486">
        <f>SUM(W451:X451)</f>
        <v>0</v>
      </c>
      <c r="Z451" s="486">
        <f>V451+Y451</f>
        <v>0</v>
      </c>
      <c r="AA451" s="178">
        <f t="shared" si="544"/>
        <v>0</v>
      </c>
      <c r="AB451" s="745">
        <f>ROUND(V451*2%,0)</f>
        <v>0</v>
      </c>
      <c r="AC451" s="486">
        <v>0</v>
      </c>
      <c r="AD451" s="486">
        <v>0</v>
      </c>
      <c r="AE451" s="486">
        <f t="shared" si="546"/>
        <v>0</v>
      </c>
      <c r="AF451" s="486">
        <f t="shared" si="547"/>
        <v>0</v>
      </c>
      <c r="AG451" s="501">
        <v>0</v>
      </c>
      <c r="AH451" s="501">
        <v>0</v>
      </c>
      <c r="AI451" s="501">
        <v>0</v>
      </c>
      <c r="AJ451" s="501">
        <v>0</v>
      </c>
      <c r="AK451" s="501">
        <v>0</v>
      </c>
      <c r="AL451" s="501">
        <f t="shared" si="637"/>
        <v>0</v>
      </c>
      <c r="AM451" s="501">
        <f t="shared" si="638"/>
        <v>0</v>
      </c>
      <c r="AN451" s="502">
        <f t="shared" si="550"/>
        <v>0</v>
      </c>
      <c r="AO451" s="499">
        <f>I451+AF451</f>
        <v>333511</v>
      </c>
      <c r="AP451" s="486">
        <f>J451+V451</f>
        <v>244735</v>
      </c>
      <c r="AQ451" s="486">
        <f>K451+Y451</f>
        <v>0</v>
      </c>
      <c r="AR451" s="486">
        <f>L451</f>
        <v>0</v>
      </c>
      <c r="AS451" s="486">
        <f>M451+AA451</f>
        <v>82721</v>
      </c>
      <c r="AT451" s="486">
        <f>N451+AB451</f>
        <v>4895</v>
      </c>
      <c r="AU451" s="486">
        <f>O451+AE451</f>
        <v>1160</v>
      </c>
      <c r="AV451" s="501">
        <f>P451+AN451</f>
        <v>0.83000000000000007</v>
      </c>
      <c r="AW451" s="501">
        <f>Q451+AL451</f>
        <v>0</v>
      </c>
      <c r="AX451" s="502">
        <f>R451+AM451</f>
        <v>0.83000000000000007</v>
      </c>
    </row>
    <row r="452" spans="1:50" ht="14.1" customHeight="1" x14ac:dyDescent="0.2">
      <c r="A452" s="187">
        <v>89</v>
      </c>
      <c r="B452" s="186">
        <v>2331</v>
      </c>
      <c r="C452" s="598">
        <v>691014302</v>
      </c>
      <c r="D452" s="186" t="s">
        <v>805</v>
      </c>
      <c r="E452" s="599" t="s">
        <v>813</v>
      </c>
      <c r="F452" s="665"/>
      <c r="G452" s="578"/>
      <c r="H452" s="600"/>
      <c r="I452" s="580">
        <v>2212150</v>
      </c>
      <c r="J452" s="581">
        <v>1603084</v>
      </c>
      <c r="K452" s="581">
        <v>0</v>
      </c>
      <c r="L452" s="581">
        <v>0</v>
      </c>
      <c r="M452" s="581">
        <v>541843</v>
      </c>
      <c r="N452" s="581">
        <v>32062</v>
      </c>
      <c r="O452" s="581">
        <v>35161</v>
      </c>
      <c r="P452" s="582">
        <v>3.9849000000000001</v>
      </c>
      <c r="Q452" s="582">
        <v>2.37</v>
      </c>
      <c r="R452" s="584">
        <v>1.6149</v>
      </c>
      <c r="S452" s="583">
        <f t="shared" ref="S452:AX452" si="639">SUM(S450:S451)</f>
        <v>0</v>
      </c>
      <c r="T452" s="581">
        <f t="shared" si="639"/>
        <v>0</v>
      </c>
      <c r="U452" s="581">
        <f t="shared" si="639"/>
        <v>0</v>
      </c>
      <c r="V452" s="581">
        <f t="shared" si="639"/>
        <v>0</v>
      </c>
      <c r="W452" s="581">
        <f t="shared" si="639"/>
        <v>0</v>
      </c>
      <c r="X452" s="581">
        <f t="shared" si="639"/>
        <v>0</v>
      </c>
      <c r="Y452" s="581">
        <f t="shared" si="639"/>
        <v>0</v>
      </c>
      <c r="Z452" s="581">
        <f t="shared" si="639"/>
        <v>0</v>
      </c>
      <c r="AA452" s="581">
        <f t="shared" si="639"/>
        <v>0</v>
      </c>
      <c r="AB452" s="583">
        <f t="shared" si="639"/>
        <v>0</v>
      </c>
      <c r="AC452" s="581">
        <f t="shared" si="639"/>
        <v>0</v>
      </c>
      <c r="AD452" s="581">
        <f t="shared" si="639"/>
        <v>0</v>
      </c>
      <c r="AE452" s="581">
        <f t="shared" si="639"/>
        <v>0</v>
      </c>
      <c r="AF452" s="581">
        <f t="shared" si="639"/>
        <v>0</v>
      </c>
      <c r="AG452" s="582">
        <f t="shared" si="639"/>
        <v>0</v>
      </c>
      <c r="AH452" s="582">
        <f t="shared" si="639"/>
        <v>0</v>
      </c>
      <c r="AI452" s="582">
        <f t="shared" si="639"/>
        <v>0</v>
      </c>
      <c r="AJ452" s="582">
        <f t="shared" si="639"/>
        <v>0</v>
      </c>
      <c r="AK452" s="582">
        <f t="shared" si="639"/>
        <v>0</v>
      </c>
      <c r="AL452" s="582">
        <f t="shared" si="639"/>
        <v>0</v>
      </c>
      <c r="AM452" s="582">
        <f t="shared" si="639"/>
        <v>0</v>
      </c>
      <c r="AN452" s="584">
        <f t="shared" si="639"/>
        <v>0</v>
      </c>
      <c r="AO452" s="601">
        <f t="shared" si="639"/>
        <v>2212150</v>
      </c>
      <c r="AP452" s="603">
        <f t="shared" si="639"/>
        <v>1603084</v>
      </c>
      <c r="AQ452" s="603">
        <f t="shared" si="639"/>
        <v>0</v>
      </c>
      <c r="AR452" s="603">
        <f t="shared" si="639"/>
        <v>0</v>
      </c>
      <c r="AS452" s="603">
        <f t="shared" si="639"/>
        <v>541843</v>
      </c>
      <c r="AT452" s="603">
        <f t="shared" si="639"/>
        <v>32062</v>
      </c>
      <c r="AU452" s="603">
        <f t="shared" si="639"/>
        <v>35161</v>
      </c>
      <c r="AV452" s="604">
        <f t="shared" si="639"/>
        <v>3.9849000000000001</v>
      </c>
      <c r="AW452" s="604">
        <f t="shared" si="639"/>
        <v>2.37</v>
      </c>
      <c r="AX452" s="605">
        <f t="shared" si="639"/>
        <v>1.6149</v>
      </c>
    </row>
    <row r="453" spans="1:50" s="642" customFormat="1" ht="14.1" customHeight="1" x14ac:dyDescent="0.2">
      <c r="A453" s="643">
        <v>90</v>
      </c>
      <c r="B453" s="644">
        <v>2332</v>
      </c>
      <c r="C453" s="644">
        <v>691015295</v>
      </c>
      <c r="D453" s="645">
        <v>10988122</v>
      </c>
      <c r="E453" s="646" t="s">
        <v>832</v>
      </c>
      <c r="F453" s="647">
        <v>3111</v>
      </c>
      <c r="G453" s="648" t="s">
        <v>317</v>
      </c>
      <c r="H453" s="589" t="s">
        <v>283</v>
      </c>
      <c r="I453" s="519">
        <v>1508841</v>
      </c>
      <c r="J453" s="520">
        <v>1085303</v>
      </c>
      <c r="K453" s="520">
        <v>0</v>
      </c>
      <c r="L453" s="520">
        <v>0</v>
      </c>
      <c r="M453" s="475">
        <v>366832</v>
      </c>
      <c r="N453" s="475">
        <v>21706</v>
      </c>
      <c r="O453" s="520">
        <v>35000</v>
      </c>
      <c r="P453" s="522">
        <v>2.8200000000000003</v>
      </c>
      <c r="Q453" s="655">
        <v>2.16</v>
      </c>
      <c r="R453" s="690">
        <v>0.66</v>
      </c>
      <c r="S453" s="499">
        <v>0</v>
      </c>
      <c r="T453" s="486">
        <v>0</v>
      </c>
      <c r="U453" s="486">
        <v>0</v>
      </c>
      <c r="V453" s="486">
        <f>SUM(S453:U453)</f>
        <v>0</v>
      </c>
      <c r="W453" s="486">
        <v>0</v>
      </c>
      <c r="X453" s="486">
        <v>0</v>
      </c>
      <c r="Y453" s="486">
        <f>SUM(W453:X453)</f>
        <v>0</v>
      </c>
      <c r="Z453" s="486">
        <f>V453+Y453</f>
        <v>0</v>
      </c>
      <c r="AA453" s="178">
        <f t="shared" si="544"/>
        <v>0</v>
      </c>
      <c r="AB453" s="745">
        <f>ROUND(V453*2%,0)</f>
        <v>0</v>
      </c>
      <c r="AC453" s="486">
        <v>0</v>
      </c>
      <c r="AD453" s="486">
        <v>0</v>
      </c>
      <c r="AE453" s="486">
        <f t="shared" ref="AE453:AE454" si="640">SUM(AC453:AD453)</f>
        <v>0</v>
      </c>
      <c r="AF453" s="486">
        <f t="shared" ref="AF453:AF454" si="641">Z453+AA453+AB453+AE453</f>
        <v>0</v>
      </c>
      <c r="AG453" s="501">
        <v>0</v>
      </c>
      <c r="AH453" s="501">
        <v>0</v>
      </c>
      <c r="AI453" s="501">
        <v>0</v>
      </c>
      <c r="AJ453" s="501">
        <v>0</v>
      </c>
      <c r="AK453" s="501">
        <v>0</v>
      </c>
      <c r="AL453" s="501">
        <f t="shared" ref="AL453:AL454" si="642">AG453+AI453+AJ453</f>
        <v>0</v>
      </c>
      <c r="AM453" s="501">
        <f t="shared" ref="AM453:AM454" si="643">AH453+AK453</f>
        <v>0</v>
      </c>
      <c r="AN453" s="502">
        <f t="shared" ref="AN453:AN454" si="644">SUM(AL453:AM453)</f>
        <v>0</v>
      </c>
      <c r="AO453" s="499">
        <f>I453+AF453</f>
        <v>1508841</v>
      </c>
      <c r="AP453" s="486">
        <f>J453+V453</f>
        <v>1085303</v>
      </c>
      <c r="AQ453" s="486">
        <f>K453+Y453</f>
        <v>0</v>
      </c>
      <c r="AR453" s="486">
        <f>L453</f>
        <v>0</v>
      </c>
      <c r="AS453" s="486">
        <f>M453+AA453</f>
        <v>366832</v>
      </c>
      <c r="AT453" s="486">
        <f>N453+AB453</f>
        <v>21706</v>
      </c>
      <c r="AU453" s="486">
        <f>O453+AE453</f>
        <v>35000</v>
      </c>
      <c r="AV453" s="501">
        <f>P453+AN453</f>
        <v>2.8200000000000003</v>
      </c>
      <c r="AW453" s="501">
        <f>Q453+AL453</f>
        <v>2.16</v>
      </c>
      <c r="AX453" s="502">
        <f>R453+AM453</f>
        <v>0.66</v>
      </c>
    </row>
    <row r="454" spans="1:50" s="642" customFormat="1" ht="14.1" customHeight="1" x14ac:dyDescent="0.2">
      <c r="A454" s="770">
        <v>90</v>
      </c>
      <c r="B454" s="649">
        <v>2332</v>
      </c>
      <c r="C454" s="644">
        <v>691015295</v>
      </c>
      <c r="D454" s="645">
        <v>10988122</v>
      </c>
      <c r="E454" s="646" t="s">
        <v>832</v>
      </c>
      <c r="F454" s="650">
        <v>3141</v>
      </c>
      <c r="G454" s="651" t="s">
        <v>321</v>
      </c>
      <c r="H454" s="589" t="s">
        <v>284</v>
      </c>
      <c r="I454" s="495">
        <v>84545</v>
      </c>
      <c r="J454" s="496">
        <v>62257</v>
      </c>
      <c r="K454" s="475">
        <v>0</v>
      </c>
      <c r="L454" s="475">
        <v>0</v>
      </c>
      <c r="M454" s="475">
        <v>21043</v>
      </c>
      <c r="N454" s="496">
        <v>1245</v>
      </c>
      <c r="O454" s="496">
        <v>0</v>
      </c>
      <c r="P454" s="412">
        <v>0.21</v>
      </c>
      <c r="Q454" s="497">
        <v>0</v>
      </c>
      <c r="R454" s="498">
        <v>0.21</v>
      </c>
      <c r="S454" s="499">
        <v>0</v>
      </c>
      <c r="T454" s="486">
        <v>0</v>
      </c>
      <c r="U454" s="486">
        <v>0</v>
      </c>
      <c r="V454" s="486">
        <f>SUM(S454:U454)</f>
        <v>0</v>
      </c>
      <c r="W454" s="486">
        <v>0</v>
      </c>
      <c r="X454" s="486">
        <v>0</v>
      </c>
      <c r="Y454" s="486">
        <f>SUM(W454:X454)</f>
        <v>0</v>
      </c>
      <c r="Z454" s="486">
        <f>V454+Y454</f>
        <v>0</v>
      </c>
      <c r="AA454" s="178">
        <f t="shared" si="544"/>
        <v>0</v>
      </c>
      <c r="AB454" s="745">
        <f>ROUND(V454*2%,0)</f>
        <v>0</v>
      </c>
      <c r="AC454" s="486">
        <v>0</v>
      </c>
      <c r="AD454" s="486">
        <v>0</v>
      </c>
      <c r="AE454" s="486">
        <f t="shared" si="640"/>
        <v>0</v>
      </c>
      <c r="AF454" s="486">
        <f t="shared" si="641"/>
        <v>0</v>
      </c>
      <c r="AG454" s="501">
        <v>0</v>
      </c>
      <c r="AH454" s="501">
        <v>0</v>
      </c>
      <c r="AI454" s="501">
        <v>0</v>
      </c>
      <c r="AJ454" s="501">
        <v>0</v>
      </c>
      <c r="AK454" s="501">
        <v>0</v>
      </c>
      <c r="AL454" s="501">
        <f t="shared" si="642"/>
        <v>0</v>
      </c>
      <c r="AM454" s="501">
        <f t="shared" si="643"/>
        <v>0</v>
      </c>
      <c r="AN454" s="502">
        <f t="shared" si="644"/>
        <v>0</v>
      </c>
      <c r="AO454" s="499">
        <f>I454+AF454</f>
        <v>84545</v>
      </c>
      <c r="AP454" s="486">
        <f>J454+V454</f>
        <v>62257</v>
      </c>
      <c r="AQ454" s="486">
        <f>K454+Y454</f>
        <v>0</v>
      </c>
      <c r="AR454" s="486">
        <f>L454</f>
        <v>0</v>
      </c>
      <c r="AS454" s="486">
        <f>M454+AA454</f>
        <v>21043</v>
      </c>
      <c r="AT454" s="486">
        <f>N454+AB454</f>
        <v>1245</v>
      </c>
      <c r="AU454" s="486">
        <f>O454+AE454</f>
        <v>0</v>
      </c>
      <c r="AV454" s="501">
        <f>P454+AN454</f>
        <v>0.21</v>
      </c>
      <c r="AW454" s="501">
        <f>Q454+AL454</f>
        <v>0</v>
      </c>
      <c r="AX454" s="502">
        <f>R454+AM454</f>
        <v>0.21</v>
      </c>
    </row>
    <row r="455" spans="1:50" s="642" customFormat="1" ht="14.1" customHeight="1" thickBot="1" x14ac:dyDescent="0.25">
      <c r="A455" s="681">
        <v>90</v>
      </c>
      <c r="B455" s="652">
        <v>2332</v>
      </c>
      <c r="C455" s="652">
        <v>691015295</v>
      </c>
      <c r="D455" s="653">
        <v>10988122</v>
      </c>
      <c r="E455" s="667" t="s">
        <v>833</v>
      </c>
      <c r="F455" s="666"/>
      <c r="G455" s="654"/>
      <c r="H455" s="654"/>
      <c r="I455" s="602">
        <v>1593386</v>
      </c>
      <c r="J455" s="603">
        <v>1147560</v>
      </c>
      <c r="K455" s="603">
        <v>0</v>
      </c>
      <c r="L455" s="603">
        <v>0</v>
      </c>
      <c r="M455" s="603">
        <v>387875</v>
      </c>
      <c r="N455" s="603">
        <v>22951</v>
      </c>
      <c r="O455" s="603">
        <v>35000</v>
      </c>
      <c r="P455" s="604">
        <v>3.0300000000000002</v>
      </c>
      <c r="Q455" s="604">
        <v>2.16</v>
      </c>
      <c r="R455" s="605">
        <v>0.87</v>
      </c>
      <c r="S455" s="687">
        <f t="shared" ref="S455:T455" si="645">SUM(S453:S454)</f>
        <v>0</v>
      </c>
      <c r="T455" s="671">
        <f t="shared" si="645"/>
        <v>0</v>
      </c>
      <c r="U455" s="671">
        <f t="shared" ref="U455:X455" si="646">SUM(U453:U454)</f>
        <v>0</v>
      </c>
      <c r="V455" s="671">
        <f t="shared" si="646"/>
        <v>0</v>
      </c>
      <c r="W455" s="671">
        <f t="shared" si="646"/>
        <v>0</v>
      </c>
      <c r="X455" s="671">
        <f t="shared" si="646"/>
        <v>0</v>
      </c>
      <c r="Y455" s="671">
        <f t="shared" ref="Y455:AI455" si="647">SUM(Y453:Y454)</f>
        <v>0</v>
      </c>
      <c r="Z455" s="671">
        <f t="shared" si="647"/>
        <v>0</v>
      </c>
      <c r="AA455" s="671">
        <f t="shared" si="647"/>
        <v>0</v>
      </c>
      <c r="AB455" s="687">
        <f t="shared" si="647"/>
        <v>0</v>
      </c>
      <c r="AC455" s="671">
        <f t="shared" ref="AC455" si="648">SUM(AC453:AC454)</f>
        <v>0</v>
      </c>
      <c r="AD455" s="671">
        <f t="shared" si="647"/>
        <v>0</v>
      </c>
      <c r="AE455" s="671">
        <f t="shared" si="647"/>
        <v>0</v>
      </c>
      <c r="AF455" s="671">
        <f t="shared" si="647"/>
        <v>0</v>
      </c>
      <c r="AG455" s="672">
        <f t="shared" si="647"/>
        <v>0</v>
      </c>
      <c r="AH455" s="672">
        <f t="shared" si="647"/>
        <v>0</v>
      </c>
      <c r="AI455" s="672">
        <f t="shared" si="647"/>
        <v>0</v>
      </c>
      <c r="AJ455" s="672">
        <f t="shared" ref="AJ455:AX455" si="649">SUM(AJ453:AJ454)</f>
        <v>0</v>
      </c>
      <c r="AK455" s="672">
        <f t="shared" si="649"/>
        <v>0</v>
      </c>
      <c r="AL455" s="672">
        <f t="shared" si="649"/>
        <v>0</v>
      </c>
      <c r="AM455" s="672">
        <f t="shared" si="649"/>
        <v>0</v>
      </c>
      <c r="AN455" s="673">
        <f t="shared" si="649"/>
        <v>0</v>
      </c>
      <c r="AO455" s="601">
        <f t="shared" si="649"/>
        <v>1593386</v>
      </c>
      <c r="AP455" s="603">
        <f t="shared" si="649"/>
        <v>1147560</v>
      </c>
      <c r="AQ455" s="603">
        <f t="shared" si="649"/>
        <v>0</v>
      </c>
      <c r="AR455" s="603">
        <f t="shared" si="649"/>
        <v>0</v>
      </c>
      <c r="AS455" s="603">
        <f t="shared" si="649"/>
        <v>387875</v>
      </c>
      <c r="AT455" s="603">
        <f t="shared" si="649"/>
        <v>22951</v>
      </c>
      <c r="AU455" s="603">
        <f t="shared" si="649"/>
        <v>35000</v>
      </c>
      <c r="AV455" s="604">
        <f t="shared" si="649"/>
        <v>3.0300000000000002</v>
      </c>
      <c r="AW455" s="604">
        <f t="shared" si="649"/>
        <v>2.16</v>
      </c>
      <c r="AX455" s="605">
        <f t="shared" si="649"/>
        <v>0.87</v>
      </c>
    </row>
    <row r="456" spans="1:50" ht="14.1" customHeight="1" thickBot="1" x14ac:dyDescent="0.25">
      <c r="A456" s="233"/>
      <c r="B456" s="188"/>
      <c r="C456" s="188"/>
      <c r="D456" s="188"/>
      <c r="E456" s="189" t="s">
        <v>748</v>
      </c>
      <c r="F456" s="188"/>
      <c r="G456" s="188"/>
      <c r="H456" s="658"/>
      <c r="I456" s="656">
        <f>I455+I452+I449+I443+I436+I429+I422+I415+I408+I402+I399+I392+I385+I381+I375+I368+I366+I362+I355+I350+I343+I337+I329+I326+I322+I319+I317+I311+I307+I300+I293+I291+I283+I278+I271+I267+I261+I257+I253+I251+I244+I238+I232+I226+I220+I214+I208+I201+I195+I189+I182+I175+I169+I163+I157+I152+I146+I140+I134+I127+I120+I115+I112+I109+I105+I101+I98+I94+I90+I87+I83+I80+I77+I73+I68+I65+I61+I57+I53+I50+I47+I44+I40+I37+I34+I30+I27+I22+I18+I13</f>
        <v>1632746153</v>
      </c>
      <c r="J456" s="657">
        <f t="shared" ref="J456:AX456" si="650">J455+J452+J449+J443+J436+J429+J422+J415+J408+J402+J399+J392+J385+J381+J375+J368+J366+J362+J355+J350+J343+J337+J329+J326+J322+J319+J317+J311+J307+J300+J293+J291+J283+J278+J271+J267+J261+J257+J253+J251+J244+J238+J232+J226+J220+J214+J208+J201+J195+J189+J182+J175+J169+J163+J157+J152+J146+J140+J134+J127+J120+J115+J112+J109+J105+J101+J98+J94+J90+J87+J83+J80+J77+J73+J68+J65+J61+J57+J53+J50+J47+J44+J40+J37+J34+J30+J27+J22+J18+J13</f>
        <v>1165505172</v>
      </c>
      <c r="K456" s="657">
        <f t="shared" si="650"/>
        <v>10985240</v>
      </c>
      <c r="L456" s="657">
        <f t="shared" si="650"/>
        <v>4865231</v>
      </c>
      <c r="M456" s="657">
        <f t="shared" si="650"/>
        <v>395956097</v>
      </c>
      <c r="N456" s="657">
        <f t="shared" si="650"/>
        <v>23310103</v>
      </c>
      <c r="O456" s="657">
        <f t="shared" si="650"/>
        <v>36989541</v>
      </c>
      <c r="P456" s="663">
        <f t="shared" si="650"/>
        <v>2551.6908999999996</v>
      </c>
      <c r="Q456" s="663">
        <f t="shared" si="650"/>
        <v>1820.7553000000005</v>
      </c>
      <c r="R456" s="664">
        <f t="shared" si="650"/>
        <v>730.93559999999991</v>
      </c>
      <c r="S456" s="688">
        <f t="shared" si="650"/>
        <v>208673</v>
      </c>
      <c r="T456" s="668">
        <f t="shared" si="650"/>
        <v>128471</v>
      </c>
      <c r="U456" s="668">
        <f t="shared" si="650"/>
        <v>21030</v>
      </c>
      <c r="V456" s="668">
        <f t="shared" si="650"/>
        <v>358174</v>
      </c>
      <c r="W456" s="668">
        <f t="shared" si="650"/>
        <v>-208673</v>
      </c>
      <c r="X456" s="668">
        <f t="shared" si="650"/>
        <v>0</v>
      </c>
      <c r="Y456" s="657">
        <f t="shared" si="650"/>
        <v>-208673</v>
      </c>
      <c r="Z456" s="657">
        <f t="shared" si="650"/>
        <v>149501</v>
      </c>
      <c r="AA456" s="746">
        <f t="shared" si="650"/>
        <v>50532</v>
      </c>
      <c r="AB456" s="688">
        <f t="shared" si="650"/>
        <v>7166</v>
      </c>
      <c r="AC456" s="668">
        <f t="shared" si="650"/>
        <v>22000</v>
      </c>
      <c r="AD456" s="668">
        <f t="shared" si="650"/>
        <v>371104</v>
      </c>
      <c r="AE456" s="668">
        <f t="shared" si="650"/>
        <v>393104</v>
      </c>
      <c r="AF456" s="668">
        <f t="shared" si="650"/>
        <v>600303</v>
      </c>
      <c r="AG456" s="669">
        <f t="shared" si="650"/>
        <v>0</v>
      </c>
      <c r="AH456" s="669">
        <f t="shared" si="650"/>
        <v>0</v>
      </c>
      <c r="AI456" s="669">
        <f t="shared" si="650"/>
        <v>0.33</v>
      </c>
      <c r="AJ456" s="669">
        <f t="shared" si="650"/>
        <v>0.43</v>
      </c>
      <c r="AK456" s="669">
        <f t="shared" si="650"/>
        <v>0</v>
      </c>
      <c r="AL456" s="669">
        <f t="shared" si="650"/>
        <v>0.7599999999999999</v>
      </c>
      <c r="AM456" s="669">
        <f t="shared" si="650"/>
        <v>0</v>
      </c>
      <c r="AN456" s="670">
        <f t="shared" si="650"/>
        <v>0.7599999999999999</v>
      </c>
      <c r="AO456" s="656">
        <f t="shared" si="650"/>
        <v>1633346456</v>
      </c>
      <c r="AP456" s="657">
        <f t="shared" si="650"/>
        <v>1165863346</v>
      </c>
      <c r="AQ456" s="657">
        <f t="shared" si="650"/>
        <v>10776567</v>
      </c>
      <c r="AR456" s="657">
        <f t="shared" si="650"/>
        <v>4865231</v>
      </c>
      <c r="AS456" s="657">
        <f t="shared" si="650"/>
        <v>396006629</v>
      </c>
      <c r="AT456" s="657">
        <f t="shared" si="650"/>
        <v>23317269</v>
      </c>
      <c r="AU456" s="657">
        <f t="shared" si="650"/>
        <v>37382645</v>
      </c>
      <c r="AV456" s="663">
        <f t="shared" si="650"/>
        <v>2552.4508999999994</v>
      </c>
      <c r="AW456" s="663">
        <f t="shared" si="650"/>
        <v>1821.5153000000005</v>
      </c>
      <c r="AX456" s="664">
        <f t="shared" si="650"/>
        <v>730.93559999999991</v>
      </c>
    </row>
    <row r="457" spans="1:50" ht="14.1" customHeight="1" x14ac:dyDescent="0.2">
      <c r="I457" s="509">
        <f>J456+K456+M456+N456+O456</f>
        <v>1632746153</v>
      </c>
      <c r="P457" s="510">
        <f>SUM(Q456:R456)</f>
        <v>2551.6909000000005</v>
      </c>
      <c r="S457" s="509">
        <f>W456</f>
        <v>-208673</v>
      </c>
      <c r="T457" s="191"/>
      <c r="U457" s="191"/>
      <c r="V457" s="659">
        <f>SUM(S456:U456)</f>
        <v>358174</v>
      </c>
      <c r="W457" s="607"/>
      <c r="X457" s="607"/>
      <c r="Y457" s="606">
        <f>SUM(W456:X456)</f>
        <v>-208673</v>
      </c>
      <c r="Z457" s="659">
        <f>V456+Y456</f>
        <v>149501</v>
      </c>
      <c r="AA457" s="260"/>
      <c r="AB457" s="260"/>
      <c r="AC457" s="660"/>
      <c r="AD457" s="660"/>
      <c r="AE457" s="659">
        <f>SUM(AC456:AD456)</f>
        <v>393104</v>
      </c>
      <c r="AF457" s="659">
        <f>Z456+AA456+AB456+AE456</f>
        <v>600303</v>
      </c>
      <c r="AG457" s="661"/>
      <c r="AH457" s="661"/>
      <c r="AI457" s="661"/>
      <c r="AJ457" s="661"/>
      <c r="AK457" s="661"/>
      <c r="AL457" s="662">
        <f>AG456+AI456+AJ456</f>
        <v>0.76</v>
      </c>
      <c r="AM457" s="662">
        <f>AH456+AK456</f>
        <v>0</v>
      </c>
      <c r="AN457" s="662">
        <f>SUM(AL456:AM456)</f>
        <v>0.7599999999999999</v>
      </c>
      <c r="AO457" s="318">
        <f>AP456+AQ456+AS456+AT456+AU456</f>
        <v>1633346456</v>
      </c>
      <c r="AP457" s="190"/>
      <c r="AQ457" s="190"/>
      <c r="AR457" s="318"/>
      <c r="AS457" s="190"/>
      <c r="AT457" s="190"/>
      <c r="AU457" s="190"/>
      <c r="AV457" s="191">
        <f>SUM(AW456:AX456)</f>
        <v>2552.4509000000003</v>
      </c>
      <c r="AW457" s="190"/>
      <c r="AX457" s="190"/>
    </row>
    <row r="458" spans="1:50" ht="14.1" customHeight="1" thickBot="1" x14ac:dyDescent="0.25">
      <c r="H458" s="193"/>
      <c r="I458" s="192">
        <f ca="1">J459+K459+M459+N459+O459</f>
        <v>1632746153</v>
      </c>
      <c r="J458" s="193"/>
      <c r="K458" s="193"/>
      <c r="L458" s="193"/>
      <c r="M458" s="193"/>
      <c r="N458" s="193"/>
      <c r="O458" s="193"/>
      <c r="P458" s="194">
        <f ca="1">SUM(Q459:R459)</f>
        <v>2551.6909000000005</v>
      </c>
      <c r="Q458" s="339"/>
      <c r="R458" s="339"/>
      <c r="S458" s="355"/>
      <c r="T458" s="355"/>
      <c r="U458" s="355"/>
      <c r="V458" s="511">
        <f ca="1">SUM(S459:U459)</f>
        <v>358174</v>
      </c>
      <c r="W458" s="512"/>
      <c r="X458" s="512"/>
      <c r="Y458" s="511">
        <f ca="1">SUM(W459:X459)</f>
        <v>-208673</v>
      </c>
      <c r="Z458" s="511">
        <f ca="1">V459+Y459</f>
        <v>149501</v>
      </c>
      <c r="AA458" s="354"/>
      <c r="AB458" s="354"/>
      <c r="AC458" s="512"/>
      <c r="AD458" s="512"/>
      <c r="AE458" s="511">
        <f ca="1">SUM(AC459:AD459)</f>
        <v>393104</v>
      </c>
      <c r="AF458" s="511">
        <f ca="1">Z459+AA459+AB459+AE459</f>
        <v>600303</v>
      </c>
      <c r="AG458" s="513"/>
      <c r="AH458" s="513"/>
      <c r="AI458" s="513"/>
      <c r="AJ458" s="513"/>
      <c r="AK458" s="513"/>
      <c r="AL458" s="514">
        <f ca="1">AG459+AI459+AJ459</f>
        <v>0.76</v>
      </c>
      <c r="AM458" s="514">
        <f ca="1">AH459+AK459</f>
        <v>0</v>
      </c>
      <c r="AN458" s="514">
        <f ca="1">SUM(AL459:AM459)</f>
        <v>0.76000000000000012</v>
      </c>
      <c r="AO458" s="362">
        <f ca="1">AP459+AQ459+AS459+AT459+AU459</f>
        <v>1633346456</v>
      </c>
      <c r="AP458" s="363"/>
      <c r="AQ458" s="363"/>
      <c r="AR458" s="683"/>
      <c r="AS458" s="363"/>
      <c r="AT458" s="363"/>
      <c r="AU458" s="363"/>
      <c r="AV458" s="355">
        <f ca="1">SUM(AW459:AX459)</f>
        <v>2552.4509000000007</v>
      </c>
      <c r="AW458" s="363"/>
      <c r="AX458" s="363"/>
    </row>
    <row r="459" spans="1:50" customFormat="1" ht="13.5" thickBot="1" x14ac:dyDescent="0.25">
      <c r="D459" s="16"/>
      <c r="E459" s="12"/>
      <c r="F459" s="16"/>
      <c r="G459" s="36"/>
      <c r="H459" s="41" t="s">
        <v>0</v>
      </c>
      <c r="I459" s="255">
        <f t="shared" ref="I459:AX459" ca="1" si="651">SUM(I460:I469)</f>
        <v>1632746153</v>
      </c>
      <c r="J459" s="46">
        <f t="shared" ca="1" si="651"/>
        <v>1165505172</v>
      </c>
      <c r="K459" s="46">
        <f t="shared" ca="1" si="651"/>
        <v>10985240</v>
      </c>
      <c r="L459" s="46">
        <f t="shared" ref="L459" ca="1" si="652">SUM(L460:L469)</f>
        <v>4865231</v>
      </c>
      <c r="M459" s="46">
        <f t="shared" ca="1" si="651"/>
        <v>395956097</v>
      </c>
      <c r="N459" s="46">
        <f t="shared" ca="1" si="651"/>
        <v>23310103</v>
      </c>
      <c r="O459" s="46">
        <f t="shared" ca="1" si="651"/>
        <v>36989541</v>
      </c>
      <c r="P459" s="47">
        <f t="shared" ca="1" si="651"/>
        <v>2551.6909000000005</v>
      </c>
      <c r="Q459" s="47">
        <f t="shared" ca="1" si="651"/>
        <v>1820.7553000000003</v>
      </c>
      <c r="R459" s="48">
        <f t="shared" ca="1" si="651"/>
        <v>730.93560000000002</v>
      </c>
      <c r="S459" s="356">
        <f t="shared" ca="1" si="651"/>
        <v>208673</v>
      </c>
      <c r="T459" s="357">
        <f t="shared" ca="1" si="651"/>
        <v>128471</v>
      </c>
      <c r="U459" s="357">
        <f t="shared" ca="1" si="651"/>
        <v>21030</v>
      </c>
      <c r="V459" s="357">
        <f t="shared" ca="1" si="651"/>
        <v>358174</v>
      </c>
      <c r="W459" s="357">
        <f t="shared" ca="1" si="651"/>
        <v>-208673</v>
      </c>
      <c r="X459" s="357">
        <f t="shared" ca="1" si="651"/>
        <v>0</v>
      </c>
      <c r="Y459" s="357">
        <f t="shared" ca="1" si="651"/>
        <v>-208673</v>
      </c>
      <c r="Z459" s="357">
        <f t="shared" ca="1" si="651"/>
        <v>149501</v>
      </c>
      <c r="AA459" s="357">
        <f t="shared" ca="1" si="651"/>
        <v>50532</v>
      </c>
      <c r="AB459" s="357">
        <f t="shared" ca="1" si="651"/>
        <v>7166</v>
      </c>
      <c r="AC459" s="357">
        <f t="shared" ca="1" si="651"/>
        <v>22000</v>
      </c>
      <c r="AD459" s="357">
        <f t="shared" ca="1" si="651"/>
        <v>371104</v>
      </c>
      <c r="AE459" s="357">
        <f t="shared" ca="1" si="651"/>
        <v>393104</v>
      </c>
      <c r="AF459" s="357">
        <f t="shared" ca="1" si="651"/>
        <v>600303</v>
      </c>
      <c r="AG459" s="358">
        <f t="shared" ca="1" si="651"/>
        <v>0</v>
      </c>
      <c r="AH459" s="358">
        <f t="shared" ca="1" si="651"/>
        <v>0</v>
      </c>
      <c r="AI459" s="358">
        <f t="shared" ca="1" si="651"/>
        <v>0.33</v>
      </c>
      <c r="AJ459" s="358">
        <f t="shared" ca="1" si="651"/>
        <v>0.43</v>
      </c>
      <c r="AK459" s="358">
        <f t="shared" ca="1" si="651"/>
        <v>0</v>
      </c>
      <c r="AL459" s="358">
        <f t="shared" ca="1" si="651"/>
        <v>0.76000000000000012</v>
      </c>
      <c r="AM459" s="358">
        <f t="shared" ca="1" si="651"/>
        <v>0</v>
      </c>
      <c r="AN459" s="359">
        <f t="shared" ca="1" si="651"/>
        <v>0.76000000000000012</v>
      </c>
      <c r="AO459" s="360">
        <f t="shared" ca="1" si="651"/>
        <v>1633346456</v>
      </c>
      <c r="AP459" s="357">
        <f t="shared" ca="1" si="651"/>
        <v>1165863346</v>
      </c>
      <c r="AQ459" s="357">
        <f t="shared" ca="1" si="651"/>
        <v>10776567</v>
      </c>
      <c r="AR459" s="357">
        <f t="shared" ref="AR459" ca="1" si="653">SUM(AR460:AR469)</f>
        <v>4865231</v>
      </c>
      <c r="AS459" s="357">
        <f t="shared" ca="1" si="651"/>
        <v>396006629</v>
      </c>
      <c r="AT459" s="357">
        <f t="shared" ca="1" si="651"/>
        <v>23317269</v>
      </c>
      <c r="AU459" s="357">
        <f t="shared" ca="1" si="651"/>
        <v>37382645</v>
      </c>
      <c r="AV459" s="358">
        <f t="shared" ca="1" si="651"/>
        <v>2552.4509000000003</v>
      </c>
      <c r="AW459" s="358">
        <f t="shared" ca="1" si="651"/>
        <v>1821.5153000000005</v>
      </c>
      <c r="AX459" s="361">
        <f t="shared" ca="1" si="651"/>
        <v>730.93560000000002</v>
      </c>
    </row>
    <row r="460" spans="1:50" customFormat="1" ht="12.75" x14ac:dyDescent="0.2">
      <c r="D460" s="16"/>
      <c r="E460" s="12"/>
      <c r="F460" s="16"/>
      <c r="G460" s="36"/>
      <c r="H460" s="262">
        <v>3111</v>
      </c>
      <c r="I460" s="321">
        <f t="shared" ref="I460:AX460" ca="1" si="654">SUMIF($F$12:$F$456,"=3111",I$12:I$406)</f>
        <v>341207090</v>
      </c>
      <c r="J460" s="322">
        <f t="shared" ca="1" si="654"/>
        <v>247629938</v>
      </c>
      <c r="K460" s="322">
        <f t="shared" ca="1" si="654"/>
        <v>695578</v>
      </c>
      <c r="L460" s="322">
        <f t="shared" ca="1" si="654"/>
        <v>0</v>
      </c>
      <c r="M460" s="322">
        <f t="shared" ca="1" si="654"/>
        <v>83934020</v>
      </c>
      <c r="N460" s="322">
        <f t="shared" ca="1" si="654"/>
        <v>4952599</v>
      </c>
      <c r="O460" s="322">
        <f t="shared" ca="1" si="654"/>
        <v>3994955</v>
      </c>
      <c r="P460" s="323">
        <f t="shared" ca="1" si="654"/>
        <v>590.57620000000009</v>
      </c>
      <c r="Q460" s="323">
        <f t="shared" ca="1" si="654"/>
        <v>449.87149999999991</v>
      </c>
      <c r="R460" s="324">
        <f t="shared" ca="1" si="654"/>
        <v>140.7047</v>
      </c>
      <c r="S460" s="325">
        <f t="shared" ca="1" si="654"/>
        <v>48428</v>
      </c>
      <c r="T460" s="322">
        <f t="shared" ca="1" si="654"/>
        <v>56600</v>
      </c>
      <c r="U460" s="322">
        <f t="shared" ca="1" si="654"/>
        <v>-140723</v>
      </c>
      <c r="V460" s="322">
        <f t="shared" ca="1" si="654"/>
        <v>-35695</v>
      </c>
      <c r="W460" s="322">
        <f t="shared" ca="1" si="654"/>
        <v>-48428</v>
      </c>
      <c r="X460" s="322">
        <f t="shared" ca="1" si="654"/>
        <v>0</v>
      </c>
      <c r="Y460" s="322">
        <f t="shared" ca="1" si="654"/>
        <v>-48428</v>
      </c>
      <c r="Z460" s="322">
        <f t="shared" ca="1" si="654"/>
        <v>-84123</v>
      </c>
      <c r="AA460" s="322">
        <f t="shared" ca="1" si="654"/>
        <v>-28435</v>
      </c>
      <c r="AB460" s="322">
        <f t="shared" ca="1" si="654"/>
        <v>-713</v>
      </c>
      <c r="AC460" s="322">
        <f t="shared" ca="1" si="654"/>
        <v>0</v>
      </c>
      <c r="AD460" s="322">
        <f t="shared" ca="1" si="654"/>
        <v>236102</v>
      </c>
      <c r="AE460" s="322">
        <f t="shared" ca="1" si="654"/>
        <v>236102</v>
      </c>
      <c r="AF460" s="322">
        <f t="shared" ca="1" si="654"/>
        <v>122831</v>
      </c>
      <c r="AG460" s="323">
        <f t="shared" ca="1" si="654"/>
        <v>0</v>
      </c>
      <c r="AH460" s="323">
        <f t="shared" ca="1" si="654"/>
        <v>0</v>
      </c>
      <c r="AI460" s="323">
        <f t="shared" ca="1" si="654"/>
        <v>0.15</v>
      </c>
      <c r="AJ460" s="323">
        <f t="shared" ca="1" si="654"/>
        <v>0</v>
      </c>
      <c r="AK460" s="323">
        <f t="shared" ca="1" si="654"/>
        <v>0</v>
      </c>
      <c r="AL460" s="323">
        <f t="shared" ca="1" si="654"/>
        <v>0.15</v>
      </c>
      <c r="AM460" s="323">
        <f t="shared" ca="1" si="654"/>
        <v>0</v>
      </c>
      <c r="AN460" s="365">
        <f t="shared" ca="1" si="654"/>
        <v>0.15</v>
      </c>
      <c r="AO460" s="321">
        <f t="shared" ca="1" si="654"/>
        <v>341329921</v>
      </c>
      <c r="AP460" s="322">
        <f t="shared" ca="1" si="654"/>
        <v>247594243</v>
      </c>
      <c r="AQ460" s="322">
        <f t="shared" ca="1" si="654"/>
        <v>647150</v>
      </c>
      <c r="AR460" s="322">
        <f t="shared" ca="1" si="654"/>
        <v>0</v>
      </c>
      <c r="AS460" s="322">
        <f t="shared" ca="1" si="654"/>
        <v>83905585</v>
      </c>
      <c r="AT460" s="322">
        <f t="shared" ca="1" si="654"/>
        <v>4951886</v>
      </c>
      <c r="AU460" s="322">
        <f t="shared" ca="1" si="654"/>
        <v>4231057</v>
      </c>
      <c r="AV460" s="323">
        <f t="shared" ca="1" si="654"/>
        <v>590.72620000000018</v>
      </c>
      <c r="AW460" s="323">
        <f t="shared" ca="1" si="654"/>
        <v>450.02149999999995</v>
      </c>
      <c r="AX460" s="401">
        <f t="shared" ca="1" si="654"/>
        <v>140.7047</v>
      </c>
    </row>
    <row r="461" spans="1:50" customFormat="1" ht="12.75" x14ac:dyDescent="0.2">
      <c r="D461" s="16"/>
      <c r="E461" s="12"/>
      <c r="F461" s="16"/>
      <c r="G461" s="36"/>
      <c r="H461" s="28">
        <v>3113</v>
      </c>
      <c r="I461" s="327">
        <f t="shared" ref="I461:AX461" si="655">SUMIF($F$12:$F$456,"=3113",I$12:I$456)</f>
        <v>905867649</v>
      </c>
      <c r="J461" s="328">
        <f t="shared" si="655"/>
        <v>639824115</v>
      </c>
      <c r="K461" s="328">
        <f t="shared" si="655"/>
        <v>6769207</v>
      </c>
      <c r="L461" s="328">
        <f t="shared" si="655"/>
        <v>4722989</v>
      </c>
      <c r="M461" s="328">
        <f t="shared" si="655"/>
        <v>216927298</v>
      </c>
      <c r="N461" s="328">
        <f t="shared" si="655"/>
        <v>12796479</v>
      </c>
      <c r="O461" s="328">
        <f t="shared" si="655"/>
        <v>29550550</v>
      </c>
      <c r="P461" s="329">
        <f t="shared" si="655"/>
        <v>1267.7247000000004</v>
      </c>
      <c r="Q461" s="329">
        <f t="shared" si="655"/>
        <v>1013.6542000000002</v>
      </c>
      <c r="R461" s="330">
        <f t="shared" si="655"/>
        <v>254.07050000000007</v>
      </c>
      <c r="S461" s="331">
        <f t="shared" si="655"/>
        <v>60000</v>
      </c>
      <c r="T461" s="328">
        <f t="shared" si="655"/>
        <v>69981</v>
      </c>
      <c r="U461" s="328">
        <f t="shared" si="655"/>
        <v>176481</v>
      </c>
      <c r="V461" s="328">
        <f t="shared" si="655"/>
        <v>306462</v>
      </c>
      <c r="W461" s="328">
        <f t="shared" si="655"/>
        <v>-60000</v>
      </c>
      <c r="X461" s="328">
        <f t="shared" si="655"/>
        <v>0</v>
      </c>
      <c r="Y461" s="328">
        <f t="shared" si="655"/>
        <v>-60000</v>
      </c>
      <c r="Z461" s="328">
        <f t="shared" si="655"/>
        <v>246462</v>
      </c>
      <c r="AA461" s="328">
        <f t="shared" si="655"/>
        <v>83306</v>
      </c>
      <c r="AB461" s="328">
        <f t="shared" si="655"/>
        <v>6131</v>
      </c>
      <c r="AC461" s="328">
        <f t="shared" si="655"/>
        <v>22000</v>
      </c>
      <c r="AD461" s="328">
        <f t="shared" si="655"/>
        <v>115001</v>
      </c>
      <c r="AE461" s="328">
        <f t="shared" si="655"/>
        <v>137001</v>
      </c>
      <c r="AF461" s="328">
        <f t="shared" si="655"/>
        <v>472900</v>
      </c>
      <c r="AG461" s="329">
        <f t="shared" si="655"/>
        <v>0</v>
      </c>
      <c r="AH461" s="329">
        <f t="shared" si="655"/>
        <v>0</v>
      </c>
      <c r="AI461" s="329">
        <f t="shared" si="655"/>
        <v>0.18000000000000002</v>
      </c>
      <c r="AJ461" s="329">
        <f t="shared" si="655"/>
        <v>0.43</v>
      </c>
      <c r="AK461" s="329">
        <f t="shared" si="655"/>
        <v>0</v>
      </c>
      <c r="AL461" s="329">
        <f t="shared" si="655"/>
        <v>0.6100000000000001</v>
      </c>
      <c r="AM461" s="329">
        <f t="shared" si="655"/>
        <v>0</v>
      </c>
      <c r="AN461" s="366">
        <f t="shared" si="655"/>
        <v>0.6100000000000001</v>
      </c>
      <c r="AO461" s="327">
        <f t="shared" si="655"/>
        <v>906340549</v>
      </c>
      <c r="AP461" s="328">
        <f t="shared" si="655"/>
        <v>640130577</v>
      </c>
      <c r="AQ461" s="328">
        <f t="shared" si="655"/>
        <v>6709207</v>
      </c>
      <c r="AR461" s="328">
        <f t="shared" si="655"/>
        <v>4722989</v>
      </c>
      <c r="AS461" s="328">
        <f t="shared" si="655"/>
        <v>217010604</v>
      </c>
      <c r="AT461" s="328">
        <f t="shared" si="655"/>
        <v>12802610</v>
      </c>
      <c r="AU461" s="328">
        <f t="shared" si="655"/>
        <v>29687551</v>
      </c>
      <c r="AV461" s="329">
        <f t="shared" si="655"/>
        <v>1268.3347000000003</v>
      </c>
      <c r="AW461" s="329">
        <f t="shared" si="655"/>
        <v>1014.2642000000004</v>
      </c>
      <c r="AX461" s="402">
        <f t="shared" si="655"/>
        <v>254.07050000000007</v>
      </c>
    </row>
    <row r="462" spans="1:50" customFormat="1" ht="12.75" x14ac:dyDescent="0.2">
      <c r="D462" s="16"/>
      <c r="E462" s="12"/>
      <c r="F462" s="16"/>
      <c r="G462" s="36"/>
      <c r="H462" s="28">
        <v>3114</v>
      </c>
      <c r="I462" s="327">
        <f t="shared" ref="I462:AX462" si="656">SUMIF($F$12:$F$456,"=3114",I$12:I$456)</f>
        <v>49643072</v>
      </c>
      <c r="J462" s="328">
        <f t="shared" si="656"/>
        <v>35729386</v>
      </c>
      <c r="K462" s="328">
        <f t="shared" si="656"/>
        <v>275988</v>
      </c>
      <c r="L462" s="328">
        <f t="shared" si="656"/>
        <v>37503</v>
      </c>
      <c r="M462" s="328">
        <f t="shared" si="656"/>
        <v>12157139</v>
      </c>
      <c r="N462" s="328">
        <f t="shared" si="656"/>
        <v>714586</v>
      </c>
      <c r="O462" s="328">
        <f t="shared" si="656"/>
        <v>765973</v>
      </c>
      <c r="P462" s="329">
        <f t="shared" si="656"/>
        <v>71.903700000000015</v>
      </c>
      <c r="Q462" s="329">
        <f t="shared" si="656"/>
        <v>58.5642</v>
      </c>
      <c r="R462" s="330">
        <f t="shared" si="656"/>
        <v>13.339499999999999</v>
      </c>
      <c r="S462" s="331">
        <f t="shared" si="656"/>
        <v>100245</v>
      </c>
      <c r="T462" s="328">
        <f t="shared" si="656"/>
        <v>0</v>
      </c>
      <c r="U462" s="328">
        <f t="shared" si="656"/>
        <v>-14728</v>
      </c>
      <c r="V462" s="328">
        <f t="shared" si="656"/>
        <v>85517</v>
      </c>
      <c r="W462" s="328">
        <f t="shared" si="656"/>
        <v>-100245</v>
      </c>
      <c r="X462" s="328">
        <f t="shared" si="656"/>
        <v>0</v>
      </c>
      <c r="Y462" s="328">
        <f t="shared" si="656"/>
        <v>-100245</v>
      </c>
      <c r="Z462" s="328">
        <f t="shared" si="656"/>
        <v>-14728</v>
      </c>
      <c r="AA462" s="328">
        <f t="shared" si="656"/>
        <v>-4978</v>
      </c>
      <c r="AB462" s="328">
        <f t="shared" si="656"/>
        <v>1710</v>
      </c>
      <c r="AC462" s="328">
        <f t="shared" si="656"/>
        <v>0</v>
      </c>
      <c r="AD462" s="328">
        <f t="shared" si="656"/>
        <v>20001</v>
      </c>
      <c r="AE462" s="328">
        <f t="shared" si="656"/>
        <v>20001</v>
      </c>
      <c r="AF462" s="328">
        <f t="shared" si="656"/>
        <v>2005</v>
      </c>
      <c r="AG462" s="329">
        <f t="shared" si="656"/>
        <v>0</v>
      </c>
      <c r="AH462" s="329">
        <f t="shared" si="656"/>
        <v>0</v>
      </c>
      <c r="AI462" s="329">
        <f t="shared" si="656"/>
        <v>0</v>
      </c>
      <c r="AJ462" s="329">
        <f t="shared" si="656"/>
        <v>0</v>
      </c>
      <c r="AK462" s="329">
        <f t="shared" si="656"/>
        <v>0</v>
      </c>
      <c r="AL462" s="329">
        <f t="shared" si="656"/>
        <v>0</v>
      </c>
      <c r="AM462" s="329">
        <f t="shared" si="656"/>
        <v>0</v>
      </c>
      <c r="AN462" s="366">
        <f t="shared" si="656"/>
        <v>0</v>
      </c>
      <c r="AO462" s="327">
        <f t="shared" si="656"/>
        <v>49645077</v>
      </c>
      <c r="AP462" s="328">
        <f t="shared" si="656"/>
        <v>35814903</v>
      </c>
      <c r="AQ462" s="328">
        <f t="shared" si="656"/>
        <v>175743</v>
      </c>
      <c r="AR462" s="328">
        <f t="shared" si="656"/>
        <v>37503</v>
      </c>
      <c r="AS462" s="328">
        <f t="shared" si="656"/>
        <v>12152161</v>
      </c>
      <c r="AT462" s="328">
        <f t="shared" si="656"/>
        <v>716296</v>
      </c>
      <c r="AU462" s="328">
        <f t="shared" si="656"/>
        <v>785974</v>
      </c>
      <c r="AV462" s="329">
        <f t="shared" si="656"/>
        <v>71.903700000000015</v>
      </c>
      <c r="AW462" s="329">
        <f t="shared" si="656"/>
        <v>58.5642</v>
      </c>
      <c r="AX462" s="402">
        <f t="shared" si="656"/>
        <v>13.339499999999999</v>
      </c>
    </row>
    <row r="463" spans="1:50" customFormat="1" ht="12.75" x14ac:dyDescent="0.2">
      <c r="D463" s="16"/>
      <c r="E463" s="12"/>
      <c r="F463" s="16"/>
      <c r="G463" s="36"/>
      <c r="H463" s="28">
        <v>3117</v>
      </c>
      <c r="I463" s="327">
        <f t="shared" ref="I463:AX463" si="657">SUMIF($F$12:$F$456,"=3117",I$12:I$456)</f>
        <v>41297705</v>
      </c>
      <c r="J463" s="328">
        <f t="shared" si="657"/>
        <v>29110901</v>
      </c>
      <c r="K463" s="328">
        <f t="shared" si="657"/>
        <v>407139</v>
      </c>
      <c r="L463" s="328">
        <f t="shared" si="657"/>
        <v>104739</v>
      </c>
      <c r="M463" s="328">
        <f t="shared" si="657"/>
        <v>9941698</v>
      </c>
      <c r="N463" s="328">
        <f t="shared" si="657"/>
        <v>582217</v>
      </c>
      <c r="O463" s="328">
        <f t="shared" si="657"/>
        <v>1255750</v>
      </c>
      <c r="P463" s="329">
        <f t="shared" si="657"/>
        <v>62.487200000000001</v>
      </c>
      <c r="Q463" s="329">
        <f t="shared" si="657"/>
        <v>43.400000000000006</v>
      </c>
      <c r="R463" s="330">
        <f t="shared" si="657"/>
        <v>19.087199999999999</v>
      </c>
      <c r="S463" s="331">
        <f t="shared" si="657"/>
        <v>0</v>
      </c>
      <c r="T463" s="328">
        <f t="shared" si="657"/>
        <v>1890</v>
      </c>
      <c r="U463" s="328">
        <f t="shared" si="657"/>
        <v>0</v>
      </c>
      <c r="V463" s="328">
        <f t="shared" si="657"/>
        <v>1890</v>
      </c>
      <c r="W463" s="328">
        <f t="shared" si="657"/>
        <v>0</v>
      </c>
      <c r="X463" s="328">
        <f t="shared" si="657"/>
        <v>0</v>
      </c>
      <c r="Y463" s="328">
        <f t="shared" si="657"/>
        <v>0</v>
      </c>
      <c r="Z463" s="328">
        <f t="shared" si="657"/>
        <v>1890</v>
      </c>
      <c r="AA463" s="328">
        <f t="shared" si="657"/>
        <v>639</v>
      </c>
      <c r="AB463" s="328">
        <f t="shared" si="657"/>
        <v>38</v>
      </c>
      <c r="AC463" s="328">
        <f t="shared" si="657"/>
        <v>0</v>
      </c>
      <c r="AD463" s="328">
        <f t="shared" si="657"/>
        <v>0</v>
      </c>
      <c r="AE463" s="328">
        <f t="shared" si="657"/>
        <v>0</v>
      </c>
      <c r="AF463" s="328">
        <f t="shared" si="657"/>
        <v>2567</v>
      </c>
      <c r="AG463" s="329">
        <f t="shared" si="657"/>
        <v>0</v>
      </c>
      <c r="AH463" s="329">
        <f t="shared" si="657"/>
        <v>0</v>
      </c>
      <c r="AI463" s="329">
        <f t="shared" si="657"/>
        <v>0</v>
      </c>
      <c r="AJ463" s="329">
        <f t="shared" si="657"/>
        <v>0</v>
      </c>
      <c r="AK463" s="329">
        <f t="shared" si="657"/>
        <v>0</v>
      </c>
      <c r="AL463" s="329">
        <f t="shared" si="657"/>
        <v>0</v>
      </c>
      <c r="AM463" s="329">
        <f t="shared" si="657"/>
        <v>0</v>
      </c>
      <c r="AN463" s="366">
        <f t="shared" si="657"/>
        <v>0</v>
      </c>
      <c r="AO463" s="327">
        <f t="shared" si="657"/>
        <v>41300272</v>
      </c>
      <c r="AP463" s="328">
        <f t="shared" si="657"/>
        <v>29112791</v>
      </c>
      <c r="AQ463" s="328">
        <f t="shared" si="657"/>
        <v>407139</v>
      </c>
      <c r="AR463" s="328">
        <f t="shared" si="657"/>
        <v>104739</v>
      </c>
      <c r="AS463" s="328">
        <f t="shared" si="657"/>
        <v>9942337</v>
      </c>
      <c r="AT463" s="328">
        <f t="shared" si="657"/>
        <v>582255</v>
      </c>
      <c r="AU463" s="328">
        <f t="shared" si="657"/>
        <v>1255750</v>
      </c>
      <c r="AV463" s="329">
        <f t="shared" si="657"/>
        <v>62.487200000000001</v>
      </c>
      <c r="AW463" s="329">
        <f t="shared" si="657"/>
        <v>43.400000000000006</v>
      </c>
      <c r="AX463" s="402">
        <f t="shared" si="657"/>
        <v>19.087199999999999</v>
      </c>
    </row>
    <row r="464" spans="1:50" customFormat="1" ht="12.75" x14ac:dyDescent="0.2">
      <c r="D464" s="16"/>
      <c r="E464" s="12"/>
      <c r="F464" s="16"/>
      <c r="G464" s="36"/>
      <c r="H464" s="28">
        <v>3122</v>
      </c>
      <c r="I464" s="327">
        <f t="shared" ref="I464:AX464" si="658">SUMIF($F$12:$F$406,"=3122",I$12:I$406)</f>
        <v>0</v>
      </c>
      <c r="J464" s="328">
        <f t="shared" si="658"/>
        <v>0</v>
      </c>
      <c r="K464" s="328">
        <f t="shared" si="658"/>
        <v>0</v>
      </c>
      <c r="L464" s="328">
        <f t="shared" si="658"/>
        <v>0</v>
      </c>
      <c r="M464" s="328">
        <f t="shared" si="658"/>
        <v>0</v>
      </c>
      <c r="N464" s="328">
        <f t="shared" si="658"/>
        <v>0</v>
      </c>
      <c r="O464" s="328">
        <f t="shared" si="658"/>
        <v>0</v>
      </c>
      <c r="P464" s="329">
        <f t="shared" si="658"/>
        <v>0</v>
      </c>
      <c r="Q464" s="329">
        <f t="shared" si="658"/>
        <v>0</v>
      </c>
      <c r="R464" s="330">
        <f t="shared" si="658"/>
        <v>0</v>
      </c>
      <c r="S464" s="331">
        <f t="shared" si="658"/>
        <v>0</v>
      </c>
      <c r="T464" s="328">
        <f t="shared" si="658"/>
        <v>0</v>
      </c>
      <c r="U464" s="328">
        <f t="shared" si="658"/>
        <v>0</v>
      </c>
      <c r="V464" s="328">
        <f t="shared" si="658"/>
        <v>0</v>
      </c>
      <c r="W464" s="328">
        <f t="shared" si="658"/>
        <v>0</v>
      </c>
      <c r="X464" s="328">
        <f t="shared" si="658"/>
        <v>0</v>
      </c>
      <c r="Y464" s="328">
        <f t="shared" si="658"/>
        <v>0</v>
      </c>
      <c r="Z464" s="328">
        <f t="shared" si="658"/>
        <v>0</v>
      </c>
      <c r="AA464" s="328">
        <f t="shared" si="658"/>
        <v>0</v>
      </c>
      <c r="AB464" s="328">
        <f t="shared" si="658"/>
        <v>0</v>
      </c>
      <c r="AC464" s="328">
        <f t="shared" si="658"/>
        <v>0</v>
      </c>
      <c r="AD464" s="328">
        <f t="shared" si="658"/>
        <v>0</v>
      </c>
      <c r="AE464" s="328">
        <f t="shared" si="658"/>
        <v>0</v>
      </c>
      <c r="AF464" s="328">
        <f t="shared" si="658"/>
        <v>0</v>
      </c>
      <c r="AG464" s="329">
        <f t="shared" si="658"/>
        <v>0</v>
      </c>
      <c r="AH464" s="329">
        <f t="shared" si="658"/>
        <v>0</v>
      </c>
      <c r="AI464" s="329">
        <f t="shared" si="658"/>
        <v>0</v>
      </c>
      <c r="AJ464" s="329">
        <f t="shared" si="658"/>
        <v>0</v>
      </c>
      <c r="AK464" s="329">
        <f t="shared" si="658"/>
        <v>0</v>
      </c>
      <c r="AL464" s="329">
        <f t="shared" si="658"/>
        <v>0</v>
      </c>
      <c r="AM464" s="329">
        <f t="shared" si="658"/>
        <v>0</v>
      </c>
      <c r="AN464" s="366">
        <f t="shared" si="658"/>
        <v>0</v>
      </c>
      <c r="AO464" s="327">
        <f t="shared" si="658"/>
        <v>0</v>
      </c>
      <c r="AP464" s="328">
        <f t="shared" si="658"/>
        <v>0</v>
      </c>
      <c r="AQ464" s="328">
        <f t="shared" si="658"/>
        <v>0</v>
      </c>
      <c r="AR464" s="328">
        <f t="shared" si="658"/>
        <v>0</v>
      </c>
      <c r="AS464" s="328">
        <f t="shared" si="658"/>
        <v>0</v>
      </c>
      <c r="AT464" s="328">
        <f t="shared" si="658"/>
        <v>0</v>
      </c>
      <c r="AU464" s="328">
        <f t="shared" si="658"/>
        <v>0</v>
      </c>
      <c r="AV464" s="329">
        <f t="shared" si="658"/>
        <v>0</v>
      </c>
      <c r="AW464" s="329">
        <f t="shared" si="658"/>
        <v>0</v>
      </c>
      <c r="AX464" s="402">
        <f t="shared" si="658"/>
        <v>0</v>
      </c>
    </row>
    <row r="465" spans="1:50" customFormat="1" ht="12.75" x14ac:dyDescent="0.2">
      <c r="D465" s="16"/>
      <c r="E465" s="12"/>
      <c r="F465" s="16"/>
      <c r="G465" s="36"/>
      <c r="H465" s="28">
        <v>3124</v>
      </c>
      <c r="I465" s="327">
        <f t="shared" ref="I465:AX465" si="659">SUMIF($F$12:$F$406,"=3124",I$12:I$406)</f>
        <v>0</v>
      </c>
      <c r="J465" s="328">
        <f t="shared" si="659"/>
        <v>0</v>
      </c>
      <c r="K465" s="328">
        <f t="shared" si="659"/>
        <v>0</v>
      </c>
      <c r="L465" s="328">
        <f t="shared" si="659"/>
        <v>0</v>
      </c>
      <c r="M465" s="328">
        <f t="shared" si="659"/>
        <v>0</v>
      </c>
      <c r="N465" s="328">
        <f t="shared" si="659"/>
        <v>0</v>
      </c>
      <c r="O465" s="328">
        <f t="shared" si="659"/>
        <v>0</v>
      </c>
      <c r="P465" s="329">
        <f t="shared" si="659"/>
        <v>0</v>
      </c>
      <c r="Q465" s="329">
        <f t="shared" si="659"/>
        <v>0</v>
      </c>
      <c r="R465" s="330">
        <f t="shared" si="659"/>
        <v>0</v>
      </c>
      <c r="S465" s="331">
        <f t="shared" si="659"/>
        <v>0</v>
      </c>
      <c r="T465" s="328">
        <f t="shared" si="659"/>
        <v>0</v>
      </c>
      <c r="U465" s="328">
        <f t="shared" si="659"/>
        <v>0</v>
      </c>
      <c r="V465" s="328">
        <f t="shared" si="659"/>
        <v>0</v>
      </c>
      <c r="W465" s="328">
        <f t="shared" si="659"/>
        <v>0</v>
      </c>
      <c r="X465" s="328">
        <f t="shared" si="659"/>
        <v>0</v>
      </c>
      <c r="Y465" s="328">
        <f t="shared" si="659"/>
        <v>0</v>
      </c>
      <c r="Z465" s="328">
        <f t="shared" si="659"/>
        <v>0</v>
      </c>
      <c r="AA465" s="328">
        <f t="shared" si="659"/>
        <v>0</v>
      </c>
      <c r="AB465" s="328">
        <f t="shared" si="659"/>
        <v>0</v>
      </c>
      <c r="AC465" s="328">
        <f t="shared" si="659"/>
        <v>0</v>
      </c>
      <c r="AD465" s="328">
        <f t="shared" si="659"/>
        <v>0</v>
      </c>
      <c r="AE465" s="328">
        <f t="shared" si="659"/>
        <v>0</v>
      </c>
      <c r="AF465" s="328">
        <f t="shared" si="659"/>
        <v>0</v>
      </c>
      <c r="AG465" s="329">
        <f t="shared" si="659"/>
        <v>0</v>
      </c>
      <c r="AH465" s="329">
        <f t="shared" si="659"/>
        <v>0</v>
      </c>
      <c r="AI465" s="329">
        <f t="shared" si="659"/>
        <v>0</v>
      </c>
      <c r="AJ465" s="329">
        <f t="shared" si="659"/>
        <v>0</v>
      </c>
      <c r="AK465" s="329">
        <f t="shared" si="659"/>
        <v>0</v>
      </c>
      <c r="AL465" s="329">
        <f t="shared" si="659"/>
        <v>0</v>
      </c>
      <c r="AM465" s="329">
        <f t="shared" si="659"/>
        <v>0</v>
      </c>
      <c r="AN465" s="366">
        <f t="shared" si="659"/>
        <v>0</v>
      </c>
      <c r="AO465" s="327">
        <f t="shared" si="659"/>
        <v>0</v>
      </c>
      <c r="AP465" s="328">
        <f t="shared" si="659"/>
        <v>0</v>
      </c>
      <c r="AQ465" s="328">
        <f t="shared" si="659"/>
        <v>0</v>
      </c>
      <c r="AR465" s="328">
        <f t="shared" si="659"/>
        <v>0</v>
      </c>
      <c r="AS465" s="328">
        <f t="shared" si="659"/>
        <v>0</v>
      </c>
      <c r="AT465" s="328">
        <f t="shared" si="659"/>
        <v>0</v>
      </c>
      <c r="AU465" s="328">
        <f t="shared" si="659"/>
        <v>0</v>
      </c>
      <c r="AV465" s="329">
        <f t="shared" si="659"/>
        <v>0</v>
      </c>
      <c r="AW465" s="329">
        <f t="shared" si="659"/>
        <v>0</v>
      </c>
      <c r="AX465" s="402">
        <f t="shared" si="659"/>
        <v>0</v>
      </c>
    </row>
    <row r="466" spans="1:50" customFormat="1" ht="12.75" x14ac:dyDescent="0.2">
      <c r="D466" s="16"/>
      <c r="E466" s="12"/>
      <c r="F466" s="16"/>
      <c r="G466" s="36"/>
      <c r="H466" s="28">
        <v>3141</v>
      </c>
      <c r="I466" s="327">
        <f t="shared" ref="I466:AX466" si="660">SUMIF($F$12:$F$456,"=3141",I$12:I$456)</f>
        <v>109998461</v>
      </c>
      <c r="J466" s="328">
        <f t="shared" si="660"/>
        <v>79701497</v>
      </c>
      <c r="K466" s="328">
        <f t="shared" si="660"/>
        <v>694690</v>
      </c>
      <c r="L466" s="328">
        <f t="shared" si="660"/>
        <v>0</v>
      </c>
      <c r="M466" s="328">
        <f t="shared" si="660"/>
        <v>27173915</v>
      </c>
      <c r="N466" s="328">
        <f t="shared" si="660"/>
        <v>1594029</v>
      </c>
      <c r="O466" s="328">
        <f t="shared" si="660"/>
        <v>834330</v>
      </c>
      <c r="P466" s="329">
        <f t="shared" si="660"/>
        <v>271.69</v>
      </c>
      <c r="Q466" s="329">
        <f t="shared" si="660"/>
        <v>0</v>
      </c>
      <c r="R466" s="330">
        <f t="shared" si="660"/>
        <v>271.69</v>
      </c>
      <c r="S466" s="331">
        <f t="shared" si="660"/>
        <v>0</v>
      </c>
      <c r="T466" s="328">
        <f t="shared" si="660"/>
        <v>0</v>
      </c>
      <c r="U466" s="328">
        <f t="shared" si="660"/>
        <v>0</v>
      </c>
      <c r="V466" s="328">
        <f t="shared" si="660"/>
        <v>0</v>
      </c>
      <c r="W466" s="328">
        <f t="shared" si="660"/>
        <v>0</v>
      </c>
      <c r="X466" s="328">
        <f t="shared" si="660"/>
        <v>0</v>
      </c>
      <c r="Y466" s="328">
        <f t="shared" si="660"/>
        <v>0</v>
      </c>
      <c r="Z466" s="328">
        <f t="shared" si="660"/>
        <v>0</v>
      </c>
      <c r="AA466" s="328">
        <f t="shared" si="660"/>
        <v>0</v>
      </c>
      <c r="AB466" s="328">
        <f t="shared" si="660"/>
        <v>0</v>
      </c>
      <c r="AC466" s="328">
        <f t="shared" si="660"/>
        <v>0</v>
      </c>
      <c r="AD466" s="328">
        <f t="shared" si="660"/>
        <v>0</v>
      </c>
      <c r="AE466" s="328">
        <f t="shared" si="660"/>
        <v>0</v>
      </c>
      <c r="AF466" s="328">
        <f t="shared" si="660"/>
        <v>0</v>
      </c>
      <c r="AG466" s="329">
        <f t="shared" si="660"/>
        <v>0</v>
      </c>
      <c r="AH466" s="329">
        <f t="shared" si="660"/>
        <v>0</v>
      </c>
      <c r="AI466" s="329">
        <f t="shared" si="660"/>
        <v>0</v>
      </c>
      <c r="AJ466" s="329">
        <f t="shared" si="660"/>
        <v>0</v>
      </c>
      <c r="AK466" s="329">
        <f t="shared" si="660"/>
        <v>0</v>
      </c>
      <c r="AL466" s="329">
        <f t="shared" si="660"/>
        <v>0</v>
      </c>
      <c r="AM466" s="329">
        <f t="shared" si="660"/>
        <v>0</v>
      </c>
      <c r="AN466" s="366">
        <f t="shared" si="660"/>
        <v>0</v>
      </c>
      <c r="AO466" s="327">
        <f t="shared" si="660"/>
        <v>109998461</v>
      </c>
      <c r="AP466" s="328">
        <f t="shared" si="660"/>
        <v>79701497</v>
      </c>
      <c r="AQ466" s="328">
        <f t="shared" si="660"/>
        <v>694690</v>
      </c>
      <c r="AR466" s="328">
        <f t="shared" si="660"/>
        <v>0</v>
      </c>
      <c r="AS466" s="328">
        <f t="shared" si="660"/>
        <v>27173915</v>
      </c>
      <c r="AT466" s="328">
        <f t="shared" si="660"/>
        <v>1594029</v>
      </c>
      <c r="AU466" s="328">
        <f t="shared" si="660"/>
        <v>834330</v>
      </c>
      <c r="AV466" s="329">
        <f t="shared" si="660"/>
        <v>271.69</v>
      </c>
      <c r="AW466" s="329">
        <f t="shared" si="660"/>
        <v>0</v>
      </c>
      <c r="AX466" s="402">
        <f t="shared" si="660"/>
        <v>271.69</v>
      </c>
    </row>
    <row r="467" spans="1:50" customFormat="1" ht="12.75" x14ac:dyDescent="0.2">
      <c r="D467" s="16"/>
      <c r="E467" s="12"/>
      <c r="F467" s="16"/>
      <c r="G467" s="36"/>
      <c r="H467" s="28">
        <v>3143</v>
      </c>
      <c r="I467" s="327">
        <f t="shared" ref="I467:AX467" si="661">SUMIF($F$12:$F$456,"=3143",I$12:I$456)</f>
        <v>93567141</v>
      </c>
      <c r="J467" s="328">
        <f t="shared" si="661"/>
        <v>68550121</v>
      </c>
      <c r="K467" s="328">
        <f t="shared" si="661"/>
        <v>254800</v>
      </c>
      <c r="L467" s="328">
        <f t="shared" si="661"/>
        <v>0</v>
      </c>
      <c r="M467" s="328">
        <f t="shared" si="661"/>
        <v>23256062</v>
      </c>
      <c r="N467" s="328">
        <f t="shared" si="661"/>
        <v>1371008</v>
      </c>
      <c r="O467" s="328">
        <f t="shared" si="661"/>
        <v>135150</v>
      </c>
      <c r="P467" s="329">
        <f t="shared" si="661"/>
        <v>154.81380000000004</v>
      </c>
      <c r="Q467" s="329">
        <f t="shared" si="661"/>
        <v>145.40379999999999</v>
      </c>
      <c r="R467" s="330">
        <f t="shared" si="661"/>
        <v>9.41</v>
      </c>
      <c r="S467" s="331">
        <f t="shared" si="661"/>
        <v>0</v>
      </c>
      <c r="T467" s="328">
        <f t="shared" si="661"/>
        <v>0</v>
      </c>
      <c r="U467" s="328">
        <f t="shared" si="661"/>
        <v>0</v>
      </c>
      <c r="V467" s="328">
        <f t="shared" si="661"/>
        <v>0</v>
      </c>
      <c r="W467" s="328">
        <f t="shared" si="661"/>
        <v>0</v>
      </c>
      <c r="X467" s="328">
        <f t="shared" si="661"/>
        <v>0</v>
      </c>
      <c r="Y467" s="328">
        <f t="shared" si="661"/>
        <v>0</v>
      </c>
      <c r="Z467" s="328">
        <f t="shared" si="661"/>
        <v>0</v>
      </c>
      <c r="AA467" s="328">
        <f t="shared" si="661"/>
        <v>0</v>
      </c>
      <c r="AB467" s="328">
        <f t="shared" si="661"/>
        <v>0</v>
      </c>
      <c r="AC467" s="328">
        <f t="shared" si="661"/>
        <v>0</v>
      </c>
      <c r="AD467" s="328">
        <f t="shared" si="661"/>
        <v>0</v>
      </c>
      <c r="AE467" s="328">
        <f t="shared" si="661"/>
        <v>0</v>
      </c>
      <c r="AF467" s="328">
        <f t="shared" si="661"/>
        <v>0</v>
      </c>
      <c r="AG467" s="329">
        <f t="shared" si="661"/>
        <v>0</v>
      </c>
      <c r="AH467" s="329">
        <f t="shared" si="661"/>
        <v>0</v>
      </c>
      <c r="AI467" s="329">
        <f t="shared" si="661"/>
        <v>0</v>
      </c>
      <c r="AJ467" s="329">
        <f t="shared" si="661"/>
        <v>0</v>
      </c>
      <c r="AK467" s="329">
        <f t="shared" si="661"/>
        <v>0</v>
      </c>
      <c r="AL467" s="329">
        <f t="shared" si="661"/>
        <v>0</v>
      </c>
      <c r="AM467" s="329">
        <f t="shared" si="661"/>
        <v>0</v>
      </c>
      <c r="AN467" s="366">
        <f t="shared" si="661"/>
        <v>0</v>
      </c>
      <c r="AO467" s="327">
        <f t="shared" si="661"/>
        <v>93567141</v>
      </c>
      <c r="AP467" s="328">
        <f t="shared" si="661"/>
        <v>68550121</v>
      </c>
      <c r="AQ467" s="328">
        <f t="shared" si="661"/>
        <v>254800</v>
      </c>
      <c r="AR467" s="328">
        <f t="shared" si="661"/>
        <v>0</v>
      </c>
      <c r="AS467" s="328">
        <f t="shared" si="661"/>
        <v>23256062</v>
      </c>
      <c r="AT467" s="328">
        <f t="shared" si="661"/>
        <v>1371008</v>
      </c>
      <c r="AU467" s="328">
        <f t="shared" si="661"/>
        <v>135150</v>
      </c>
      <c r="AV467" s="329">
        <f t="shared" si="661"/>
        <v>154.81380000000004</v>
      </c>
      <c r="AW467" s="329">
        <f t="shared" si="661"/>
        <v>145.40379999999999</v>
      </c>
      <c r="AX467" s="402">
        <f t="shared" si="661"/>
        <v>9.41</v>
      </c>
    </row>
    <row r="468" spans="1:50" customFormat="1" ht="12.75" x14ac:dyDescent="0.2">
      <c r="D468" s="16"/>
      <c r="E468" s="12"/>
      <c r="F468" s="16"/>
      <c r="G468" s="36"/>
      <c r="H468" s="28">
        <v>3231</v>
      </c>
      <c r="I468" s="327">
        <f t="shared" ref="I468:AX468" si="662">SUMIF($F$12:$F$456,"=3231",I$12:I$456)</f>
        <v>74807332</v>
      </c>
      <c r="J468" s="328">
        <f t="shared" si="662"/>
        <v>54419658</v>
      </c>
      <c r="K468" s="328">
        <f t="shared" si="662"/>
        <v>514838</v>
      </c>
      <c r="L468" s="328">
        <f t="shared" si="662"/>
        <v>0</v>
      </c>
      <c r="M468" s="328">
        <f t="shared" si="662"/>
        <v>18539522</v>
      </c>
      <c r="N468" s="328">
        <f t="shared" si="662"/>
        <v>1088394</v>
      </c>
      <c r="O468" s="328">
        <f t="shared" si="662"/>
        <v>244920</v>
      </c>
      <c r="P468" s="329">
        <f t="shared" si="662"/>
        <v>106.83529999999999</v>
      </c>
      <c r="Q468" s="329">
        <f t="shared" si="662"/>
        <v>95.11160000000001</v>
      </c>
      <c r="R468" s="330">
        <f t="shared" si="662"/>
        <v>11.723699999999999</v>
      </c>
      <c r="S468" s="331">
        <f t="shared" si="662"/>
        <v>0</v>
      </c>
      <c r="T468" s="328">
        <f t="shared" si="662"/>
        <v>0</v>
      </c>
      <c r="U468" s="328">
        <f t="shared" si="662"/>
        <v>0</v>
      </c>
      <c r="V468" s="328">
        <f t="shared" si="662"/>
        <v>0</v>
      </c>
      <c r="W468" s="328">
        <f t="shared" si="662"/>
        <v>0</v>
      </c>
      <c r="X468" s="328">
        <f t="shared" si="662"/>
        <v>0</v>
      </c>
      <c r="Y468" s="328">
        <f t="shared" si="662"/>
        <v>0</v>
      </c>
      <c r="Z468" s="328">
        <f t="shared" si="662"/>
        <v>0</v>
      </c>
      <c r="AA468" s="328">
        <f t="shared" si="662"/>
        <v>0</v>
      </c>
      <c r="AB468" s="328">
        <f t="shared" si="662"/>
        <v>0</v>
      </c>
      <c r="AC468" s="328">
        <f t="shared" si="662"/>
        <v>0</v>
      </c>
      <c r="AD468" s="328">
        <f t="shared" si="662"/>
        <v>0</v>
      </c>
      <c r="AE468" s="328">
        <f t="shared" si="662"/>
        <v>0</v>
      </c>
      <c r="AF468" s="328">
        <f t="shared" si="662"/>
        <v>0</v>
      </c>
      <c r="AG468" s="329">
        <f t="shared" si="662"/>
        <v>0</v>
      </c>
      <c r="AH468" s="329">
        <f t="shared" si="662"/>
        <v>0</v>
      </c>
      <c r="AI468" s="329">
        <f t="shared" si="662"/>
        <v>0</v>
      </c>
      <c r="AJ468" s="329">
        <f t="shared" si="662"/>
        <v>0</v>
      </c>
      <c r="AK468" s="329">
        <f t="shared" si="662"/>
        <v>0</v>
      </c>
      <c r="AL468" s="329">
        <f t="shared" si="662"/>
        <v>0</v>
      </c>
      <c r="AM468" s="329">
        <f t="shared" si="662"/>
        <v>0</v>
      </c>
      <c r="AN468" s="366">
        <f t="shared" si="662"/>
        <v>0</v>
      </c>
      <c r="AO468" s="327">
        <f t="shared" si="662"/>
        <v>74807332</v>
      </c>
      <c r="AP468" s="328">
        <f t="shared" si="662"/>
        <v>54419658</v>
      </c>
      <c r="AQ468" s="328">
        <f t="shared" si="662"/>
        <v>514838</v>
      </c>
      <c r="AR468" s="328">
        <f t="shared" si="662"/>
        <v>0</v>
      </c>
      <c r="AS468" s="328">
        <f t="shared" si="662"/>
        <v>18539522</v>
      </c>
      <c r="AT468" s="328">
        <f t="shared" si="662"/>
        <v>1088394</v>
      </c>
      <c r="AU468" s="328">
        <f t="shared" si="662"/>
        <v>244920</v>
      </c>
      <c r="AV468" s="329">
        <f t="shared" si="662"/>
        <v>106.83529999999999</v>
      </c>
      <c r="AW468" s="329">
        <f t="shared" si="662"/>
        <v>95.11160000000001</v>
      </c>
      <c r="AX468" s="402">
        <f t="shared" si="662"/>
        <v>11.723699999999999</v>
      </c>
    </row>
    <row r="469" spans="1:50" customFormat="1" ht="13.5" thickBot="1" x14ac:dyDescent="0.25">
      <c r="D469" s="16"/>
      <c r="E469" s="12"/>
      <c r="F469" s="16"/>
      <c r="G469" s="36"/>
      <c r="H469" s="254">
        <v>3233</v>
      </c>
      <c r="I469" s="333">
        <f t="shared" ref="I469:AX469" si="663">SUMIF($F$12:$F$456,"=3233",I$12:I$456)</f>
        <v>16357703</v>
      </c>
      <c r="J469" s="334">
        <f t="shared" si="663"/>
        <v>10539556</v>
      </c>
      <c r="K469" s="334">
        <f t="shared" si="663"/>
        <v>1373000</v>
      </c>
      <c r="L469" s="334">
        <f t="shared" si="663"/>
        <v>0</v>
      </c>
      <c r="M469" s="334">
        <f t="shared" si="663"/>
        <v>4026443</v>
      </c>
      <c r="N469" s="334">
        <f t="shared" si="663"/>
        <v>210791</v>
      </c>
      <c r="O469" s="334">
        <f t="shared" si="663"/>
        <v>207913</v>
      </c>
      <c r="P469" s="335">
        <f t="shared" si="663"/>
        <v>25.659999999999997</v>
      </c>
      <c r="Q469" s="335">
        <f t="shared" si="663"/>
        <v>14.75</v>
      </c>
      <c r="R469" s="336">
        <f t="shared" si="663"/>
        <v>10.91</v>
      </c>
      <c r="S469" s="337">
        <f t="shared" si="663"/>
        <v>0</v>
      </c>
      <c r="T469" s="334">
        <f t="shared" si="663"/>
        <v>0</v>
      </c>
      <c r="U469" s="334">
        <f t="shared" si="663"/>
        <v>0</v>
      </c>
      <c r="V469" s="334">
        <f t="shared" si="663"/>
        <v>0</v>
      </c>
      <c r="W469" s="334">
        <f t="shared" si="663"/>
        <v>0</v>
      </c>
      <c r="X469" s="334">
        <f t="shared" si="663"/>
        <v>0</v>
      </c>
      <c r="Y469" s="334">
        <f t="shared" si="663"/>
        <v>0</v>
      </c>
      <c r="Z469" s="334">
        <f t="shared" si="663"/>
        <v>0</v>
      </c>
      <c r="AA469" s="334">
        <f t="shared" si="663"/>
        <v>0</v>
      </c>
      <c r="AB469" s="334">
        <f t="shared" si="663"/>
        <v>0</v>
      </c>
      <c r="AC469" s="334">
        <f t="shared" si="663"/>
        <v>0</v>
      </c>
      <c r="AD469" s="334">
        <f t="shared" si="663"/>
        <v>0</v>
      </c>
      <c r="AE469" s="334">
        <f t="shared" si="663"/>
        <v>0</v>
      </c>
      <c r="AF469" s="334">
        <f t="shared" si="663"/>
        <v>0</v>
      </c>
      <c r="AG469" s="335">
        <f t="shared" si="663"/>
        <v>0</v>
      </c>
      <c r="AH469" s="335">
        <f t="shared" si="663"/>
        <v>0</v>
      </c>
      <c r="AI469" s="335">
        <f t="shared" si="663"/>
        <v>0</v>
      </c>
      <c r="AJ469" s="335">
        <f t="shared" si="663"/>
        <v>0</v>
      </c>
      <c r="AK469" s="335">
        <f t="shared" si="663"/>
        <v>0</v>
      </c>
      <c r="AL469" s="335">
        <f t="shared" si="663"/>
        <v>0</v>
      </c>
      <c r="AM469" s="335">
        <f t="shared" si="663"/>
        <v>0</v>
      </c>
      <c r="AN469" s="367">
        <f t="shared" si="663"/>
        <v>0</v>
      </c>
      <c r="AO469" s="333">
        <f t="shared" si="663"/>
        <v>16357703</v>
      </c>
      <c r="AP469" s="334">
        <f t="shared" si="663"/>
        <v>10539556</v>
      </c>
      <c r="AQ469" s="334">
        <f t="shared" si="663"/>
        <v>1373000</v>
      </c>
      <c r="AR469" s="334">
        <f t="shared" si="663"/>
        <v>0</v>
      </c>
      <c r="AS469" s="334">
        <f t="shared" si="663"/>
        <v>4026443</v>
      </c>
      <c r="AT469" s="334">
        <f t="shared" si="663"/>
        <v>210791</v>
      </c>
      <c r="AU469" s="334">
        <f t="shared" si="663"/>
        <v>207913</v>
      </c>
      <c r="AV469" s="335">
        <f t="shared" si="663"/>
        <v>25.659999999999997</v>
      </c>
      <c r="AW469" s="335">
        <f t="shared" si="663"/>
        <v>14.75</v>
      </c>
      <c r="AX469" s="403">
        <f t="shared" si="663"/>
        <v>10.91</v>
      </c>
    </row>
    <row r="472" spans="1:50" x14ac:dyDescent="0.2">
      <c r="I472" s="199"/>
      <c r="J472" s="199"/>
      <c r="K472" s="199"/>
      <c r="L472" s="199"/>
      <c r="M472" s="199"/>
      <c r="N472" s="199"/>
      <c r="O472" s="199"/>
      <c r="P472" s="199"/>
    </row>
    <row r="473" spans="1:50" x14ac:dyDescent="0.2">
      <c r="J473" s="195"/>
      <c r="K473" s="195"/>
      <c r="L473" s="195"/>
      <c r="M473" s="195"/>
      <c r="N473" s="195"/>
      <c r="O473" s="195"/>
      <c r="P473" s="195"/>
    </row>
    <row r="474" spans="1:50" x14ac:dyDescent="0.2">
      <c r="I474" s="199"/>
      <c r="J474" s="199"/>
      <c r="K474" s="199"/>
      <c r="L474" s="199"/>
      <c r="M474" s="199"/>
      <c r="N474" s="199"/>
      <c r="O474" s="199"/>
    </row>
    <row r="475" spans="1:50" s="199" customFormat="1" x14ac:dyDescent="0.2">
      <c r="B475" s="193"/>
      <c r="C475" s="193"/>
      <c r="D475" s="193"/>
      <c r="G475" s="195"/>
      <c r="P475" s="196"/>
      <c r="Q475" s="510"/>
      <c r="R475" s="510"/>
      <c r="S475" s="195"/>
      <c r="T475" s="195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  <c r="AF475" s="195"/>
      <c r="AG475" s="196"/>
      <c r="AH475" s="196"/>
      <c r="AI475" s="196"/>
      <c r="AJ475" s="196"/>
      <c r="AK475" s="196"/>
      <c r="AL475" s="196"/>
      <c r="AM475" s="196"/>
      <c r="AN475" s="196"/>
      <c r="AO475" s="195"/>
      <c r="AP475" s="195"/>
      <c r="AQ475" s="195"/>
      <c r="AR475" s="195"/>
      <c r="AS475" s="195"/>
      <c r="AT475" s="195"/>
      <c r="AU475" s="195"/>
      <c r="AV475" s="196"/>
      <c r="AW475" s="196"/>
    </row>
    <row r="477" spans="1:50" s="199" customFormat="1" x14ac:dyDescent="0.2">
      <c r="B477" s="193"/>
      <c r="C477" s="193"/>
      <c r="D477" s="193"/>
      <c r="G477" s="195"/>
      <c r="I477" s="195"/>
      <c r="J477" s="509"/>
      <c r="K477" s="509"/>
      <c r="L477" s="509"/>
      <c r="M477" s="509"/>
      <c r="N477" s="509"/>
      <c r="O477" s="509"/>
      <c r="P477" s="196"/>
      <c r="Q477" s="510"/>
      <c r="R477" s="510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  <c r="AF477" s="195"/>
      <c r="AG477" s="196"/>
      <c r="AH477" s="196"/>
      <c r="AI477" s="196"/>
      <c r="AJ477" s="196"/>
      <c r="AK477" s="196"/>
      <c r="AL477" s="196"/>
      <c r="AM477" s="196"/>
      <c r="AN477" s="196"/>
      <c r="AO477" s="195"/>
      <c r="AP477" s="195"/>
      <c r="AQ477" s="195"/>
      <c r="AR477" s="195"/>
      <c r="AS477" s="195"/>
      <c r="AT477" s="195"/>
      <c r="AU477" s="195"/>
      <c r="AV477" s="196"/>
      <c r="AW477" s="196"/>
    </row>
    <row r="478" spans="1:50" s="199" customFormat="1" x14ac:dyDescent="0.2">
      <c r="B478" s="193"/>
      <c r="C478" s="193"/>
      <c r="D478" s="193"/>
      <c r="G478" s="195"/>
      <c r="I478" s="195"/>
      <c r="J478" s="509"/>
      <c r="K478" s="509"/>
      <c r="L478" s="509"/>
      <c r="M478" s="509"/>
      <c r="N478" s="509"/>
      <c r="O478" s="509"/>
      <c r="P478" s="196"/>
      <c r="Q478" s="510"/>
      <c r="R478" s="510"/>
      <c r="S478" s="195"/>
      <c r="T478" s="195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  <c r="AF478" s="195"/>
      <c r="AG478" s="196"/>
      <c r="AH478" s="196"/>
      <c r="AI478" s="196"/>
      <c r="AJ478" s="196"/>
      <c r="AK478" s="196"/>
      <c r="AL478" s="196"/>
      <c r="AM478" s="196"/>
      <c r="AN478" s="196"/>
      <c r="AO478" s="195"/>
      <c r="AP478" s="195"/>
      <c r="AQ478" s="195"/>
      <c r="AR478" s="195"/>
      <c r="AS478" s="195"/>
      <c r="AT478" s="195"/>
      <c r="AU478" s="195"/>
      <c r="AV478" s="196"/>
      <c r="AW478" s="196"/>
    </row>
    <row r="479" spans="1:50" s="195" customFormat="1" x14ac:dyDescent="0.2">
      <c r="A479" s="199"/>
      <c r="B479" s="193"/>
      <c r="C479" s="193"/>
      <c r="D479" s="193"/>
      <c r="E479" s="199"/>
      <c r="F479" s="199"/>
      <c r="H479" s="199"/>
      <c r="J479" s="509"/>
      <c r="K479" s="509"/>
      <c r="L479" s="509"/>
      <c r="M479" s="509"/>
      <c r="N479" s="509"/>
      <c r="O479" s="509"/>
      <c r="P479" s="196"/>
      <c r="Q479" s="510"/>
      <c r="R479" s="510"/>
      <c r="AG479" s="196"/>
      <c r="AH479" s="196"/>
      <c r="AI479" s="196"/>
      <c r="AJ479" s="196"/>
      <c r="AK479" s="196"/>
      <c r="AL479" s="196"/>
      <c r="AM479" s="196"/>
      <c r="AN479" s="196"/>
      <c r="AV479" s="196"/>
      <c r="AW479" s="196"/>
    </row>
    <row r="480" spans="1:50" s="195" customFormat="1" x14ac:dyDescent="0.2">
      <c r="A480" s="199"/>
      <c r="B480" s="193"/>
      <c r="C480" s="193"/>
      <c r="D480" s="193"/>
      <c r="E480" s="199"/>
      <c r="F480" s="199"/>
      <c r="H480" s="199"/>
      <c r="J480" s="509"/>
      <c r="K480" s="509"/>
      <c r="L480" s="509"/>
      <c r="M480" s="509"/>
      <c r="N480" s="509"/>
      <c r="O480" s="509"/>
      <c r="P480" s="196"/>
      <c r="Q480" s="510"/>
      <c r="R480" s="510"/>
      <c r="AG480" s="196"/>
      <c r="AH480" s="196"/>
      <c r="AI480" s="196"/>
      <c r="AJ480" s="196"/>
      <c r="AK480" s="196"/>
      <c r="AL480" s="196"/>
      <c r="AM480" s="196"/>
      <c r="AN480" s="196"/>
      <c r="AV480" s="196"/>
      <c r="AW480" s="196"/>
    </row>
    <row r="481" spans="1:49" s="195" customFormat="1" x14ac:dyDescent="0.2">
      <c r="A481" s="199"/>
      <c r="B481" s="193"/>
      <c r="C481" s="193"/>
      <c r="D481" s="193"/>
      <c r="E481" s="199"/>
      <c r="F481" s="199"/>
      <c r="H481" s="199"/>
      <c r="J481" s="509"/>
      <c r="K481" s="509"/>
      <c r="L481" s="509"/>
      <c r="M481" s="509"/>
      <c r="N481" s="509"/>
      <c r="O481" s="509"/>
      <c r="P481" s="196"/>
      <c r="Q481" s="510"/>
      <c r="R481" s="510"/>
      <c r="AG481" s="196"/>
      <c r="AH481" s="196"/>
      <c r="AI481" s="196"/>
      <c r="AJ481" s="196"/>
      <c r="AK481" s="196"/>
      <c r="AL481" s="196"/>
      <c r="AM481" s="196"/>
      <c r="AN481" s="196"/>
      <c r="AV481" s="196"/>
      <c r="AW481" s="196"/>
    </row>
    <row r="482" spans="1:49" s="195" customFormat="1" x14ac:dyDescent="0.2">
      <c r="A482" s="199"/>
      <c r="B482" s="193"/>
      <c r="C482" s="193"/>
      <c r="D482" s="193"/>
      <c r="E482" s="199"/>
      <c r="F482" s="199"/>
      <c r="H482" s="199"/>
      <c r="J482" s="509"/>
      <c r="K482" s="509"/>
      <c r="L482" s="509"/>
      <c r="M482" s="509"/>
      <c r="N482" s="509"/>
      <c r="O482" s="509"/>
      <c r="P482" s="196"/>
      <c r="Q482" s="510"/>
      <c r="R482" s="510"/>
      <c r="AG482" s="196"/>
      <c r="AH482" s="196"/>
      <c r="AI482" s="196"/>
      <c r="AJ482" s="196"/>
      <c r="AK482" s="196"/>
      <c r="AL482" s="196"/>
      <c r="AM482" s="196"/>
      <c r="AN482" s="196"/>
      <c r="AV482" s="196"/>
      <c r="AW482" s="196"/>
    </row>
    <row r="485" spans="1:49" s="195" customFormat="1" ht="15" customHeight="1" x14ac:dyDescent="0.2">
      <c r="A485" s="199"/>
      <c r="B485" s="193"/>
      <c r="C485" s="193"/>
      <c r="D485" s="193"/>
      <c r="E485" s="199"/>
      <c r="F485" s="608"/>
      <c r="G485" s="199"/>
      <c r="H485" s="199"/>
      <c r="P485" s="196"/>
      <c r="Q485" s="196"/>
      <c r="R485" s="196"/>
      <c r="AG485" s="196"/>
      <c r="AH485" s="196"/>
      <c r="AI485" s="196"/>
      <c r="AJ485" s="196"/>
      <c r="AK485" s="196"/>
      <c r="AL485" s="196"/>
      <c r="AM485" s="196"/>
      <c r="AN485" s="196"/>
      <c r="AV485" s="196"/>
      <c r="AW485" s="196"/>
    </row>
    <row r="486" spans="1:49" s="195" customFormat="1" ht="15" customHeight="1" x14ac:dyDescent="0.2">
      <c r="A486" s="199"/>
      <c r="B486" s="193"/>
      <c r="C486" s="193"/>
      <c r="D486" s="193"/>
      <c r="E486" s="199"/>
      <c r="F486" s="608"/>
      <c r="G486" s="199"/>
      <c r="H486" s="199"/>
      <c r="P486" s="196"/>
      <c r="Q486" s="196"/>
      <c r="R486" s="196"/>
      <c r="AG486" s="196"/>
      <c r="AH486" s="196"/>
      <c r="AI486" s="196"/>
      <c r="AJ486" s="196"/>
      <c r="AK486" s="196"/>
      <c r="AL486" s="196"/>
      <c r="AM486" s="196"/>
      <c r="AN486" s="196"/>
      <c r="AV486" s="196"/>
      <c r="AW486" s="196"/>
    </row>
    <row r="487" spans="1:49" s="195" customFormat="1" ht="15" customHeight="1" x14ac:dyDescent="0.2">
      <c r="A487" s="199"/>
      <c r="B487" s="193"/>
      <c r="C487" s="193"/>
      <c r="D487" s="193"/>
      <c r="E487" s="199"/>
      <c r="F487" s="608"/>
      <c r="G487" s="199"/>
      <c r="H487" s="199"/>
      <c r="P487" s="196"/>
      <c r="Q487" s="196"/>
      <c r="R487" s="196"/>
      <c r="AG487" s="196"/>
      <c r="AH487" s="196"/>
      <c r="AI487" s="196"/>
      <c r="AJ487" s="196"/>
      <c r="AK487" s="196"/>
      <c r="AL487" s="196"/>
      <c r="AM487" s="196"/>
      <c r="AN487" s="196"/>
      <c r="AV487" s="196"/>
      <c r="AW487" s="196"/>
    </row>
    <row r="488" spans="1:49" s="195" customFormat="1" ht="15" customHeight="1" x14ac:dyDescent="0.2">
      <c r="A488" s="199"/>
      <c r="B488" s="193"/>
      <c r="C488" s="193"/>
      <c r="D488" s="193"/>
      <c r="E488" s="199"/>
      <c r="F488" s="608"/>
      <c r="G488" s="199"/>
      <c r="H488" s="199"/>
      <c r="P488" s="196"/>
      <c r="Q488" s="196"/>
      <c r="R488" s="196"/>
      <c r="AG488" s="196"/>
      <c r="AH488" s="196"/>
      <c r="AI488" s="196"/>
      <c r="AJ488" s="196"/>
      <c r="AK488" s="196"/>
      <c r="AL488" s="196"/>
      <c r="AM488" s="196"/>
      <c r="AN488" s="196"/>
      <c r="AV488" s="196"/>
      <c r="AW488" s="196"/>
    </row>
    <row r="489" spans="1:49" s="195" customFormat="1" ht="15" customHeight="1" x14ac:dyDescent="0.2">
      <c r="A489" s="199"/>
      <c r="B489" s="193"/>
      <c r="C489" s="193"/>
      <c r="D489" s="193"/>
      <c r="E489" s="199"/>
      <c r="F489" s="608"/>
      <c r="G489" s="199"/>
      <c r="H489" s="199"/>
      <c r="P489" s="196"/>
      <c r="Q489" s="196"/>
      <c r="R489" s="196"/>
      <c r="AG489" s="196"/>
      <c r="AH489" s="196"/>
      <c r="AI489" s="196"/>
      <c r="AJ489" s="196"/>
      <c r="AK489" s="196"/>
      <c r="AL489" s="196"/>
      <c r="AM489" s="196"/>
      <c r="AN489" s="196"/>
      <c r="AV489" s="196"/>
      <c r="AW489" s="196"/>
    </row>
    <row r="490" spans="1:49" s="195" customFormat="1" ht="15" customHeight="1" x14ac:dyDescent="0.2">
      <c r="A490" s="199"/>
      <c r="B490" s="193"/>
      <c r="C490" s="193"/>
      <c r="D490" s="193"/>
      <c r="E490" s="199"/>
      <c r="F490" s="608"/>
      <c r="G490" s="199"/>
      <c r="H490" s="199"/>
      <c r="P490" s="196"/>
      <c r="Q490" s="196"/>
      <c r="R490" s="196"/>
      <c r="AG490" s="196"/>
      <c r="AH490" s="196"/>
      <c r="AI490" s="196"/>
      <c r="AJ490" s="196"/>
      <c r="AK490" s="196"/>
      <c r="AL490" s="196"/>
      <c r="AM490" s="196"/>
      <c r="AN490" s="196"/>
      <c r="AV490" s="196"/>
      <c r="AW490" s="196"/>
    </row>
    <row r="491" spans="1:49" s="195" customFormat="1" ht="15" customHeight="1" x14ac:dyDescent="0.2">
      <c r="A491" s="199"/>
      <c r="B491" s="193"/>
      <c r="C491" s="193"/>
      <c r="D491" s="193"/>
      <c r="E491" s="199"/>
      <c r="F491" s="608"/>
      <c r="G491" s="199"/>
      <c r="H491" s="199"/>
      <c r="P491" s="196"/>
      <c r="Q491" s="196"/>
      <c r="R491" s="196"/>
      <c r="AG491" s="196"/>
      <c r="AH491" s="196"/>
      <c r="AI491" s="196"/>
      <c r="AJ491" s="196"/>
      <c r="AK491" s="196"/>
      <c r="AL491" s="196"/>
      <c r="AM491" s="196"/>
      <c r="AN491" s="196"/>
      <c r="AV491" s="196"/>
      <c r="AW491" s="196"/>
    </row>
    <row r="492" spans="1:49" s="195" customFormat="1" ht="15" customHeight="1" x14ac:dyDescent="0.2">
      <c r="A492" s="199"/>
      <c r="B492" s="193"/>
      <c r="C492" s="193"/>
      <c r="D492" s="193"/>
      <c r="E492" s="199"/>
      <c r="F492" s="608"/>
      <c r="G492" s="199"/>
      <c r="H492" s="199"/>
      <c r="P492" s="196"/>
      <c r="Q492" s="196"/>
      <c r="R492" s="196"/>
      <c r="AG492" s="196"/>
      <c r="AH492" s="196"/>
      <c r="AI492" s="196"/>
      <c r="AJ492" s="196"/>
      <c r="AK492" s="196"/>
      <c r="AL492" s="196"/>
      <c r="AM492" s="196"/>
      <c r="AN492" s="196"/>
      <c r="AV492" s="196"/>
      <c r="AW492" s="196"/>
    </row>
    <row r="493" spans="1:49" s="195" customFormat="1" ht="15" customHeight="1" x14ac:dyDescent="0.2">
      <c r="A493" s="199"/>
      <c r="B493" s="193"/>
      <c r="C493" s="193"/>
      <c r="D493" s="193"/>
      <c r="E493" s="199"/>
      <c r="F493" s="608"/>
      <c r="G493" s="199"/>
      <c r="H493" s="199"/>
      <c r="P493" s="196"/>
      <c r="Q493" s="196"/>
      <c r="R493" s="196"/>
      <c r="AG493" s="196"/>
      <c r="AH493" s="196"/>
      <c r="AI493" s="196"/>
      <c r="AJ493" s="196"/>
      <c r="AK493" s="196"/>
      <c r="AL493" s="196"/>
      <c r="AM493" s="196"/>
      <c r="AN493" s="196"/>
      <c r="AV493" s="196"/>
      <c r="AW493" s="196"/>
    </row>
    <row r="494" spans="1:49" s="195" customFormat="1" ht="15" customHeight="1" x14ac:dyDescent="0.2">
      <c r="A494" s="199"/>
      <c r="B494" s="193"/>
      <c r="C494" s="193"/>
      <c r="D494" s="193"/>
      <c r="E494" s="199"/>
      <c r="F494" s="608"/>
      <c r="G494" s="199"/>
      <c r="H494" s="199"/>
      <c r="P494" s="196"/>
      <c r="Q494" s="196"/>
      <c r="R494" s="196"/>
      <c r="AG494" s="196"/>
      <c r="AH494" s="196"/>
      <c r="AI494" s="196"/>
      <c r="AJ494" s="196"/>
      <c r="AK494" s="196"/>
      <c r="AL494" s="196"/>
      <c r="AM494" s="196"/>
      <c r="AN494" s="196"/>
      <c r="AV494" s="196"/>
      <c r="AW494" s="196"/>
    </row>
    <row r="495" spans="1:49" s="195" customFormat="1" ht="15" customHeight="1" x14ac:dyDescent="0.2">
      <c r="A495" s="199"/>
      <c r="B495" s="193"/>
      <c r="C495" s="193"/>
      <c r="D495" s="193"/>
      <c r="E495" s="199"/>
      <c r="F495" s="608"/>
      <c r="G495" s="199"/>
      <c r="H495" s="199"/>
      <c r="P495" s="196"/>
      <c r="Q495" s="196"/>
      <c r="R495" s="196"/>
      <c r="AG495" s="196"/>
      <c r="AH495" s="196"/>
      <c r="AI495" s="196"/>
      <c r="AJ495" s="196"/>
      <c r="AK495" s="196"/>
      <c r="AL495" s="196"/>
      <c r="AM495" s="196"/>
      <c r="AN495" s="196"/>
      <c r="AV495" s="196"/>
      <c r="AW495" s="196"/>
    </row>
    <row r="496" spans="1:49" s="195" customFormat="1" ht="15" customHeight="1" x14ac:dyDescent="0.2">
      <c r="A496" s="199"/>
      <c r="B496" s="193"/>
      <c r="C496" s="193"/>
      <c r="D496" s="193"/>
      <c r="E496" s="199"/>
      <c r="F496" s="608"/>
      <c r="G496" s="199"/>
      <c r="H496" s="199"/>
      <c r="P496" s="196"/>
      <c r="Q496" s="196"/>
      <c r="R496" s="196"/>
      <c r="AG496" s="196"/>
      <c r="AH496" s="196"/>
      <c r="AI496" s="196"/>
      <c r="AJ496" s="196"/>
      <c r="AK496" s="196"/>
      <c r="AL496" s="196"/>
      <c r="AM496" s="196"/>
      <c r="AN496" s="196"/>
      <c r="AV496" s="196"/>
      <c r="AW496" s="196"/>
    </row>
    <row r="497" spans="1:49" s="195" customFormat="1" ht="15" customHeight="1" x14ac:dyDescent="0.2">
      <c r="A497" s="199"/>
      <c r="B497" s="193"/>
      <c r="C497" s="193"/>
      <c r="D497" s="193"/>
      <c r="E497" s="199"/>
      <c r="F497" s="608"/>
      <c r="G497" s="199"/>
      <c r="H497" s="199"/>
      <c r="P497" s="196"/>
      <c r="Q497" s="196"/>
      <c r="R497" s="196"/>
      <c r="AG497" s="196"/>
      <c r="AH497" s="196"/>
      <c r="AI497" s="196"/>
      <c r="AJ497" s="196"/>
      <c r="AK497" s="196"/>
      <c r="AL497" s="196"/>
      <c r="AM497" s="196"/>
      <c r="AN497" s="196"/>
      <c r="AV497" s="196"/>
      <c r="AW497" s="196"/>
    </row>
    <row r="498" spans="1:49" s="195" customFormat="1" ht="15" customHeight="1" x14ac:dyDescent="0.2">
      <c r="A498" s="199"/>
      <c r="B498" s="193"/>
      <c r="C498" s="193"/>
      <c r="D498" s="193"/>
      <c r="E498" s="199"/>
      <c r="F498" s="608"/>
      <c r="G498" s="199"/>
      <c r="H498" s="199"/>
      <c r="P498" s="196"/>
      <c r="Q498" s="196"/>
      <c r="R498" s="196"/>
      <c r="AG498" s="196"/>
      <c r="AH498" s="196"/>
      <c r="AI498" s="196"/>
      <c r="AJ498" s="196"/>
      <c r="AK498" s="196"/>
      <c r="AL498" s="196"/>
      <c r="AM498" s="196"/>
      <c r="AN498" s="196"/>
      <c r="AV498" s="196"/>
      <c r="AW498" s="196"/>
    </row>
    <row r="499" spans="1:49" s="195" customFormat="1" ht="15" customHeight="1" x14ac:dyDescent="0.2">
      <c r="A499" s="199"/>
      <c r="B499" s="193"/>
      <c r="C499" s="193"/>
      <c r="D499" s="193"/>
      <c r="E499" s="199"/>
      <c r="F499" s="608"/>
      <c r="G499" s="199"/>
      <c r="H499" s="199"/>
      <c r="P499" s="196"/>
      <c r="Q499" s="196"/>
      <c r="R499" s="196"/>
      <c r="AG499" s="196"/>
      <c r="AH499" s="196"/>
      <c r="AI499" s="196"/>
      <c r="AJ499" s="196"/>
      <c r="AK499" s="196"/>
      <c r="AL499" s="196"/>
      <c r="AM499" s="196"/>
      <c r="AN499" s="196"/>
      <c r="AV499" s="196"/>
      <c r="AW499" s="196"/>
    </row>
    <row r="500" spans="1:49" s="195" customFormat="1" ht="15" customHeight="1" x14ac:dyDescent="0.2">
      <c r="A500" s="199"/>
      <c r="B500" s="193"/>
      <c r="C500" s="193"/>
      <c r="D500" s="193"/>
      <c r="E500" s="199"/>
      <c r="F500" s="608"/>
      <c r="G500" s="199"/>
      <c r="H500" s="199"/>
      <c r="P500" s="196"/>
      <c r="Q500" s="196"/>
      <c r="R500" s="196"/>
      <c r="AG500" s="196"/>
      <c r="AH500" s="196"/>
      <c r="AI500" s="196"/>
      <c r="AJ500" s="196"/>
      <c r="AK500" s="196"/>
      <c r="AL500" s="196"/>
      <c r="AM500" s="196"/>
      <c r="AN500" s="196"/>
      <c r="AV500" s="196"/>
      <c r="AW500" s="196"/>
    </row>
    <row r="526" spans="1:49" s="195" customFormat="1" ht="15" customHeight="1" x14ac:dyDescent="0.2">
      <c r="A526" s="199"/>
      <c r="B526" s="193"/>
      <c r="C526" s="193"/>
      <c r="D526" s="193"/>
      <c r="E526" s="199"/>
      <c r="F526" s="608"/>
      <c r="G526" s="199"/>
      <c r="H526" s="199"/>
      <c r="P526" s="196"/>
      <c r="Q526" s="196"/>
      <c r="R526" s="196"/>
      <c r="AG526" s="196"/>
      <c r="AH526" s="196"/>
      <c r="AI526" s="196"/>
      <c r="AJ526" s="196"/>
      <c r="AK526" s="196"/>
      <c r="AL526" s="196"/>
      <c r="AM526" s="196"/>
      <c r="AN526" s="196"/>
      <c r="AV526" s="196"/>
      <c r="AW526" s="196"/>
    </row>
    <row r="527" spans="1:49" s="195" customFormat="1" ht="15" customHeight="1" x14ac:dyDescent="0.2">
      <c r="A527" s="199"/>
      <c r="B527" s="193"/>
      <c r="C527" s="193"/>
      <c r="D527" s="193"/>
      <c r="E527" s="199"/>
      <c r="F527" s="608"/>
      <c r="G527" s="199"/>
      <c r="H527" s="199"/>
      <c r="P527" s="196"/>
      <c r="Q527" s="196"/>
      <c r="R527" s="196"/>
      <c r="AG527" s="196"/>
      <c r="AH527" s="196"/>
      <c r="AI527" s="196"/>
      <c r="AJ527" s="196"/>
      <c r="AK527" s="196"/>
      <c r="AL527" s="196"/>
      <c r="AM527" s="196"/>
      <c r="AN527" s="196"/>
      <c r="AV527" s="196"/>
      <c r="AW527" s="196"/>
    </row>
    <row r="545" spans="1:49" s="195" customFormat="1" x14ac:dyDescent="0.2">
      <c r="A545" s="199"/>
      <c r="B545" s="193"/>
      <c r="C545" s="193"/>
      <c r="D545" s="193"/>
      <c r="E545" s="608"/>
      <c r="F545" s="199"/>
      <c r="G545" s="199"/>
      <c r="H545" s="199"/>
      <c r="J545" s="509"/>
      <c r="K545" s="509"/>
      <c r="L545" s="509"/>
      <c r="M545" s="509"/>
      <c r="N545" s="509"/>
      <c r="O545" s="509"/>
      <c r="P545" s="196"/>
      <c r="Q545" s="510"/>
      <c r="R545" s="510"/>
      <c r="AG545" s="196"/>
      <c r="AH545" s="196"/>
      <c r="AI545" s="196"/>
      <c r="AJ545" s="196"/>
      <c r="AK545" s="196"/>
      <c r="AL545" s="196"/>
      <c r="AM545" s="196"/>
      <c r="AN545" s="196"/>
      <c r="AV545" s="196"/>
      <c r="AW545" s="196"/>
    </row>
    <row r="546" spans="1:49" s="195" customFormat="1" x14ac:dyDescent="0.2">
      <c r="A546" s="199"/>
      <c r="B546" s="193"/>
      <c r="C546" s="193"/>
      <c r="D546" s="193"/>
      <c r="E546" s="608"/>
      <c r="F546" s="199"/>
      <c r="G546" s="199"/>
      <c r="H546" s="199"/>
      <c r="J546" s="509"/>
      <c r="K546" s="509"/>
      <c r="L546" s="509"/>
      <c r="M546" s="509"/>
      <c r="N546" s="509"/>
      <c r="O546" s="509"/>
      <c r="P546" s="196"/>
      <c r="Q546" s="510"/>
      <c r="R546" s="510"/>
      <c r="AG546" s="196"/>
      <c r="AH546" s="196"/>
      <c r="AI546" s="196"/>
      <c r="AJ546" s="196"/>
      <c r="AK546" s="196"/>
      <c r="AL546" s="196"/>
      <c r="AM546" s="196"/>
      <c r="AN546" s="196"/>
      <c r="AV546" s="196"/>
      <c r="AW546" s="196"/>
    </row>
    <row r="554" spans="1:49" s="195" customFormat="1" x14ac:dyDescent="0.2">
      <c r="A554" s="199"/>
      <c r="B554" s="193"/>
      <c r="C554" s="193"/>
      <c r="D554" s="193"/>
      <c r="E554" s="199"/>
      <c r="F554" s="199"/>
      <c r="G554" s="199"/>
      <c r="H554" s="199"/>
      <c r="P554" s="196"/>
      <c r="Q554" s="196"/>
      <c r="R554" s="196"/>
      <c r="AG554" s="196"/>
      <c r="AH554" s="196"/>
      <c r="AI554" s="196"/>
      <c r="AJ554" s="196"/>
      <c r="AK554" s="196"/>
      <c r="AL554" s="196"/>
      <c r="AM554" s="196"/>
      <c r="AN554" s="196"/>
      <c r="AV554" s="196"/>
      <c r="AW554" s="196"/>
    </row>
    <row r="555" spans="1:49" s="195" customFormat="1" ht="15" customHeight="1" x14ac:dyDescent="0.2">
      <c r="A555" s="199"/>
      <c r="B555" s="193"/>
      <c r="C555" s="193"/>
      <c r="D555" s="193"/>
      <c r="E555" s="199"/>
      <c r="F555" s="199"/>
      <c r="G555" s="608"/>
      <c r="H555" s="199"/>
      <c r="I555" s="177"/>
      <c r="J555" s="177"/>
      <c r="K555" s="177"/>
      <c r="L555" s="177"/>
      <c r="M555" s="177"/>
      <c r="N555" s="177"/>
      <c r="O555" s="177"/>
      <c r="P555" s="196"/>
      <c r="Q555" s="196"/>
      <c r="R555" s="196"/>
      <c r="AG555" s="196"/>
      <c r="AH555" s="196"/>
      <c r="AI555" s="196"/>
      <c r="AJ555" s="196"/>
      <c r="AK555" s="196"/>
      <c r="AL555" s="196"/>
      <c r="AM555" s="196"/>
      <c r="AN555" s="196"/>
      <c r="AV555" s="196"/>
      <c r="AW555" s="196"/>
    </row>
    <row r="556" spans="1:49" s="195" customFormat="1" ht="15" customHeight="1" x14ac:dyDescent="0.2">
      <c r="A556" s="199"/>
      <c r="B556" s="193"/>
      <c r="C556" s="193"/>
      <c r="D556" s="193"/>
      <c r="E556" s="199"/>
      <c r="F556" s="199"/>
      <c r="G556" s="608"/>
      <c r="H556" s="199"/>
      <c r="I556" s="177"/>
      <c r="J556" s="177"/>
      <c r="K556" s="177"/>
      <c r="L556" s="177"/>
      <c r="M556" s="177"/>
      <c r="N556" s="177"/>
      <c r="O556" s="177"/>
      <c r="P556" s="196"/>
      <c r="Q556" s="196"/>
      <c r="R556" s="196"/>
      <c r="AG556" s="196"/>
      <c r="AH556" s="196"/>
      <c r="AI556" s="196"/>
      <c r="AJ556" s="196"/>
      <c r="AK556" s="196"/>
      <c r="AL556" s="196"/>
      <c r="AM556" s="196"/>
      <c r="AN556" s="196"/>
      <c r="AV556" s="196"/>
      <c r="AW556" s="196"/>
    </row>
    <row r="557" spans="1:49" s="195" customFormat="1" ht="15" customHeight="1" x14ac:dyDescent="0.2">
      <c r="A557" s="199"/>
      <c r="B557" s="193"/>
      <c r="C557" s="193"/>
      <c r="D557" s="193"/>
      <c r="E557" s="199"/>
      <c r="F557" s="199"/>
      <c r="G557" s="608"/>
      <c r="H557" s="199"/>
      <c r="I557" s="177"/>
      <c r="J557" s="177"/>
      <c r="K557" s="177"/>
      <c r="L557" s="177"/>
      <c r="M557" s="177"/>
      <c r="N557" s="177"/>
      <c r="O557" s="177"/>
      <c r="P557" s="196"/>
      <c r="Q557" s="196"/>
      <c r="R557" s="196"/>
      <c r="AG557" s="196"/>
      <c r="AH557" s="196"/>
      <c r="AI557" s="196"/>
      <c r="AJ557" s="196"/>
      <c r="AK557" s="196"/>
      <c r="AL557" s="196"/>
      <c r="AM557" s="196"/>
      <c r="AN557" s="196"/>
      <c r="AV557" s="196"/>
      <c r="AW557" s="196"/>
    </row>
    <row r="558" spans="1:49" s="195" customFormat="1" ht="15" customHeight="1" x14ac:dyDescent="0.2">
      <c r="A558" s="199"/>
      <c r="B558" s="193"/>
      <c r="C558" s="193"/>
      <c r="D558" s="193"/>
      <c r="E558" s="199"/>
      <c r="F558" s="199"/>
      <c r="G558" s="608"/>
      <c r="H558" s="199"/>
      <c r="I558" s="177"/>
      <c r="J558" s="177"/>
      <c r="K558" s="177"/>
      <c r="L558" s="177"/>
      <c r="M558" s="177"/>
      <c r="N558" s="177"/>
      <c r="O558" s="177"/>
      <c r="P558" s="196"/>
      <c r="Q558" s="196"/>
      <c r="R558" s="196"/>
      <c r="AG558" s="196"/>
      <c r="AH558" s="196"/>
      <c r="AI558" s="196"/>
      <c r="AJ558" s="196"/>
      <c r="AK558" s="196"/>
      <c r="AL558" s="196"/>
      <c r="AM558" s="196"/>
      <c r="AN558" s="196"/>
      <c r="AV558" s="196"/>
      <c r="AW558" s="196"/>
    </row>
    <row r="559" spans="1:49" s="195" customFormat="1" ht="15" customHeight="1" x14ac:dyDescent="0.2">
      <c r="A559" s="199"/>
      <c r="B559" s="193"/>
      <c r="C559" s="193"/>
      <c r="D559" s="193"/>
      <c r="E559" s="199"/>
      <c r="F559" s="199"/>
      <c r="G559" s="608"/>
      <c r="H559" s="199"/>
      <c r="I559" s="177"/>
      <c r="J559" s="177"/>
      <c r="K559" s="177"/>
      <c r="L559" s="177"/>
      <c r="M559" s="177"/>
      <c r="N559" s="177"/>
      <c r="O559" s="177"/>
      <c r="P559" s="196"/>
      <c r="Q559" s="196"/>
      <c r="R559" s="196"/>
      <c r="AG559" s="196"/>
      <c r="AH559" s="196"/>
      <c r="AI559" s="196"/>
      <c r="AJ559" s="196"/>
      <c r="AK559" s="196"/>
      <c r="AL559" s="196"/>
      <c r="AM559" s="196"/>
      <c r="AN559" s="196"/>
      <c r="AV559" s="196"/>
      <c r="AW559" s="196"/>
    </row>
    <row r="560" spans="1:49" s="195" customFormat="1" ht="15" customHeight="1" x14ac:dyDescent="0.2">
      <c r="A560" s="199"/>
      <c r="B560" s="193"/>
      <c r="C560" s="193"/>
      <c r="D560" s="193"/>
      <c r="E560" s="199"/>
      <c r="F560" s="199"/>
      <c r="G560" s="608"/>
      <c r="H560" s="199"/>
      <c r="I560" s="177"/>
      <c r="J560" s="177"/>
      <c r="K560" s="177"/>
      <c r="L560" s="177"/>
      <c r="M560" s="177"/>
      <c r="N560" s="177"/>
      <c r="O560" s="177"/>
      <c r="P560" s="196"/>
      <c r="Q560" s="196"/>
      <c r="R560" s="196"/>
      <c r="AG560" s="196"/>
      <c r="AH560" s="196"/>
      <c r="AI560" s="196"/>
      <c r="AJ560" s="196"/>
      <c r="AK560" s="196"/>
      <c r="AL560" s="196"/>
      <c r="AM560" s="196"/>
      <c r="AN560" s="196"/>
      <c r="AV560" s="196"/>
      <c r="AW560" s="196"/>
    </row>
    <row r="561" spans="1:49" s="195" customFormat="1" ht="15" customHeight="1" x14ac:dyDescent="0.2">
      <c r="A561" s="199"/>
      <c r="B561" s="193"/>
      <c r="C561" s="193"/>
      <c r="D561" s="193"/>
      <c r="E561" s="199"/>
      <c r="F561" s="199"/>
      <c r="G561" s="608"/>
      <c r="H561" s="199"/>
      <c r="I561" s="177"/>
      <c r="J561" s="177"/>
      <c r="K561" s="177"/>
      <c r="L561" s="177"/>
      <c r="M561" s="177"/>
      <c r="N561" s="177"/>
      <c r="O561" s="177"/>
      <c r="P561" s="196"/>
      <c r="Q561" s="196"/>
      <c r="R561" s="196"/>
      <c r="AG561" s="196"/>
      <c r="AH561" s="196"/>
      <c r="AI561" s="196"/>
      <c r="AJ561" s="196"/>
      <c r="AK561" s="196"/>
      <c r="AL561" s="196"/>
      <c r="AM561" s="196"/>
      <c r="AN561" s="196"/>
      <c r="AV561" s="196"/>
      <c r="AW561" s="196"/>
    </row>
    <row r="562" spans="1:49" s="195" customFormat="1" ht="15" customHeight="1" x14ac:dyDescent="0.2">
      <c r="A562" s="199"/>
      <c r="B562" s="193"/>
      <c r="C562" s="193"/>
      <c r="D562" s="193"/>
      <c r="E562" s="199"/>
      <c r="F562" s="199"/>
      <c r="G562" s="608"/>
      <c r="H562" s="199"/>
      <c r="I562" s="177"/>
      <c r="J562" s="177"/>
      <c r="K562" s="177"/>
      <c r="L562" s="177"/>
      <c r="M562" s="177"/>
      <c r="N562" s="177"/>
      <c r="O562" s="177"/>
      <c r="P562" s="196"/>
      <c r="Q562" s="196"/>
      <c r="R562" s="196"/>
      <c r="AG562" s="196"/>
      <c r="AH562" s="196"/>
      <c r="AI562" s="196"/>
      <c r="AJ562" s="196"/>
      <c r="AK562" s="196"/>
      <c r="AL562" s="196"/>
      <c r="AM562" s="196"/>
      <c r="AN562" s="196"/>
      <c r="AV562" s="196"/>
      <c r="AW562" s="196"/>
    </row>
    <row r="563" spans="1:49" s="195" customFormat="1" ht="15" customHeight="1" x14ac:dyDescent="0.2">
      <c r="A563" s="199"/>
      <c r="B563" s="193"/>
      <c r="C563" s="193"/>
      <c r="D563" s="193"/>
      <c r="E563" s="199"/>
      <c r="F563" s="199"/>
      <c r="G563" s="608"/>
      <c r="H563" s="199"/>
      <c r="I563" s="177"/>
      <c r="J563" s="177"/>
      <c r="K563" s="177"/>
      <c r="L563" s="177"/>
      <c r="M563" s="177"/>
      <c r="N563" s="177"/>
      <c r="O563" s="177"/>
      <c r="P563" s="196"/>
      <c r="Q563" s="196"/>
      <c r="R563" s="196"/>
      <c r="AG563" s="196"/>
      <c r="AH563" s="196"/>
      <c r="AI563" s="196"/>
      <c r="AJ563" s="196"/>
      <c r="AK563" s="196"/>
      <c r="AL563" s="196"/>
      <c r="AM563" s="196"/>
      <c r="AN563" s="196"/>
      <c r="AV563" s="196"/>
      <c r="AW563" s="196"/>
    </row>
    <row r="564" spans="1:49" s="195" customFormat="1" ht="15" customHeight="1" x14ac:dyDescent="0.2">
      <c r="A564" s="199"/>
      <c r="B564" s="193"/>
      <c r="C564" s="193"/>
      <c r="D564" s="193"/>
      <c r="E564" s="199"/>
      <c r="F564" s="199"/>
      <c r="G564" s="608"/>
      <c r="H564" s="199"/>
      <c r="P564" s="196"/>
      <c r="Q564" s="196"/>
      <c r="R564" s="196"/>
      <c r="AG564" s="196"/>
      <c r="AH564" s="196"/>
      <c r="AI564" s="196"/>
      <c r="AJ564" s="196"/>
      <c r="AK564" s="196"/>
      <c r="AL564" s="196"/>
      <c r="AM564" s="196"/>
      <c r="AN564" s="196"/>
      <c r="AV564" s="196"/>
      <c r="AW564" s="196"/>
    </row>
    <row r="583" spans="9:18" ht="15" customHeight="1" x14ac:dyDescent="0.2">
      <c r="I583" s="177"/>
      <c r="J583" s="177"/>
      <c r="K583" s="177"/>
      <c r="L583" s="177"/>
      <c r="M583" s="177"/>
      <c r="N583" s="177"/>
      <c r="O583" s="177"/>
      <c r="Q583" s="196"/>
      <c r="R583" s="196"/>
    </row>
    <row r="584" spans="9:18" ht="15" customHeight="1" x14ac:dyDescent="0.2">
      <c r="I584" s="177"/>
      <c r="J584" s="177"/>
      <c r="K584" s="177"/>
      <c r="L584" s="177"/>
      <c r="M584" s="177"/>
      <c r="N584" s="177"/>
      <c r="O584" s="177"/>
      <c r="Q584" s="196"/>
      <c r="R584" s="196"/>
    </row>
    <row r="585" spans="9:18" ht="15" customHeight="1" x14ac:dyDescent="0.2">
      <c r="I585" s="177"/>
      <c r="J585" s="177"/>
      <c r="K585" s="177"/>
      <c r="L585" s="177"/>
      <c r="M585" s="177"/>
      <c r="N585" s="177"/>
      <c r="O585" s="177"/>
      <c r="Q585" s="196"/>
      <c r="R585" s="196"/>
    </row>
    <row r="586" spans="9:18" ht="15" customHeight="1" x14ac:dyDescent="0.2">
      <c r="I586" s="177"/>
      <c r="J586" s="177"/>
      <c r="K586" s="177"/>
      <c r="L586" s="177"/>
      <c r="M586" s="177"/>
      <c r="N586" s="177"/>
      <c r="O586" s="177"/>
      <c r="Q586" s="196"/>
      <c r="R586" s="196"/>
    </row>
    <row r="587" spans="9:18" ht="15" customHeight="1" x14ac:dyDescent="0.2">
      <c r="I587" s="177"/>
      <c r="J587" s="177"/>
      <c r="K587" s="177"/>
      <c r="L587" s="177"/>
      <c r="M587" s="177"/>
      <c r="N587" s="177"/>
      <c r="O587" s="177"/>
      <c r="Q587" s="196"/>
      <c r="R587" s="196"/>
    </row>
    <row r="588" spans="9:18" ht="15" customHeight="1" x14ac:dyDescent="0.2">
      <c r="I588" s="177"/>
      <c r="J588" s="177"/>
      <c r="K588" s="177"/>
      <c r="L588" s="177"/>
      <c r="M588" s="177"/>
      <c r="N588" s="177"/>
      <c r="O588" s="177"/>
      <c r="Q588" s="196"/>
      <c r="R588" s="196"/>
    </row>
    <row r="589" spans="9:18" ht="15" customHeight="1" x14ac:dyDescent="0.2">
      <c r="I589" s="177"/>
      <c r="J589" s="177"/>
      <c r="K589" s="177"/>
      <c r="L589" s="177"/>
      <c r="M589" s="177"/>
      <c r="N589" s="177"/>
      <c r="O589" s="177"/>
      <c r="Q589" s="196"/>
      <c r="R589" s="196"/>
    </row>
    <row r="590" spans="9:18" ht="15" customHeight="1" x14ac:dyDescent="0.2"/>
  </sheetData>
  <mergeCells count="24">
    <mergeCell ref="I6:R7"/>
    <mergeCell ref="A3:E3"/>
    <mergeCell ref="Z7:Z10"/>
    <mergeCell ref="AA7:AA10"/>
    <mergeCell ref="I8:I10"/>
    <mergeCell ref="J8:O9"/>
    <mergeCell ref="P8:P10"/>
    <mergeCell ref="Q8:R9"/>
    <mergeCell ref="S6:AN6"/>
    <mergeCell ref="AO6:AX7"/>
    <mergeCell ref="S7:V9"/>
    <mergeCell ref="W7:Y9"/>
    <mergeCell ref="AB7:AB10"/>
    <mergeCell ref="AC7:AE9"/>
    <mergeCell ref="AF7:AF10"/>
    <mergeCell ref="AG7:AN7"/>
    <mergeCell ref="AG8:AH9"/>
    <mergeCell ref="AJ8:AK9"/>
    <mergeCell ref="AL8:AN9"/>
    <mergeCell ref="AO8:AO10"/>
    <mergeCell ref="AP8:AU9"/>
    <mergeCell ref="AV8:AV10"/>
    <mergeCell ref="AW8:AX9"/>
    <mergeCell ref="AI8:AI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220"/>
  <sheetViews>
    <sheetView workbookViewId="0">
      <pane xSplit="8" ySplit="11" topLeftCell="AM12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ColWidth="9.140625" defaultRowHeight="15" x14ac:dyDescent="0.25"/>
  <cols>
    <col min="1" max="1" width="5" style="102" customWidth="1"/>
    <col min="2" max="2" width="8" style="80" customWidth="1"/>
    <col min="3" max="3" width="10.28515625" style="80" customWidth="1"/>
    <col min="4" max="4" width="9.42578125" style="80" customWidth="1"/>
    <col min="5" max="5" width="26.5703125" style="82" customWidth="1"/>
    <col min="6" max="6" width="4.42578125" style="82" bestFit="1" customWidth="1"/>
    <col min="7" max="7" width="11.42578125" style="82" customWidth="1"/>
    <col min="8" max="8" width="8.5703125" style="127" customWidth="1"/>
    <col min="9" max="9" width="11.7109375" style="82" customWidth="1"/>
    <col min="10" max="10" width="10" style="82" customWidth="1"/>
    <col min="11" max="11" width="9.42578125" style="82" customWidth="1"/>
    <col min="12" max="12" width="10.42578125" style="82" customWidth="1"/>
    <col min="13" max="13" width="10.140625" style="82" customWidth="1"/>
    <col min="14" max="14" width="9.7109375" style="82" customWidth="1"/>
    <col min="15" max="15" width="10.5703125" style="82" customWidth="1"/>
    <col min="16" max="16" width="11.7109375" style="112" customWidth="1"/>
    <col min="17" max="17" width="10.140625" style="112" customWidth="1"/>
    <col min="18" max="18" width="10.28515625" style="112" customWidth="1"/>
    <col min="19" max="19" width="9.140625" style="81" customWidth="1"/>
    <col min="20" max="20" width="9.140625" style="82" customWidth="1"/>
    <col min="21" max="21" width="9.85546875" style="82" customWidth="1"/>
    <col min="22" max="22" width="9.140625" style="82" customWidth="1"/>
    <col min="23" max="23" width="8.85546875" style="82" customWidth="1"/>
    <col min="24" max="25" width="9.140625" style="82" customWidth="1"/>
    <col min="26" max="26" width="10" style="82" customWidth="1"/>
    <col min="27" max="31" width="9.140625" style="82" customWidth="1"/>
    <col min="32" max="32" width="9.85546875" style="82" customWidth="1"/>
    <col min="33" max="33" width="9.28515625" style="112" customWidth="1"/>
    <col min="34" max="34" width="9" style="112" customWidth="1"/>
    <col min="35" max="38" width="9.140625" style="112" customWidth="1"/>
    <col min="39" max="39" width="8.42578125" style="112" customWidth="1"/>
    <col min="40" max="40" width="9.5703125" style="112" customWidth="1"/>
    <col min="41" max="41" width="10" style="82" customWidth="1"/>
    <col min="42" max="42" width="11" style="82" customWidth="1"/>
    <col min="43" max="44" width="10.28515625" style="82" customWidth="1"/>
    <col min="45" max="47" width="9.140625" style="82" customWidth="1"/>
    <col min="48" max="48" width="11.28515625" style="112" customWidth="1"/>
    <col min="49" max="50" width="9.140625" style="112" customWidth="1"/>
    <col min="51" max="52" width="9.140625" style="82" customWidth="1"/>
    <col min="53" max="16384" width="9.140625" style="82"/>
  </cols>
  <sheetData>
    <row r="1" spans="1:50" ht="12" customHeight="1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2" customHeight="1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724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724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724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2.75" customHeight="1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8.75" customHeight="1" thickBot="1" x14ac:dyDescent="0.3">
      <c r="A7" s="203"/>
      <c r="B7" s="460"/>
      <c r="C7" s="738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5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9.5" customHeight="1" thickBot="1" x14ac:dyDescent="0.3">
      <c r="A9" s="302" t="s">
        <v>830</v>
      </c>
      <c r="B9" s="738"/>
      <c r="C9" s="738"/>
      <c r="D9" s="462"/>
      <c r="E9" s="738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6.5" customHeight="1" thickBot="1" x14ac:dyDescent="0.3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42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0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1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8" t="s">
        <v>313</v>
      </c>
      <c r="AL11" s="258" t="s">
        <v>312</v>
      </c>
      <c r="AM11" s="258" t="s">
        <v>313</v>
      </c>
      <c r="AN11" s="259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ht="14.25" customHeight="1" x14ac:dyDescent="0.25">
      <c r="A12" s="309">
        <v>1</v>
      </c>
      <c r="B12" s="470">
        <v>5490</v>
      </c>
      <c r="C12" s="470">
        <v>600099474</v>
      </c>
      <c r="D12" s="470">
        <v>71173854</v>
      </c>
      <c r="E12" s="543" t="s">
        <v>488</v>
      </c>
      <c r="F12" s="470">
        <v>3111</v>
      </c>
      <c r="G12" s="544" t="s">
        <v>331</v>
      </c>
      <c r="H12" s="545" t="s">
        <v>283</v>
      </c>
      <c r="I12" s="473">
        <v>11616919</v>
      </c>
      <c r="J12" s="474">
        <v>8436593</v>
      </c>
      <c r="K12" s="475">
        <v>50926</v>
      </c>
      <c r="L12" s="475">
        <v>0</v>
      </c>
      <c r="M12" s="411">
        <v>2851568</v>
      </c>
      <c r="N12" s="411">
        <v>168732</v>
      </c>
      <c r="O12" s="474">
        <v>109100</v>
      </c>
      <c r="P12" s="476">
        <v>19.930399999999999</v>
      </c>
      <c r="Q12" s="477">
        <v>15.75</v>
      </c>
      <c r="R12" s="478">
        <v>4.1803999999999997</v>
      </c>
      <c r="S12" s="479">
        <f>W12*-1</f>
        <v>0</v>
      </c>
      <c r="T12" s="485">
        <v>0</v>
      </c>
      <c r="U12" s="485">
        <v>0</v>
      </c>
      <c r="V12" s="485">
        <f t="shared" ref="V12:V17" si="0">SUM(S12:U12)</f>
        <v>0</v>
      </c>
      <c r="W12" s="485">
        <v>0</v>
      </c>
      <c r="X12" s="480">
        <v>0</v>
      </c>
      <c r="Y12" s="485">
        <f t="shared" ref="Y12:Y17" si="1">SUM(W12:X12)</f>
        <v>0</v>
      </c>
      <c r="Z12" s="485">
        <f t="shared" ref="Z12:Z17" si="2">V12+Y12</f>
        <v>0</v>
      </c>
      <c r="AA12" s="319">
        <f t="shared" ref="AA12:AA17" si="3">ROUND((V12+W12)*33.8%,0)</f>
        <v>0</v>
      </c>
      <c r="AB12" s="261">
        <f t="shared" ref="AB12:AB17" si="4">ROUND(V12*2%,0)</f>
        <v>0</v>
      </c>
      <c r="AC12" s="485">
        <v>0</v>
      </c>
      <c r="AD12" s="485">
        <v>0</v>
      </c>
      <c r="AE12" s="486">
        <f t="shared" ref="AE12:AE77" si="5">SUM(AC12:AD12)</f>
        <v>0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546">
        <f>SUM(AL12:AM12)</f>
        <v>0</v>
      </c>
      <c r="AO12" s="547">
        <f t="shared" ref="AO12:AO17" si="6">I12+AF12</f>
        <v>11616919</v>
      </c>
      <c r="AP12" s="548">
        <f t="shared" ref="AP12:AP17" si="7">J12+V12</f>
        <v>8436593</v>
      </c>
      <c r="AQ12" s="486">
        <f t="shared" ref="AQ12:AQ17" si="8">K12+Y12</f>
        <v>50926</v>
      </c>
      <c r="AR12" s="480">
        <f t="shared" ref="AR12:AR17" si="9">L12</f>
        <v>0</v>
      </c>
      <c r="AS12" s="484">
        <f t="shared" ref="AS12:AT17" si="10">M12+AA12</f>
        <v>2851568</v>
      </c>
      <c r="AT12" s="485">
        <f t="shared" si="10"/>
        <v>168732</v>
      </c>
      <c r="AU12" s="485">
        <f t="shared" ref="AU12:AU17" si="11">O12+AE12</f>
        <v>109100</v>
      </c>
      <c r="AV12" s="487">
        <f t="shared" ref="AV12:AV17" si="12">P12+AN12</f>
        <v>19.930399999999999</v>
      </c>
      <c r="AW12" s="487">
        <f t="shared" ref="AW12:AX17" si="13">Q12+AL12</f>
        <v>15.75</v>
      </c>
      <c r="AX12" s="488">
        <f t="shared" si="13"/>
        <v>4.1803999999999997</v>
      </c>
    </row>
    <row r="13" spans="1:50" ht="12" customHeight="1" x14ac:dyDescent="0.25">
      <c r="A13" s="305">
        <v>1</v>
      </c>
      <c r="B13" s="549">
        <v>5490</v>
      </c>
      <c r="C13" s="549">
        <v>600099474</v>
      </c>
      <c r="D13" s="549">
        <v>71173854</v>
      </c>
      <c r="E13" s="550" t="s">
        <v>488</v>
      </c>
      <c r="F13" s="549">
        <v>3111</v>
      </c>
      <c r="G13" s="531" t="s">
        <v>319</v>
      </c>
      <c r="H13" s="494" t="s">
        <v>283</v>
      </c>
      <c r="I13" s="495">
        <v>1498449</v>
      </c>
      <c r="J13" s="496">
        <v>1103424</v>
      </c>
      <c r="K13" s="496">
        <v>0</v>
      </c>
      <c r="L13" s="496">
        <v>0</v>
      </c>
      <c r="M13" s="411">
        <v>372957</v>
      </c>
      <c r="N13" s="411">
        <v>22068</v>
      </c>
      <c r="O13" s="496">
        <v>0</v>
      </c>
      <c r="P13" s="497">
        <v>3</v>
      </c>
      <c r="Q13" s="412">
        <v>3</v>
      </c>
      <c r="R13" s="498">
        <v>0</v>
      </c>
      <c r="S13" s="499">
        <f>W13*-1</f>
        <v>0</v>
      </c>
      <c r="T13" s="486">
        <v>0</v>
      </c>
      <c r="U13" s="795">
        <v>0</v>
      </c>
      <c r="V13" s="486">
        <f t="shared" si="0"/>
        <v>0</v>
      </c>
      <c r="W13" s="486">
        <v>0</v>
      </c>
      <c r="X13" s="486">
        <v>0</v>
      </c>
      <c r="Y13" s="486">
        <f t="shared" si="1"/>
        <v>0</v>
      </c>
      <c r="Z13" s="486">
        <f t="shared" si="2"/>
        <v>0</v>
      </c>
      <c r="AA13" s="319">
        <f t="shared" si="3"/>
        <v>0</v>
      </c>
      <c r="AB13" s="178">
        <f t="shared" si="4"/>
        <v>0</v>
      </c>
      <c r="AC13" s="486">
        <v>0</v>
      </c>
      <c r="AD13" s="486">
        <v>0</v>
      </c>
      <c r="AE13" s="486">
        <f t="shared" si="5"/>
        <v>0</v>
      </c>
      <c r="AF13" s="486">
        <f t="shared" ref="AF13:AF77" si="14">Z13+AA13+AB13+AE13</f>
        <v>0</v>
      </c>
      <c r="AG13" s="501">
        <v>0</v>
      </c>
      <c r="AH13" s="501">
        <v>0</v>
      </c>
      <c r="AI13" s="501">
        <v>0</v>
      </c>
      <c r="AJ13" s="501">
        <v>0</v>
      </c>
      <c r="AK13" s="501">
        <v>0</v>
      </c>
      <c r="AL13" s="501">
        <f>AG13+AI13+AJ13</f>
        <v>0</v>
      </c>
      <c r="AM13" s="501">
        <f>AH13+AK13</f>
        <v>0</v>
      </c>
      <c r="AN13" s="529">
        <f t="shared" ref="AN13:AN77" si="15">SUM(AL13:AM13)</f>
        <v>0</v>
      </c>
      <c r="AO13" s="530">
        <f t="shared" si="6"/>
        <v>1498449</v>
      </c>
      <c r="AP13" s="500">
        <f t="shared" si="7"/>
        <v>1103424</v>
      </c>
      <c r="AQ13" s="486">
        <f t="shared" si="8"/>
        <v>0</v>
      </c>
      <c r="AR13" s="480">
        <f t="shared" si="9"/>
        <v>0</v>
      </c>
      <c r="AS13" s="499">
        <f t="shared" si="10"/>
        <v>372957</v>
      </c>
      <c r="AT13" s="486">
        <f t="shared" si="10"/>
        <v>22068</v>
      </c>
      <c r="AU13" s="486">
        <f t="shared" si="11"/>
        <v>0</v>
      </c>
      <c r="AV13" s="501">
        <f t="shared" si="12"/>
        <v>3</v>
      </c>
      <c r="AW13" s="501">
        <f t="shared" si="13"/>
        <v>3</v>
      </c>
      <c r="AX13" s="502">
        <f t="shared" si="13"/>
        <v>0</v>
      </c>
    </row>
    <row r="14" spans="1:50" ht="12.95" customHeight="1" x14ac:dyDescent="0.25">
      <c r="A14" s="305">
        <v>1</v>
      </c>
      <c r="B14" s="551">
        <v>5490</v>
      </c>
      <c r="C14" s="549">
        <v>600099474</v>
      </c>
      <c r="D14" s="551">
        <v>71173854</v>
      </c>
      <c r="E14" s="552" t="s">
        <v>488</v>
      </c>
      <c r="F14" s="551">
        <v>3114</v>
      </c>
      <c r="G14" s="531" t="s">
        <v>564</v>
      </c>
      <c r="H14" s="494" t="s">
        <v>283</v>
      </c>
      <c r="I14" s="495">
        <v>5646953</v>
      </c>
      <c r="J14" s="496">
        <v>4054512</v>
      </c>
      <c r="K14" s="496">
        <v>1924</v>
      </c>
      <c r="L14" s="496">
        <v>1924</v>
      </c>
      <c r="M14" s="411">
        <v>1370426</v>
      </c>
      <c r="N14" s="411">
        <v>81091</v>
      </c>
      <c r="O14" s="496">
        <v>139000</v>
      </c>
      <c r="P14" s="497">
        <v>6.9955999999999996</v>
      </c>
      <c r="Q14" s="412">
        <v>4.33</v>
      </c>
      <c r="R14" s="498">
        <v>2.6656</v>
      </c>
      <c r="S14" s="499">
        <f t="shared" ref="S14:S79" si="16">W14*-1</f>
        <v>0</v>
      </c>
      <c r="T14" s="486">
        <v>0</v>
      </c>
      <c r="U14" s="486">
        <v>-22091</v>
      </c>
      <c r="V14" s="486">
        <f t="shared" si="0"/>
        <v>-22091</v>
      </c>
      <c r="W14" s="486">
        <v>0</v>
      </c>
      <c r="X14" s="486">
        <v>0</v>
      </c>
      <c r="Y14" s="486">
        <f t="shared" si="1"/>
        <v>0</v>
      </c>
      <c r="Z14" s="486">
        <f t="shared" si="2"/>
        <v>-22091</v>
      </c>
      <c r="AA14" s="319">
        <f t="shared" si="3"/>
        <v>-7467</v>
      </c>
      <c r="AB14" s="178">
        <f t="shared" si="4"/>
        <v>-442</v>
      </c>
      <c r="AC14" s="486">
        <v>0</v>
      </c>
      <c r="AD14" s="486">
        <v>30000</v>
      </c>
      <c r="AE14" s="486">
        <f t="shared" si="5"/>
        <v>30000</v>
      </c>
      <c r="AF14" s="486">
        <f t="shared" si="14"/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 t="shared" ref="AL14:AL17" si="17">AG14+AI14+AJ14</f>
        <v>0</v>
      </c>
      <c r="AM14" s="501">
        <f t="shared" ref="AM14:AM17" si="18">AH14+AK14</f>
        <v>0</v>
      </c>
      <c r="AN14" s="529">
        <f t="shared" si="15"/>
        <v>0</v>
      </c>
      <c r="AO14" s="530">
        <f t="shared" si="6"/>
        <v>5646953</v>
      </c>
      <c r="AP14" s="500">
        <f t="shared" si="7"/>
        <v>4032421</v>
      </c>
      <c r="AQ14" s="486">
        <f t="shared" si="8"/>
        <v>1924</v>
      </c>
      <c r="AR14" s="480">
        <f t="shared" si="9"/>
        <v>1924</v>
      </c>
      <c r="AS14" s="499">
        <f t="shared" si="10"/>
        <v>1362959</v>
      </c>
      <c r="AT14" s="486">
        <f t="shared" si="10"/>
        <v>80649</v>
      </c>
      <c r="AU14" s="486">
        <f t="shared" si="11"/>
        <v>169000</v>
      </c>
      <c r="AV14" s="501">
        <f t="shared" si="12"/>
        <v>6.9955999999999996</v>
      </c>
      <c r="AW14" s="501">
        <f t="shared" si="13"/>
        <v>4.33</v>
      </c>
      <c r="AX14" s="502">
        <f t="shared" si="13"/>
        <v>2.6656</v>
      </c>
    </row>
    <row r="15" spans="1:50" ht="12.95" customHeight="1" x14ac:dyDescent="0.25">
      <c r="A15" s="305">
        <v>1</v>
      </c>
      <c r="B15" s="549">
        <v>5490</v>
      </c>
      <c r="C15" s="549">
        <v>600099474</v>
      </c>
      <c r="D15" s="549">
        <v>71173854</v>
      </c>
      <c r="E15" s="550" t="s">
        <v>488</v>
      </c>
      <c r="F15" s="551">
        <v>3114</v>
      </c>
      <c r="G15" s="528" t="s">
        <v>318</v>
      </c>
      <c r="H15" s="494" t="s">
        <v>284</v>
      </c>
      <c r="I15" s="495">
        <v>0</v>
      </c>
      <c r="J15" s="496">
        <v>0</v>
      </c>
      <c r="K15" s="496">
        <v>0</v>
      </c>
      <c r="L15" s="496">
        <v>0</v>
      </c>
      <c r="M15" s="411">
        <v>0</v>
      </c>
      <c r="N15" s="411">
        <v>0</v>
      </c>
      <c r="O15" s="496">
        <v>0</v>
      </c>
      <c r="P15" s="497">
        <v>0</v>
      </c>
      <c r="Q15" s="412">
        <v>0</v>
      </c>
      <c r="R15" s="498">
        <v>0</v>
      </c>
      <c r="S15" s="499">
        <f t="shared" si="16"/>
        <v>0</v>
      </c>
      <c r="T15" s="486">
        <v>0</v>
      </c>
      <c r="U15" s="486">
        <v>0</v>
      </c>
      <c r="V15" s="486">
        <f t="shared" si="0"/>
        <v>0</v>
      </c>
      <c r="W15" s="486">
        <v>0</v>
      </c>
      <c r="X15" s="486">
        <v>0</v>
      </c>
      <c r="Y15" s="486">
        <f t="shared" si="1"/>
        <v>0</v>
      </c>
      <c r="Z15" s="486">
        <f t="shared" si="2"/>
        <v>0</v>
      </c>
      <c r="AA15" s="319">
        <f t="shared" si="3"/>
        <v>0</v>
      </c>
      <c r="AB15" s="178">
        <f t="shared" si="4"/>
        <v>0</v>
      </c>
      <c r="AC15" s="486">
        <v>0</v>
      </c>
      <c r="AD15" s="486">
        <v>0</v>
      </c>
      <c r="AE15" s="486">
        <f t="shared" si="5"/>
        <v>0</v>
      </c>
      <c r="AF15" s="486">
        <f t="shared" si="14"/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 t="shared" si="17"/>
        <v>0</v>
      </c>
      <c r="AM15" s="501">
        <f t="shared" si="18"/>
        <v>0</v>
      </c>
      <c r="AN15" s="529">
        <f t="shared" si="15"/>
        <v>0</v>
      </c>
      <c r="AO15" s="530">
        <f t="shared" si="6"/>
        <v>0</v>
      </c>
      <c r="AP15" s="500">
        <f t="shared" si="7"/>
        <v>0</v>
      </c>
      <c r="AQ15" s="486">
        <f t="shared" si="8"/>
        <v>0</v>
      </c>
      <c r="AR15" s="480">
        <f t="shared" si="9"/>
        <v>0</v>
      </c>
      <c r="AS15" s="499">
        <f t="shared" si="10"/>
        <v>0</v>
      </c>
      <c r="AT15" s="486">
        <f t="shared" si="10"/>
        <v>0</v>
      </c>
      <c r="AU15" s="486">
        <f t="shared" si="11"/>
        <v>0</v>
      </c>
      <c r="AV15" s="501">
        <f t="shared" si="12"/>
        <v>0</v>
      </c>
      <c r="AW15" s="501">
        <f t="shared" si="13"/>
        <v>0</v>
      </c>
      <c r="AX15" s="502">
        <f t="shared" si="13"/>
        <v>0</v>
      </c>
    </row>
    <row r="16" spans="1:50" ht="12.95" customHeight="1" x14ac:dyDescent="0.25">
      <c r="A16" s="305">
        <v>1</v>
      </c>
      <c r="B16" s="551">
        <v>5490</v>
      </c>
      <c r="C16" s="549">
        <v>600099474</v>
      </c>
      <c r="D16" s="551">
        <v>71173854</v>
      </c>
      <c r="E16" s="552" t="s">
        <v>488</v>
      </c>
      <c r="F16" s="551">
        <v>3114</v>
      </c>
      <c r="G16" s="531" t="s">
        <v>319</v>
      </c>
      <c r="H16" s="494" t="s">
        <v>283</v>
      </c>
      <c r="I16" s="495">
        <v>2425090</v>
      </c>
      <c r="J16" s="496">
        <v>1785781</v>
      </c>
      <c r="K16" s="496">
        <v>0</v>
      </c>
      <c r="L16" s="496">
        <v>0</v>
      </c>
      <c r="M16" s="411">
        <v>603594</v>
      </c>
      <c r="N16" s="411">
        <v>35715</v>
      </c>
      <c r="O16" s="496">
        <v>0</v>
      </c>
      <c r="P16" s="497">
        <v>4.83</v>
      </c>
      <c r="Q16" s="412">
        <v>4.83</v>
      </c>
      <c r="R16" s="498">
        <v>0</v>
      </c>
      <c r="S16" s="499">
        <f t="shared" si="16"/>
        <v>0</v>
      </c>
      <c r="T16" s="486">
        <v>0</v>
      </c>
      <c r="U16" s="486">
        <v>0</v>
      </c>
      <c r="V16" s="486">
        <f t="shared" si="0"/>
        <v>0</v>
      </c>
      <c r="W16" s="486">
        <v>0</v>
      </c>
      <c r="X16" s="486">
        <v>0</v>
      </c>
      <c r="Y16" s="486">
        <f t="shared" si="1"/>
        <v>0</v>
      </c>
      <c r="Z16" s="486">
        <f t="shared" si="2"/>
        <v>0</v>
      </c>
      <c r="AA16" s="319">
        <f t="shared" si="3"/>
        <v>0</v>
      </c>
      <c r="AB16" s="178">
        <f t="shared" si="4"/>
        <v>0</v>
      </c>
      <c r="AC16" s="486">
        <v>0</v>
      </c>
      <c r="AD16" s="486">
        <v>0</v>
      </c>
      <c r="AE16" s="486">
        <f t="shared" si="5"/>
        <v>0</v>
      </c>
      <c r="AF16" s="486">
        <f t="shared" si="14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si="17"/>
        <v>0</v>
      </c>
      <c r="AM16" s="501">
        <f t="shared" si="18"/>
        <v>0</v>
      </c>
      <c r="AN16" s="529">
        <f t="shared" si="15"/>
        <v>0</v>
      </c>
      <c r="AO16" s="530">
        <f t="shared" si="6"/>
        <v>2425090</v>
      </c>
      <c r="AP16" s="500">
        <f t="shared" si="7"/>
        <v>1785781</v>
      </c>
      <c r="AQ16" s="486">
        <f t="shared" si="8"/>
        <v>0</v>
      </c>
      <c r="AR16" s="480">
        <f t="shared" si="9"/>
        <v>0</v>
      </c>
      <c r="AS16" s="499">
        <f t="shared" si="10"/>
        <v>603594</v>
      </c>
      <c r="AT16" s="486">
        <f t="shared" si="10"/>
        <v>35715</v>
      </c>
      <c r="AU16" s="486">
        <f t="shared" si="11"/>
        <v>0</v>
      </c>
      <c r="AV16" s="501">
        <f t="shared" si="12"/>
        <v>4.83</v>
      </c>
      <c r="AW16" s="501">
        <f t="shared" si="13"/>
        <v>4.83</v>
      </c>
      <c r="AX16" s="502">
        <f t="shared" si="13"/>
        <v>0</v>
      </c>
    </row>
    <row r="17" spans="1:50" ht="12.95" customHeight="1" x14ac:dyDescent="0.25">
      <c r="A17" s="305">
        <v>1</v>
      </c>
      <c r="B17" s="549">
        <v>5490</v>
      </c>
      <c r="C17" s="549">
        <v>600099474</v>
      </c>
      <c r="D17" s="549">
        <v>71173854</v>
      </c>
      <c r="E17" s="550" t="s">
        <v>488</v>
      </c>
      <c r="F17" s="549">
        <v>3141</v>
      </c>
      <c r="G17" s="553" t="s">
        <v>321</v>
      </c>
      <c r="H17" s="494" t="s">
        <v>284</v>
      </c>
      <c r="I17" s="495">
        <v>1656453</v>
      </c>
      <c r="J17" s="496">
        <v>1212810</v>
      </c>
      <c r="K17" s="496">
        <v>0</v>
      </c>
      <c r="L17" s="496">
        <v>0</v>
      </c>
      <c r="M17" s="411">
        <v>409930</v>
      </c>
      <c r="N17" s="411">
        <v>24257</v>
      </c>
      <c r="O17" s="496">
        <v>9456</v>
      </c>
      <c r="P17" s="497">
        <v>4.12</v>
      </c>
      <c r="Q17" s="412">
        <v>0</v>
      </c>
      <c r="R17" s="498">
        <v>4.12</v>
      </c>
      <c r="S17" s="499">
        <f t="shared" si="16"/>
        <v>0</v>
      </c>
      <c r="T17" s="486">
        <v>0</v>
      </c>
      <c r="U17" s="486">
        <v>0</v>
      </c>
      <c r="V17" s="486">
        <f t="shared" si="0"/>
        <v>0</v>
      </c>
      <c r="W17" s="486">
        <v>0</v>
      </c>
      <c r="X17" s="486">
        <v>0</v>
      </c>
      <c r="Y17" s="486">
        <f t="shared" si="1"/>
        <v>0</v>
      </c>
      <c r="Z17" s="486">
        <f t="shared" si="2"/>
        <v>0</v>
      </c>
      <c r="AA17" s="319">
        <f t="shared" si="3"/>
        <v>0</v>
      </c>
      <c r="AB17" s="178">
        <f t="shared" si="4"/>
        <v>0</v>
      </c>
      <c r="AC17" s="486">
        <v>0</v>
      </c>
      <c r="AD17" s="486">
        <v>0</v>
      </c>
      <c r="AE17" s="486">
        <f t="shared" si="5"/>
        <v>0</v>
      </c>
      <c r="AF17" s="486">
        <f t="shared" si="14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17"/>
        <v>0</v>
      </c>
      <c r="AM17" s="501">
        <f t="shared" si="18"/>
        <v>0</v>
      </c>
      <c r="AN17" s="529">
        <f t="shared" si="15"/>
        <v>0</v>
      </c>
      <c r="AO17" s="530">
        <f t="shared" si="6"/>
        <v>1656453</v>
      </c>
      <c r="AP17" s="500">
        <f t="shared" si="7"/>
        <v>1212810</v>
      </c>
      <c r="AQ17" s="486">
        <f t="shared" si="8"/>
        <v>0</v>
      </c>
      <c r="AR17" s="480">
        <f t="shared" si="9"/>
        <v>0</v>
      </c>
      <c r="AS17" s="499">
        <f t="shared" si="10"/>
        <v>409930</v>
      </c>
      <c r="AT17" s="486">
        <f t="shared" si="10"/>
        <v>24257</v>
      </c>
      <c r="AU17" s="486">
        <f t="shared" si="11"/>
        <v>9456</v>
      </c>
      <c r="AV17" s="501">
        <f t="shared" si="12"/>
        <v>4.12</v>
      </c>
      <c r="AW17" s="501">
        <f t="shared" si="13"/>
        <v>0</v>
      </c>
      <c r="AX17" s="502">
        <f t="shared" si="13"/>
        <v>4.12</v>
      </c>
    </row>
    <row r="18" spans="1:50" ht="12.95" customHeight="1" x14ac:dyDescent="0.25">
      <c r="A18" s="306">
        <v>1</v>
      </c>
      <c r="B18" s="128">
        <v>5490</v>
      </c>
      <c r="C18" s="128">
        <v>600099474</v>
      </c>
      <c r="D18" s="128">
        <v>71173854</v>
      </c>
      <c r="E18" s="554" t="s">
        <v>489</v>
      </c>
      <c r="F18" s="128"/>
      <c r="G18" s="554"/>
      <c r="H18" s="371"/>
      <c r="I18" s="129">
        <v>22843864</v>
      </c>
      <c r="J18" s="238">
        <v>16593120</v>
      </c>
      <c r="K18" s="238">
        <v>52850</v>
      </c>
      <c r="L18" s="238">
        <v>1924</v>
      </c>
      <c r="M18" s="238">
        <v>5608475</v>
      </c>
      <c r="N18" s="238">
        <v>331863</v>
      </c>
      <c r="O18" s="238">
        <v>257556</v>
      </c>
      <c r="P18" s="378">
        <v>38.875999999999998</v>
      </c>
      <c r="Q18" s="378">
        <v>27.909999999999997</v>
      </c>
      <c r="R18" s="394">
        <v>10.966000000000001</v>
      </c>
      <c r="S18" s="238">
        <f t="shared" ref="S18:AN18" si="19">SUM(S12:S17)</f>
        <v>0</v>
      </c>
      <c r="T18" s="168">
        <f t="shared" si="19"/>
        <v>0</v>
      </c>
      <c r="U18" s="168">
        <f t="shared" si="19"/>
        <v>-22091</v>
      </c>
      <c r="V18" s="168">
        <f t="shared" si="19"/>
        <v>-22091</v>
      </c>
      <c r="W18" s="168">
        <f t="shared" si="19"/>
        <v>0</v>
      </c>
      <c r="X18" s="168">
        <f t="shared" si="19"/>
        <v>0</v>
      </c>
      <c r="Y18" s="168">
        <f t="shared" si="19"/>
        <v>0</v>
      </c>
      <c r="Z18" s="168">
        <f t="shared" si="19"/>
        <v>-22091</v>
      </c>
      <c r="AA18" s="168">
        <f t="shared" si="19"/>
        <v>-7467</v>
      </c>
      <c r="AB18" s="168">
        <f t="shared" si="19"/>
        <v>-442</v>
      </c>
      <c r="AC18" s="168">
        <f t="shared" si="19"/>
        <v>0</v>
      </c>
      <c r="AD18" s="168">
        <f t="shared" si="19"/>
        <v>30000</v>
      </c>
      <c r="AE18" s="168">
        <f t="shared" si="19"/>
        <v>30000</v>
      </c>
      <c r="AF18" s="168">
        <f t="shared" si="19"/>
        <v>0</v>
      </c>
      <c r="AG18" s="314">
        <f t="shared" si="19"/>
        <v>0</v>
      </c>
      <c r="AH18" s="314">
        <f t="shared" si="19"/>
        <v>0</v>
      </c>
      <c r="AI18" s="314">
        <f t="shared" si="19"/>
        <v>0</v>
      </c>
      <c r="AJ18" s="314">
        <f t="shared" si="19"/>
        <v>0</v>
      </c>
      <c r="AK18" s="314">
        <f t="shared" si="19"/>
        <v>0</v>
      </c>
      <c r="AL18" s="314">
        <f t="shared" si="19"/>
        <v>0</v>
      </c>
      <c r="AM18" s="314">
        <f t="shared" si="19"/>
        <v>0</v>
      </c>
      <c r="AN18" s="387">
        <f t="shared" si="19"/>
        <v>0</v>
      </c>
      <c r="AO18" s="129">
        <f t="shared" ref="AO18:AX18" si="20">SUM(AO12:AO17)</f>
        <v>22843864</v>
      </c>
      <c r="AP18" s="168">
        <f t="shared" si="20"/>
        <v>16571029</v>
      </c>
      <c r="AQ18" s="424">
        <f t="shared" si="20"/>
        <v>52850</v>
      </c>
      <c r="AR18" s="424">
        <f t="shared" si="20"/>
        <v>1924</v>
      </c>
      <c r="AS18" s="168">
        <f t="shared" si="20"/>
        <v>5601008</v>
      </c>
      <c r="AT18" s="168">
        <f t="shared" si="20"/>
        <v>331421</v>
      </c>
      <c r="AU18" s="168">
        <f t="shared" si="20"/>
        <v>287556</v>
      </c>
      <c r="AV18" s="314">
        <f t="shared" si="20"/>
        <v>38.875999999999998</v>
      </c>
      <c r="AW18" s="314">
        <f t="shared" si="20"/>
        <v>27.909999999999997</v>
      </c>
      <c r="AX18" s="315">
        <f t="shared" si="20"/>
        <v>10.966000000000001</v>
      </c>
    </row>
    <row r="19" spans="1:50" ht="12.95" customHeight="1" x14ac:dyDescent="0.25">
      <c r="A19" s="305">
        <v>2</v>
      </c>
      <c r="B19" s="555">
        <v>5460</v>
      </c>
      <c r="C19" s="555">
        <v>600098621</v>
      </c>
      <c r="D19" s="555">
        <v>72743549</v>
      </c>
      <c r="E19" s="556" t="s">
        <v>490</v>
      </c>
      <c r="F19" s="555">
        <v>3111</v>
      </c>
      <c r="G19" s="553" t="s">
        <v>331</v>
      </c>
      <c r="H19" s="557" t="s">
        <v>283</v>
      </c>
      <c r="I19" s="495">
        <v>4894724</v>
      </c>
      <c r="J19" s="496">
        <v>3547028</v>
      </c>
      <c r="K19" s="496">
        <v>20000</v>
      </c>
      <c r="L19" s="496">
        <v>0</v>
      </c>
      <c r="M19" s="411">
        <v>1205655</v>
      </c>
      <c r="N19" s="411">
        <v>70941</v>
      </c>
      <c r="O19" s="496">
        <v>51100</v>
      </c>
      <c r="P19" s="497">
        <v>8.0441999999999982</v>
      </c>
      <c r="Q19" s="412">
        <v>6</v>
      </c>
      <c r="R19" s="498">
        <v>2.0442</v>
      </c>
      <c r="S19" s="499">
        <f t="shared" si="16"/>
        <v>0</v>
      </c>
      <c r="T19" s="486">
        <v>0</v>
      </c>
      <c r="U19" s="486">
        <v>-22091</v>
      </c>
      <c r="V19" s="486">
        <f>SUM(S19:U19)</f>
        <v>-22091</v>
      </c>
      <c r="W19" s="486">
        <v>0</v>
      </c>
      <c r="X19" s="486">
        <v>0</v>
      </c>
      <c r="Y19" s="486">
        <f>SUM(W19:X19)</f>
        <v>0</v>
      </c>
      <c r="Z19" s="486">
        <f>V19+Y19</f>
        <v>-22091</v>
      </c>
      <c r="AA19" s="319">
        <f>ROUND((V19+W19)*33.8%,0)</f>
        <v>-7467</v>
      </c>
      <c r="AB19" s="178">
        <f>ROUND(V19*2%,0)</f>
        <v>-442</v>
      </c>
      <c r="AC19" s="486">
        <v>0</v>
      </c>
      <c r="AD19" s="486">
        <v>30000</v>
      </c>
      <c r="AE19" s="486">
        <f t="shared" si="5"/>
        <v>30000</v>
      </c>
      <c r="AF19" s="486">
        <f t="shared" si="14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ref="AL19:AL21" si="21">AG19+AI19+AJ19</f>
        <v>0</v>
      </c>
      <c r="AM19" s="501">
        <f t="shared" ref="AM19:AM21" si="22">AH19+AK19</f>
        <v>0</v>
      </c>
      <c r="AN19" s="529">
        <f t="shared" si="15"/>
        <v>0</v>
      </c>
      <c r="AO19" s="530">
        <f>I19+AF19</f>
        <v>4894724</v>
      </c>
      <c r="AP19" s="486">
        <f>J19+V19</f>
        <v>3524937</v>
      </c>
      <c r="AQ19" s="486">
        <f>K19+Y19</f>
        <v>20000</v>
      </c>
      <c r="AR19" s="480">
        <f>L19</f>
        <v>0</v>
      </c>
      <c r="AS19" s="486">
        <f t="shared" ref="AS19:AT21" si="23">M19+AA19</f>
        <v>1198188</v>
      </c>
      <c r="AT19" s="486">
        <f t="shared" si="23"/>
        <v>70499</v>
      </c>
      <c r="AU19" s="486">
        <f>O19+AE19</f>
        <v>81100</v>
      </c>
      <c r="AV19" s="501">
        <f>P19+AN19</f>
        <v>8.0441999999999982</v>
      </c>
      <c r="AW19" s="501">
        <f t="shared" ref="AW19:AX21" si="24">Q19+AL19</f>
        <v>6</v>
      </c>
      <c r="AX19" s="502">
        <f t="shared" si="24"/>
        <v>2.0442</v>
      </c>
    </row>
    <row r="20" spans="1:50" ht="12.95" customHeight="1" x14ac:dyDescent="0.25">
      <c r="A20" s="305">
        <v>2</v>
      </c>
      <c r="B20" s="551">
        <v>5460</v>
      </c>
      <c r="C20" s="551">
        <v>600098621</v>
      </c>
      <c r="D20" s="551">
        <v>72743549</v>
      </c>
      <c r="E20" s="552" t="s">
        <v>490</v>
      </c>
      <c r="F20" s="555">
        <v>3111</v>
      </c>
      <c r="G20" s="528" t="s">
        <v>318</v>
      </c>
      <c r="H20" s="494" t="s">
        <v>284</v>
      </c>
      <c r="I20" s="495">
        <v>297690</v>
      </c>
      <c r="J20" s="496">
        <v>215161</v>
      </c>
      <c r="K20" s="496">
        <v>0</v>
      </c>
      <c r="L20" s="496">
        <v>0</v>
      </c>
      <c r="M20" s="411">
        <v>72725</v>
      </c>
      <c r="N20" s="411">
        <v>4304</v>
      </c>
      <c r="O20" s="496">
        <v>5500</v>
      </c>
      <c r="P20" s="497">
        <v>0.60000000000000009</v>
      </c>
      <c r="Q20" s="412">
        <v>0.60000000000000009</v>
      </c>
      <c r="R20" s="498">
        <v>0</v>
      </c>
      <c r="S20" s="499">
        <f t="shared" si="16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5"/>
        <v>0</v>
      </c>
      <c r="AF20" s="486">
        <f t="shared" si="14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21"/>
        <v>0</v>
      </c>
      <c r="AM20" s="501">
        <f t="shared" si="22"/>
        <v>0</v>
      </c>
      <c r="AN20" s="529">
        <f t="shared" si="15"/>
        <v>0</v>
      </c>
      <c r="AO20" s="530">
        <f>I20+AF20</f>
        <v>297690</v>
      </c>
      <c r="AP20" s="486">
        <f>J20+V20</f>
        <v>215161</v>
      </c>
      <c r="AQ20" s="486">
        <f>K20+Y20</f>
        <v>0</v>
      </c>
      <c r="AR20" s="480">
        <f>L20</f>
        <v>0</v>
      </c>
      <c r="AS20" s="486">
        <f t="shared" si="23"/>
        <v>72725</v>
      </c>
      <c r="AT20" s="486">
        <f t="shared" si="23"/>
        <v>4304</v>
      </c>
      <c r="AU20" s="486">
        <f>O20+AE20</f>
        <v>5500</v>
      </c>
      <c r="AV20" s="501">
        <f>P20+AN20</f>
        <v>0.60000000000000009</v>
      </c>
      <c r="AW20" s="501">
        <f t="shared" si="24"/>
        <v>0.60000000000000009</v>
      </c>
      <c r="AX20" s="502">
        <f t="shared" si="24"/>
        <v>0</v>
      </c>
    </row>
    <row r="21" spans="1:50" ht="12.95" customHeight="1" x14ac:dyDescent="0.25">
      <c r="A21" s="305">
        <v>2</v>
      </c>
      <c r="B21" s="551">
        <v>5460</v>
      </c>
      <c r="C21" s="551">
        <v>600098621</v>
      </c>
      <c r="D21" s="551">
        <v>72743549</v>
      </c>
      <c r="E21" s="552" t="s">
        <v>490</v>
      </c>
      <c r="F21" s="551">
        <v>3141</v>
      </c>
      <c r="G21" s="553" t="s">
        <v>321</v>
      </c>
      <c r="H21" s="494" t="s">
        <v>284</v>
      </c>
      <c r="I21" s="495">
        <v>820352</v>
      </c>
      <c r="J21" s="496">
        <v>600970</v>
      </c>
      <c r="K21" s="496">
        <v>0</v>
      </c>
      <c r="L21" s="496">
        <v>0</v>
      </c>
      <c r="M21" s="411">
        <v>203128</v>
      </c>
      <c r="N21" s="411">
        <v>12020</v>
      </c>
      <c r="O21" s="496">
        <v>4234</v>
      </c>
      <c r="P21" s="497">
        <v>2.0499999999999998</v>
      </c>
      <c r="Q21" s="412">
        <v>0</v>
      </c>
      <c r="R21" s="498">
        <v>2.0499999999999998</v>
      </c>
      <c r="S21" s="499">
        <f t="shared" si="16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5"/>
        <v>0</v>
      </c>
      <c r="AF21" s="486">
        <f t="shared" si="14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21"/>
        <v>0</v>
      </c>
      <c r="AM21" s="501">
        <f t="shared" si="22"/>
        <v>0</v>
      </c>
      <c r="AN21" s="529">
        <f t="shared" si="15"/>
        <v>0</v>
      </c>
      <c r="AO21" s="530">
        <f>I21+AF21</f>
        <v>820352</v>
      </c>
      <c r="AP21" s="486">
        <f>J21+V21</f>
        <v>600970</v>
      </c>
      <c r="AQ21" s="486">
        <f>K21+Y21</f>
        <v>0</v>
      </c>
      <c r="AR21" s="480">
        <f>L21</f>
        <v>0</v>
      </c>
      <c r="AS21" s="486">
        <f t="shared" si="23"/>
        <v>203128</v>
      </c>
      <c r="AT21" s="486">
        <f t="shared" si="23"/>
        <v>12020</v>
      </c>
      <c r="AU21" s="486">
        <f>O21+AE21</f>
        <v>4234</v>
      </c>
      <c r="AV21" s="501">
        <f>P21+AN21</f>
        <v>2.0499999999999998</v>
      </c>
      <c r="AW21" s="501">
        <f t="shared" si="24"/>
        <v>0</v>
      </c>
      <c r="AX21" s="502">
        <f t="shared" si="24"/>
        <v>2.0499999999999998</v>
      </c>
    </row>
    <row r="22" spans="1:50" ht="12.95" customHeight="1" x14ac:dyDescent="0.25">
      <c r="A22" s="306">
        <v>2</v>
      </c>
      <c r="B22" s="128">
        <v>5460</v>
      </c>
      <c r="C22" s="128">
        <v>600098621</v>
      </c>
      <c r="D22" s="128">
        <v>72743549</v>
      </c>
      <c r="E22" s="554" t="s">
        <v>491</v>
      </c>
      <c r="F22" s="128"/>
      <c r="G22" s="554"/>
      <c r="H22" s="371"/>
      <c r="I22" s="130">
        <v>6012766</v>
      </c>
      <c r="J22" s="141">
        <v>4363159</v>
      </c>
      <c r="K22" s="141">
        <v>20000</v>
      </c>
      <c r="L22" s="141">
        <v>0</v>
      </c>
      <c r="M22" s="141">
        <v>1481508</v>
      </c>
      <c r="N22" s="141">
        <v>87265</v>
      </c>
      <c r="O22" s="141">
        <v>60834</v>
      </c>
      <c r="P22" s="379">
        <v>10.694199999999999</v>
      </c>
      <c r="Q22" s="379">
        <v>6.6</v>
      </c>
      <c r="R22" s="395">
        <v>4.0941999999999998</v>
      </c>
      <c r="S22" s="141">
        <f t="shared" ref="S22:AN22" si="25">SUM(S19:S21)</f>
        <v>0</v>
      </c>
      <c r="T22" s="87">
        <f t="shared" si="25"/>
        <v>0</v>
      </c>
      <c r="U22" s="87">
        <f t="shared" si="25"/>
        <v>-22091</v>
      </c>
      <c r="V22" s="87">
        <f t="shared" si="25"/>
        <v>-22091</v>
      </c>
      <c r="W22" s="87">
        <f t="shared" si="25"/>
        <v>0</v>
      </c>
      <c r="X22" s="87">
        <f t="shared" si="25"/>
        <v>0</v>
      </c>
      <c r="Y22" s="87">
        <f t="shared" si="25"/>
        <v>0</v>
      </c>
      <c r="Z22" s="87">
        <f t="shared" si="25"/>
        <v>-22091</v>
      </c>
      <c r="AA22" s="87">
        <f t="shared" si="25"/>
        <v>-7467</v>
      </c>
      <c r="AB22" s="87">
        <f t="shared" si="25"/>
        <v>-442</v>
      </c>
      <c r="AC22" s="87">
        <f t="shared" si="25"/>
        <v>0</v>
      </c>
      <c r="AD22" s="87">
        <f t="shared" si="25"/>
        <v>30000</v>
      </c>
      <c r="AE22" s="87">
        <f t="shared" si="25"/>
        <v>30000</v>
      </c>
      <c r="AF22" s="87">
        <f t="shared" si="25"/>
        <v>0</v>
      </c>
      <c r="AG22" s="88">
        <f t="shared" si="25"/>
        <v>0</v>
      </c>
      <c r="AH22" s="88">
        <f t="shared" si="25"/>
        <v>0</v>
      </c>
      <c r="AI22" s="88">
        <f t="shared" si="25"/>
        <v>0</v>
      </c>
      <c r="AJ22" s="88">
        <f t="shared" si="25"/>
        <v>0</v>
      </c>
      <c r="AK22" s="88">
        <f t="shared" si="25"/>
        <v>0</v>
      </c>
      <c r="AL22" s="88">
        <f t="shared" si="25"/>
        <v>0</v>
      </c>
      <c r="AM22" s="88">
        <f t="shared" si="25"/>
        <v>0</v>
      </c>
      <c r="AN22" s="388">
        <f t="shared" si="25"/>
        <v>0</v>
      </c>
      <c r="AO22" s="130">
        <f t="shared" ref="AO22:AX22" si="26">SUM(AO19:AO21)</f>
        <v>6012766</v>
      </c>
      <c r="AP22" s="87">
        <f t="shared" si="26"/>
        <v>4341068</v>
      </c>
      <c r="AQ22" s="87">
        <f t="shared" si="26"/>
        <v>20000</v>
      </c>
      <c r="AR22" s="87">
        <f t="shared" si="26"/>
        <v>0</v>
      </c>
      <c r="AS22" s="87">
        <f t="shared" si="26"/>
        <v>1474041</v>
      </c>
      <c r="AT22" s="87">
        <f t="shared" si="26"/>
        <v>86823</v>
      </c>
      <c r="AU22" s="87">
        <f t="shared" si="26"/>
        <v>90834</v>
      </c>
      <c r="AV22" s="88">
        <f t="shared" si="26"/>
        <v>10.694199999999999</v>
      </c>
      <c r="AW22" s="88">
        <f t="shared" si="26"/>
        <v>6.6</v>
      </c>
      <c r="AX22" s="274">
        <f t="shared" si="26"/>
        <v>4.0941999999999998</v>
      </c>
    </row>
    <row r="23" spans="1:50" ht="12.95" customHeight="1" x14ac:dyDescent="0.25">
      <c r="A23" s="305">
        <v>3</v>
      </c>
      <c r="B23" s="555">
        <v>5462</v>
      </c>
      <c r="C23" s="555">
        <v>600098851</v>
      </c>
      <c r="D23" s="555">
        <v>72743620</v>
      </c>
      <c r="E23" s="556" t="s">
        <v>492</v>
      </c>
      <c r="F23" s="555">
        <v>3111</v>
      </c>
      <c r="G23" s="553" t="s">
        <v>331</v>
      </c>
      <c r="H23" s="494" t="s">
        <v>283</v>
      </c>
      <c r="I23" s="495">
        <v>3851927</v>
      </c>
      <c r="J23" s="496">
        <v>2813790</v>
      </c>
      <c r="K23" s="496">
        <v>0</v>
      </c>
      <c r="L23" s="496">
        <v>0</v>
      </c>
      <c r="M23" s="411">
        <v>951061</v>
      </c>
      <c r="N23" s="411">
        <v>56276</v>
      </c>
      <c r="O23" s="496">
        <v>30800</v>
      </c>
      <c r="P23" s="497">
        <v>6.3297999999999996</v>
      </c>
      <c r="Q23" s="412">
        <v>4.84</v>
      </c>
      <c r="R23" s="498">
        <v>1.4898</v>
      </c>
      <c r="S23" s="499">
        <f t="shared" si="16"/>
        <v>0</v>
      </c>
      <c r="T23" s="486">
        <v>0</v>
      </c>
      <c r="U23" s="486">
        <v>-16200</v>
      </c>
      <c r="V23" s="486">
        <f>SUM(S23:U23)</f>
        <v>-16200</v>
      </c>
      <c r="W23" s="486">
        <v>0</v>
      </c>
      <c r="X23" s="486">
        <v>0</v>
      </c>
      <c r="Y23" s="486">
        <f>SUM(W23:X23)</f>
        <v>0</v>
      </c>
      <c r="Z23" s="486">
        <f>V23+Y23</f>
        <v>-16200</v>
      </c>
      <c r="AA23" s="319">
        <f>ROUND((V23+W23)*33.8%,0)</f>
        <v>-5476</v>
      </c>
      <c r="AB23" s="178">
        <f>ROUND(V23*2%,0)</f>
        <v>-324</v>
      </c>
      <c r="AC23" s="486">
        <v>0</v>
      </c>
      <c r="AD23" s="486">
        <v>22000</v>
      </c>
      <c r="AE23" s="486">
        <f t="shared" si="5"/>
        <v>22000</v>
      </c>
      <c r="AF23" s="486">
        <f t="shared" si="14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ref="AL23:AL25" si="27">AG23+AI23+AJ23</f>
        <v>0</v>
      </c>
      <c r="AM23" s="501">
        <f t="shared" ref="AM23:AM25" si="28">AH23+AK23</f>
        <v>0</v>
      </c>
      <c r="AN23" s="529">
        <f t="shared" si="15"/>
        <v>0</v>
      </c>
      <c r="AO23" s="530">
        <f>I23+AF23</f>
        <v>3851927</v>
      </c>
      <c r="AP23" s="486">
        <f>J23+V23</f>
        <v>2797590</v>
      </c>
      <c r="AQ23" s="486">
        <f>K23+Y23</f>
        <v>0</v>
      </c>
      <c r="AR23" s="480">
        <f>L23</f>
        <v>0</v>
      </c>
      <c r="AS23" s="486">
        <f t="shared" ref="AS23:AT25" si="29">M23+AA23</f>
        <v>945585</v>
      </c>
      <c r="AT23" s="486">
        <f t="shared" si="29"/>
        <v>55952</v>
      </c>
      <c r="AU23" s="486">
        <f>O23+AE23</f>
        <v>52800</v>
      </c>
      <c r="AV23" s="501">
        <f>P23+AN23</f>
        <v>6.3297999999999996</v>
      </c>
      <c r="AW23" s="501">
        <f t="shared" ref="AW23:AX25" si="30">Q23+AL23</f>
        <v>4.84</v>
      </c>
      <c r="AX23" s="502">
        <f t="shared" si="30"/>
        <v>1.4898</v>
      </c>
    </row>
    <row r="24" spans="1:50" ht="12.95" customHeight="1" x14ac:dyDescent="0.25">
      <c r="A24" s="305">
        <v>3</v>
      </c>
      <c r="B24" s="555">
        <v>5462</v>
      </c>
      <c r="C24" s="555">
        <v>600098851</v>
      </c>
      <c r="D24" s="555">
        <v>72743620</v>
      </c>
      <c r="E24" s="556" t="s">
        <v>492</v>
      </c>
      <c r="F24" s="555">
        <v>3111</v>
      </c>
      <c r="G24" s="553" t="s">
        <v>318</v>
      </c>
      <c r="H24" s="494" t="s">
        <v>284</v>
      </c>
      <c r="I24" s="495">
        <v>10266</v>
      </c>
      <c r="J24" s="496">
        <v>7560</v>
      </c>
      <c r="K24" s="496">
        <v>0</v>
      </c>
      <c r="L24" s="496">
        <v>0</v>
      </c>
      <c r="M24" s="411">
        <v>2555</v>
      </c>
      <c r="N24" s="411">
        <v>151</v>
      </c>
      <c r="O24" s="496">
        <v>0</v>
      </c>
      <c r="P24" s="497">
        <v>0.02</v>
      </c>
      <c r="Q24" s="412">
        <v>0.02</v>
      </c>
      <c r="R24" s="498">
        <v>0</v>
      </c>
      <c r="S24" s="499">
        <f t="shared" si="16"/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5"/>
        <v>0</v>
      </c>
      <c r="AF24" s="486">
        <f t="shared" si="14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27"/>
        <v>0</v>
      </c>
      <c r="AM24" s="501">
        <f t="shared" si="28"/>
        <v>0</v>
      </c>
      <c r="AN24" s="529">
        <f t="shared" si="15"/>
        <v>0</v>
      </c>
      <c r="AO24" s="530">
        <f>I24+AF24</f>
        <v>10266</v>
      </c>
      <c r="AP24" s="486">
        <f>J24+V24</f>
        <v>7560</v>
      </c>
      <c r="AQ24" s="486">
        <f>K24+Y24</f>
        <v>0</v>
      </c>
      <c r="AR24" s="480">
        <f>L24</f>
        <v>0</v>
      </c>
      <c r="AS24" s="486">
        <f t="shared" si="29"/>
        <v>2555</v>
      </c>
      <c r="AT24" s="486">
        <f t="shared" si="29"/>
        <v>151</v>
      </c>
      <c r="AU24" s="486">
        <f>O24+AE24</f>
        <v>0</v>
      </c>
      <c r="AV24" s="501">
        <f>P24+AN24</f>
        <v>0.02</v>
      </c>
      <c r="AW24" s="501">
        <f t="shared" si="30"/>
        <v>0.02</v>
      </c>
      <c r="AX24" s="502">
        <f t="shared" si="30"/>
        <v>0</v>
      </c>
    </row>
    <row r="25" spans="1:50" ht="12.95" customHeight="1" x14ac:dyDescent="0.25">
      <c r="A25" s="305">
        <v>3</v>
      </c>
      <c r="B25" s="555">
        <v>5462</v>
      </c>
      <c r="C25" s="555">
        <v>600098851</v>
      </c>
      <c r="D25" s="555">
        <v>72743620</v>
      </c>
      <c r="E25" s="556" t="s">
        <v>492</v>
      </c>
      <c r="F25" s="555">
        <v>3141</v>
      </c>
      <c r="G25" s="553" t="s">
        <v>321</v>
      </c>
      <c r="H25" s="494" t="s">
        <v>284</v>
      </c>
      <c r="I25" s="495">
        <v>601096</v>
      </c>
      <c r="J25" s="496">
        <v>440754</v>
      </c>
      <c r="K25" s="496">
        <v>0</v>
      </c>
      <c r="L25" s="496">
        <v>0</v>
      </c>
      <c r="M25" s="411">
        <v>148975</v>
      </c>
      <c r="N25" s="411">
        <v>8815</v>
      </c>
      <c r="O25" s="496">
        <v>2552</v>
      </c>
      <c r="P25" s="497">
        <v>1.5</v>
      </c>
      <c r="Q25" s="412">
        <v>0</v>
      </c>
      <c r="R25" s="498">
        <v>1.5</v>
      </c>
      <c r="S25" s="499">
        <f t="shared" si="16"/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486">
        <v>0</v>
      </c>
      <c r="Y25" s="486">
        <f>SUM(W25:X25)</f>
        <v>0</v>
      </c>
      <c r="Z25" s="486">
        <f>V25+Y25</f>
        <v>0</v>
      </c>
      <c r="AA25" s="319">
        <f>ROUND((V25+W25)*33.8%,0)</f>
        <v>0</v>
      </c>
      <c r="AB25" s="178">
        <f>ROUND(V25*2%,0)</f>
        <v>0</v>
      </c>
      <c r="AC25" s="486">
        <v>0</v>
      </c>
      <c r="AD25" s="486">
        <v>0</v>
      </c>
      <c r="AE25" s="486">
        <f t="shared" si="5"/>
        <v>0</v>
      </c>
      <c r="AF25" s="486">
        <f t="shared" si="14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27"/>
        <v>0</v>
      </c>
      <c r="AM25" s="501">
        <f t="shared" si="28"/>
        <v>0</v>
      </c>
      <c r="AN25" s="529">
        <f t="shared" si="15"/>
        <v>0</v>
      </c>
      <c r="AO25" s="530">
        <f>I25+AF25</f>
        <v>601096</v>
      </c>
      <c r="AP25" s="486">
        <f>J25+V25</f>
        <v>440754</v>
      </c>
      <c r="AQ25" s="486">
        <f>K25+Y25</f>
        <v>0</v>
      </c>
      <c r="AR25" s="480">
        <f>L25</f>
        <v>0</v>
      </c>
      <c r="AS25" s="486">
        <f t="shared" si="29"/>
        <v>148975</v>
      </c>
      <c r="AT25" s="486">
        <f t="shared" si="29"/>
        <v>8815</v>
      </c>
      <c r="AU25" s="486">
        <f>O25+AE25</f>
        <v>2552</v>
      </c>
      <c r="AV25" s="501">
        <f>P25+AN25</f>
        <v>1.5</v>
      </c>
      <c r="AW25" s="501">
        <f t="shared" si="30"/>
        <v>0</v>
      </c>
      <c r="AX25" s="502">
        <f t="shared" si="30"/>
        <v>1.5</v>
      </c>
    </row>
    <row r="26" spans="1:50" ht="12.95" customHeight="1" x14ac:dyDescent="0.25">
      <c r="A26" s="306">
        <v>3</v>
      </c>
      <c r="B26" s="131">
        <v>5462</v>
      </c>
      <c r="C26" s="131">
        <v>600098851</v>
      </c>
      <c r="D26" s="131">
        <v>72743620</v>
      </c>
      <c r="E26" s="558" t="s">
        <v>493</v>
      </c>
      <c r="F26" s="131"/>
      <c r="G26" s="558"/>
      <c r="H26" s="372"/>
      <c r="I26" s="133">
        <v>4463289</v>
      </c>
      <c r="J26" s="239">
        <v>3262104</v>
      </c>
      <c r="K26" s="239">
        <v>0</v>
      </c>
      <c r="L26" s="239">
        <v>0</v>
      </c>
      <c r="M26" s="239">
        <v>1102591</v>
      </c>
      <c r="N26" s="239">
        <v>65242</v>
      </c>
      <c r="O26" s="239">
        <v>33352</v>
      </c>
      <c r="P26" s="380">
        <v>7.8497999999999992</v>
      </c>
      <c r="Q26" s="380">
        <v>4.8599999999999994</v>
      </c>
      <c r="R26" s="396">
        <v>2.9897999999999998</v>
      </c>
      <c r="S26" s="239">
        <f t="shared" ref="S26:AN26" si="31">SUM(S23:S25)</f>
        <v>0</v>
      </c>
      <c r="T26" s="169">
        <f t="shared" si="31"/>
        <v>0</v>
      </c>
      <c r="U26" s="169">
        <f t="shared" si="31"/>
        <v>-16200</v>
      </c>
      <c r="V26" s="169">
        <f t="shared" si="31"/>
        <v>-16200</v>
      </c>
      <c r="W26" s="169">
        <f t="shared" si="31"/>
        <v>0</v>
      </c>
      <c r="X26" s="169">
        <f t="shared" si="31"/>
        <v>0</v>
      </c>
      <c r="Y26" s="169">
        <f t="shared" si="31"/>
        <v>0</v>
      </c>
      <c r="Z26" s="169">
        <f t="shared" si="31"/>
        <v>-16200</v>
      </c>
      <c r="AA26" s="169">
        <f t="shared" si="31"/>
        <v>-5476</v>
      </c>
      <c r="AB26" s="169">
        <f t="shared" si="31"/>
        <v>-324</v>
      </c>
      <c r="AC26" s="169">
        <f t="shared" si="31"/>
        <v>0</v>
      </c>
      <c r="AD26" s="169">
        <f t="shared" si="31"/>
        <v>22000</v>
      </c>
      <c r="AE26" s="169">
        <f t="shared" si="31"/>
        <v>22000</v>
      </c>
      <c r="AF26" s="169">
        <f t="shared" si="31"/>
        <v>0</v>
      </c>
      <c r="AG26" s="316">
        <f t="shared" si="31"/>
        <v>0</v>
      </c>
      <c r="AH26" s="316">
        <f t="shared" si="31"/>
        <v>0</v>
      </c>
      <c r="AI26" s="316">
        <f t="shared" si="31"/>
        <v>0</v>
      </c>
      <c r="AJ26" s="316">
        <f t="shared" si="31"/>
        <v>0</v>
      </c>
      <c r="AK26" s="316">
        <f t="shared" si="31"/>
        <v>0</v>
      </c>
      <c r="AL26" s="316">
        <f t="shared" si="31"/>
        <v>0</v>
      </c>
      <c r="AM26" s="316">
        <f t="shared" si="31"/>
        <v>0</v>
      </c>
      <c r="AN26" s="389">
        <f t="shared" si="31"/>
        <v>0</v>
      </c>
      <c r="AO26" s="133">
        <f t="shared" ref="AO26:AX26" si="32">SUM(AO23:AO25)</f>
        <v>4463289</v>
      </c>
      <c r="AP26" s="169">
        <f t="shared" si="32"/>
        <v>3245904</v>
      </c>
      <c r="AQ26" s="169">
        <f t="shared" si="32"/>
        <v>0</v>
      </c>
      <c r="AR26" s="169">
        <f t="shared" si="32"/>
        <v>0</v>
      </c>
      <c r="AS26" s="169">
        <f t="shared" si="32"/>
        <v>1097115</v>
      </c>
      <c r="AT26" s="169">
        <f t="shared" si="32"/>
        <v>64918</v>
      </c>
      <c r="AU26" s="169">
        <f t="shared" si="32"/>
        <v>55352</v>
      </c>
      <c r="AV26" s="316">
        <f t="shared" si="32"/>
        <v>7.8497999999999992</v>
      </c>
      <c r="AW26" s="316">
        <f t="shared" si="32"/>
        <v>4.8599999999999994</v>
      </c>
      <c r="AX26" s="317">
        <f t="shared" si="32"/>
        <v>2.9897999999999998</v>
      </c>
    </row>
    <row r="27" spans="1:50" ht="12.95" customHeight="1" x14ac:dyDescent="0.25">
      <c r="A27" s="305">
        <v>4</v>
      </c>
      <c r="B27" s="551">
        <v>5464</v>
      </c>
      <c r="C27" s="551">
        <v>600098869</v>
      </c>
      <c r="D27" s="551">
        <v>72743719</v>
      </c>
      <c r="E27" s="559" t="s">
        <v>494</v>
      </c>
      <c r="F27" s="560">
        <v>3111</v>
      </c>
      <c r="G27" s="553" t="s">
        <v>331</v>
      </c>
      <c r="H27" s="494" t="s">
        <v>283</v>
      </c>
      <c r="I27" s="495">
        <v>4642326</v>
      </c>
      <c r="J27" s="496">
        <v>3296176</v>
      </c>
      <c r="K27" s="496">
        <v>65560</v>
      </c>
      <c r="L27" s="496">
        <v>0</v>
      </c>
      <c r="M27" s="411">
        <v>1136267</v>
      </c>
      <c r="N27" s="411">
        <v>65924</v>
      </c>
      <c r="O27" s="496">
        <v>78399</v>
      </c>
      <c r="P27" s="497">
        <v>7.7841999999999993</v>
      </c>
      <c r="Q27" s="412">
        <v>5.98</v>
      </c>
      <c r="R27" s="498">
        <v>1.8042</v>
      </c>
      <c r="S27" s="499">
        <f t="shared" si="16"/>
        <v>-6000</v>
      </c>
      <c r="T27" s="486">
        <v>0</v>
      </c>
      <c r="U27" s="486">
        <v>0</v>
      </c>
      <c r="V27" s="486">
        <f>SUM(S27:U27)</f>
        <v>-6000</v>
      </c>
      <c r="W27" s="486">
        <v>6000</v>
      </c>
      <c r="X27" s="486">
        <v>0</v>
      </c>
      <c r="Y27" s="486">
        <f>SUM(W27:X27)</f>
        <v>6000</v>
      </c>
      <c r="Z27" s="486">
        <f>V27+Y27</f>
        <v>0</v>
      </c>
      <c r="AA27" s="319">
        <f>ROUND((V27+W27)*33.8%,0)</f>
        <v>0</v>
      </c>
      <c r="AB27" s="178">
        <f>ROUND(V27*2%,0)</f>
        <v>-120</v>
      </c>
      <c r="AC27" s="486">
        <v>0</v>
      </c>
      <c r="AD27" s="486">
        <v>0</v>
      </c>
      <c r="AE27" s="486">
        <f t="shared" si="5"/>
        <v>0</v>
      </c>
      <c r="AF27" s="486">
        <f t="shared" si="14"/>
        <v>-120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 t="shared" ref="AL27:AL29" si="33">AG27+AI27+AJ27</f>
        <v>0</v>
      </c>
      <c r="AM27" s="501">
        <f t="shared" ref="AM27:AM29" si="34">AH27+AK27</f>
        <v>0</v>
      </c>
      <c r="AN27" s="529">
        <f t="shared" si="15"/>
        <v>0</v>
      </c>
      <c r="AO27" s="530">
        <f>I27+AF27</f>
        <v>4642206</v>
      </c>
      <c r="AP27" s="486">
        <f>J27+V27</f>
        <v>3290176</v>
      </c>
      <c r="AQ27" s="486">
        <f>K27+Y27</f>
        <v>71560</v>
      </c>
      <c r="AR27" s="480">
        <f>L27</f>
        <v>0</v>
      </c>
      <c r="AS27" s="486">
        <f t="shared" ref="AS27:AT29" si="35">M27+AA27</f>
        <v>1136267</v>
      </c>
      <c r="AT27" s="486">
        <f t="shared" si="35"/>
        <v>65804</v>
      </c>
      <c r="AU27" s="486">
        <f>O27+AE27</f>
        <v>78399</v>
      </c>
      <c r="AV27" s="501">
        <f>P27+AN27</f>
        <v>7.7841999999999993</v>
      </c>
      <c r="AW27" s="501">
        <f t="shared" ref="AW27:AX29" si="36">Q27+AL27</f>
        <v>5.98</v>
      </c>
      <c r="AX27" s="502">
        <f t="shared" si="36"/>
        <v>1.8042</v>
      </c>
    </row>
    <row r="28" spans="1:50" ht="12.95" customHeight="1" x14ac:dyDescent="0.25">
      <c r="A28" s="305">
        <v>4</v>
      </c>
      <c r="B28" s="551">
        <v>5464</v>
      </c>
      <c r="C28" s="551">
        <v>600098869</v>
      </c>
      <c r="D28" s="551">
        <v>72743719</v>
      </c>
      <c r="E28" s="550" t="s">
        <v>494</v>
      </c>
      <c r="F28" s="560">
        <v>3111</v>
      </c>
      <c r="G28" s="528" t="s">
        <v>318</v>
      </c>
      <c r="H28" s="494" t="s">
        <v>284</v>
      </c>
      <c r="I28" s="495">
        <v>70449</v>
      </c>
      <c r="J28" s="496">
        <v>51877</v>
      </c>
      <c r="K28" s="496">
        <v>0</v>
      </c>
      <c r="L28" s="496">
        <v>0</v>
      </c>
      <c r="M28" s="411">
        <v>17534</v>
      </c>
      <c r="N28" s="411">
        <v>1038</v>
      </c>
      <c r="O28" s="496">
        <v>0</v>
      </c>
      <c r="P28" s="497">
        <v>0.21</v>
      </c>
      <c r="Q28" s="412">
        <v>0.21</v>
      </c>
      <c r="R28" s="498">
        <v>0</v>
      </c>
      <c r="S28" s="499">
        <f t="shared" si="16"/>
        <v>0</v>
      </c>
      <c r="T28" s="486">
        <v>0</v>
      </c>
      <c r="U28" s="486">
        <v>0</v>
      </c>
      <c r="V28" s="486">
        <f>SUM(S28:U28)</f>
        <v>0</v>
      </c>
      <c r="W28" s="486">
        <v>0</v>
      </c>
      <c r="X28" s="486">
        <v>0</v>
      </c>
      <c r="Y28" s="486">
        <f>SUM(W28:X28)</f>
        <v>0</v>
      </c>
      <c r="Z28" s="486">
        <f>V28+Y28</f>
        <v>0</v>
      </c>
      <c r="AA28" s="319">
        <f>ROUND((V28+W28)*33.8%,0)</f>
        <v>0</v>
      </c>
      <c r="AB28" s="178">
        <f>ROUND(V28*2%,0)</f>
        <v>0</v>
      </c>
      <c r="AC28" s="486">
        <v>0</v>
      </c>
      <c r="AD28" s="486">
        <v>0</v>
      </c>
      <c r="AE28" s="486">
        <f t="shared" si="5"/>
        <v>0</v>
      </c>
      <c r="AF28" s="486">
        <f t="shared" si="14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si="33"/>
        <v>0</v>
      </c>
      <c r="AM28" s="501">
        <f t="shared" si="34"/>
        <v>0</v>
      </c>
      <c r="AN28" s="529">
        <f t="shared" si="15"/>
        <v>0</v>
      </c>
      <c r="AO28" s="530">
        <f>I28+AF28</f>
        <v>70449</v>
      </c>
      <c r="AP28" s="486">
        <f>J28+V28</f>
        <v>51877</v>
      </c>
      <c r="AQ28" s="486">
        <f>K28+Y28</f>
        <v>0</v>
      </c>
      <c r="AR28" s="480">
        <f>L28</f>
        <v>0</v>
      </c>
      <c r="AS28" s="486">
        <f t="shared" si="35"/>
        <v>17534</v>
      </c>
      <c r="AT28" s="486">
        <f t="shared" si="35"/>
        <v>1038</v>
      </c>
      <c r="AU28" s="486">
        <f>O28+AE28</f>
        <v>0</v>
      </c>
      <c r="AV28" s="501">
        <f>P28+AN28</f>
        <v>0.21</v>
      </c>
      <c r="AW28" s="501">
        <f t="shared" si="36"/>
        <v>0.21</v>
      </c>
      <c r="AX28" s="502">
        <f t="shared" si="36"/>
        <v>0</v>
      </c>
    </row>
    <row r="29" spans="1:50" ht="12.95" customHeight="1" x14ac:dyDescent="0.25">
      <c r="A29" s="305">
        <v>4</v>
      </c>
      <c r="B29" s="551">
        <v>5464</v>
      </c>
      <c r="C29" s="551">
        <v>600098869</v>
      </c>
      <c r="D29" s="551">
        <v>72743719</v>
      </c>
      <c r="E29" s="550" t="s">
        <v>494</v>
      </c>
      <c r="F29" s="561">
        <v>3141</v>
      </c>
      <c r="G29" s="553" t="s">
        <v>321</v>
      </c>
      <c r="H29" s="494" t="s">
        <v>284</v>
      </c>
      <c r="I29" s="495">
        <v>739620</v>
      </c>
      <c r="J29" s="496">
        <v>541991</v>
      </c>
      <c r="K29" s="496">
        <v>0</v>
      </c>
      <c r="L29" s="496">
        <v>0</v>
      </c>
      <c r="M29" s="411">
        <v>183193</v>
      </c>
      <c r="N29" s="411">
        <v>10840</v>
      </c>
      <c r="O29" s="496">
        <v>3596</v>
      </c>
      <c r="P29" s="497">
        <v>1.85</v>
      </c>
      <c r="Q29" s="412">
        <v>0</v>
      </c>
      <c r="R29" s="498">
        <v>1.85</v>
      </c>
      <c r="S29" s="499">
        <f t="shared" si="16"/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486">
        <v>0</v>
      </c>
      <c r="Y29" s="486">
        <f>SUM(W29:X29)</f>
        <v>0</v>
      </c>
      <c r="Z29" s="486">
        <f>V29+Y29</f>
        <v>0</v>
      </c>
      <c r="AA29" s="319">
        <f>ROUND((V29+W29)*33.8%,0)</f>
        <v>0</v>
      </c>
      <c r="AB29" s="178">
        <f>ROUND(V29*2%,0)</f>
        <v>0</v>
      </c>
      <c r="AC29" s="486">
        <v>0</v>
      </c>
      <c r="AD29" s="486">
        <v>0</v>
      </c>
      <c r="AE29" s="486">
        <f t="shared" si="5"/>
        <v>0</v>
      </c>
      <c r="AF29" s="486">
        <f t="shared" si="14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33"/>
        <v>0</v>
      </c>
      <c r="AM29" s="501">
        <f t="shared" si="34"/>
        <v>0</v>
      </c>
      <c r="AN29" s="529">
        <f t="shared" si="15"/>
        <v>0</v>
      </c>
      <c r="AO29" s="530">
        <f>I29+AF29</f>
        <v>739620</v>
      </c>
      <c r="AP29" s="486">
        <f>J29+V29</f>
        <v>541991</v>
      </c>
      <c r="AQ29" s="486">
        <f>K29+Y29</f>
        <v>0</v>
      </c>
      <c r="AR29" s="480">
        <f>L29</f>
        <v>0</v>
      </c>
      <c r="AS29" s="486">
        <f t="shared" si="35"/>
        <v>183193</v>
      </c>
      <c r="AT29" s="486">
        <f t="shared" si="35"/>
        <v>10840</v>
      </c>
      <c r="AU29" s="486">
        <f>O29+AE29</f>
        <v>3596</v>
      </c>
      <c r="AV29" s="501">
        <f>P29+AN29</f>
        <v>1.85</v>
      </c>
      <c r="AW29" s="501">
        <f t="shared" si="36"/>
        <v>0</v>
      </c>
      <c r="AX29" s="502">
        <f t="shared" si="36"/>
        <v>1.85</v>
      </c>
    </row>
    <row r="30" spans="1:50" ht="12.95" customHeight="1" x14ac:dyDescent="0.25">
      <c r="A30" s="306">
        <v>4</v>
      </c>
      <c r="B30" s="128">
        <v>5464</v>
      </c>
      <c r="C30" s="128">
        <v>600098869</v>
      </c>
      <c r="D30" s="128">
        <v>72743719</v>
      </c>
      <c r="E30" s="562" t="s">
        <v>495</v>
      </c>
      <c r="F30" s="132"/>
      <c r="G30" s="562"/>
      <c r="H30" s="373"/>
      <c r="I30" s="130">
        <v>5452395</v>
      </c>
      <c r="J30" s="141">
        <v>3890044</v>
      </c>
      <c r="K30" s="141">
        <v>65560</v>
      </c>
      <c r="L30" s="141">
        <v>0</v>
      </c>
      <c r="M30" s="141">
        <v>1336994</v>
      </c>
      <c r="N30" s="141">
        <v>77802</v>
      </c>
      <c r="O30" s="141">
        <v>81995</v>
      </c>
      <c r="P30" s="379">
        <v>9.844199999999999</v>
      </c>
      <c r="Q30" s="379">
        <v>6.19</v>
      </c>
      <c r="R30" s="395">
        <v>3.6542000000000003</v>
      </c>
      <c r="S30" s="141">
        <f t="shared" ref="S30:AN30" si="37">SUM(S27:S29)</f>
        <v>-6000</v>
      </c>
      <c r="T30" s="87">
        <f t="shared" si="37"/>
        <v>0</v>
      </c>
      <c r="U30" s="87">
        <f t="shared" si="37"/>
        <v>0</v>
      </c>
      <c r="V30" s="87">
        <f t="shared" si="37"/>
        <v>-6000</v>
      </c>
      <c r="W30" s="87">
        <f t="shared" si="37"/>
        <v>6000</v>
      </c>
      <c r="X30" s="87">
        <f t="shared" si="37"/>
        <v>0</v>
      </c>
      <c r="Y30" s="87">
        <f t="shared" si="37"/>
        <v>6000</v>
      </c>
      <c r="Z30" s="87">
        <f t="shared" si="37"/>
        <v>0</v>
      </c>
      <c r="AA30" s="87">
        <f t="shared" si="37"/>
        <v>0</v>
      </c>
      <c r="AB30" s="87">
        <f t="shared" si="37"/>
        <v>-120</v>
      </c>
      <c r="AC30" s="87">
        <f t="shared" si="37"/>
        <v>0</v>
      </c>
      <c r="AD30" s="87">
        <f t="shared" si="37"/>
        <v>0</v>
      </c>
      <c r="AE30" s="87">
        <f t="shared" si="37"/>
        <v>0</v>
      </c>
      <c r="AF30" s="87">
        <f t="shared" si="37"/>
        <v>-120</v>
      </c>
      <c r="AG30" s="88">
        <f t="shared" si="37"/>
        <v>0</v>
      </c>
      <c r="AH30" s="88">
        <f t="shared" si="37"/>
        <v>0</v>
      </c>
      <c r="AI30" s="88">
        <f t="shared" si="37"/>
        <v>0</v>
      </c>
      <c r="AJ30" s="88">
        <f t="shared" si="37"/>
        <v>0</v>
      </c>
      <c r="AK30" s="88">
        <f t="shared" si="37"/>
        <v>0</v>
      </c>
      <c r="AL30" s="88">
        <f t="shared" si="37"/>
        <v>0</v>
      </c>
      <c r="AM30" s="88">
        <f t="shared" si="37"/>
        <v>0</v>
      </c>
      <c r="AN30" s="388">
        <f t="shared" si="37"/>
        <v>0</v>
      </c>
      <c r="AO30" s="130">
        <f t="shared" ref="AO30:AX30" si="38">SUM(AO27:AO29)</f>
        <v>5452275</v>
      </c>
      <c r="AP30" s="87">
        <f t="shared" si="38"/>
        <v>3884044</v>
      </c>
      <c r="AQ30" s="87">
        <f t="shared" si="38"/>
        <v>71560</v>
      </c>
      <c r="AR30" s="87">
        <f t="shared" si="38"/>
        <v>0</v>
      </c>
      <c r="AS30" s="87">
        <f t="shared" si="38"/>
        <v>1336994</v>
      </c>
      <c r="AT30" s="87">
        <f t="shared" si="38"/>
        <v>77682</v>
      </c>
      <c r="AU30" s="87">
        <f t="shared" si="38"/>
        <v>81995</v>
      </c>
      <c r="AV30" s="88">
        <f t="shared" si="38"/>
        <v>9.844199999999999</v>
      </c>
      <c r="AW30" s="88">
        <f t="shared" si="38"/>
        <v>6.19</v>
      </c>
      <c r="AX30" s="274">
        <f t="shared" si="38"/>
        <v>3.6542000000000003</v>
      </c>
    </row>
    <row r="31" spans="1:50" ht="12.95" customHeight="1" x14ac:dyDescent="0.25">
      <c r="A31" s="305">
        <v>5</v>
      </c>
      <c r="B31" s="551">
        <v>5467</v>
      </c>
      <c r="C31" s="551">
        <v>600098648</v>
      </c>
      <c r="D31" s="551">
        <v>72743948</v>
      </c>
      <c r="E31" s="552" t="s">
        <v>496</v>
      </c>
      <c r="F31" s="551">
        <v>3111</v>
      </c>
      <c r="G31" s="553" t="s">
        <v>331</v>
      </c>
      <c r="H31" s="494" t="s">
        <v>283</v>
      </c>
      <c r="I31" s="495">
        <v>4437810</v>
      </c>
      <c r="J31" s="496">
        <v>3242128</v>
      </c>
      <c r="K31" s="496">
        <v>0</v>
      </c>
      <c r="L31" s="496">
        <v>0</v>
      </c>
      <c r="M31" s="411">
        <v>1095839</v>
      </c>
      <c r="N31" s="411">
        <v>64843</v>
      </c>
      <c r="O31" s="496">
        <v>35000</v>
      </c>
      <c r="P31" s="497">
        <v>8.0167000000000002</v>
      </c>
      <c r="Q31" s="412">
        <v>6.0324999999999998</v>
      </c>
      <c r="R31" s="498">
        <v>1.9842</v>
      </c>
      <c r="S31" s="499">
        <f t="shared" si="16"/>
        <v>0</v>
      </c>
      <c r="T31" s="486">
        <v>0</v>
      </c>
      <c r="U31" s="486">
        <v>0</v>
      </c>
      <c r="V31" s="486">
        <f>SUM(S31:U31)</f>
        <v>0</v>
      </c>
      <c r="W31" s="486">
        <v>0</v>
      </c>
      <c r="X31" s="486">
        <v>0</v>
      </c>
      <c r="Y31" s="486">
        <f>SUM(W31:X31)</f>
        <v>0</v>
      </c>
      <c r="Z31" s="486">
        <f>V31+Y31</f>
        <v>0</v>
      </c>
      <c r="AA31" s="319">
        <f>ROUND((V31+W31)*33.8%,0)</f>
        <v>0</v>
      </c>
      <c r="AB31" s="178">
        <f>ROUND(V31*2%,0)</f>
        <v>0</v>
      </c>
      <c r="AC31" s="486">
        <v>0</v>
      </c>
      <c r="AD31" s="486">
        <v>0</v>
      </c>
      <c r="AE31" s="486">
        <f t="shared" si="5"/>
        <v>0</v>
      </c>
      <c r="AF31" s="486">
        <f t="shared" si="14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ref="AL31:AL33" si="39">AG31+AI31+AJ31</f>
        <v>0</v>
      </c>
      <c r="AM31" s="501">
        <f t="shared" ref="AM31:AM33" si="40">AH31+AK31</f>
        <v>0</v>
      </c>
      <c r="AN31" s="529">
        <f t="shared" si="15"/>
        <v>0</v>
      </c>
      <c r="AO31" s="530">
        <f>I31+AF31</f>
        <v>4437810</v>
      </c>
      <c r="AP31" s="486">
        <f>J31+V31</f>
        <v>3242128</v>
      </c>
      <c r="AQ31" s="486">
        <f>K31+Y31</f>
        <v>0</v>
      </c>
      <c r="AR31" s="480">
        <f>L31</f>
        <v>0</v>
      </c>
      <c r="AS31" s="486">
        <f t="shared" ref="AS31:AT33" si="41">M31+AA31</f>
        <v>1095839</v>
      </c>
      <c r="AT31" s="486">
        <f t="shared" si="41"/>
        <v>64843</v>
      </c>
      <c r="AU31" s="486">
        <f>O31+AE31</f>
        <v>35000</v>
      </c>
      <c r="AV31" s="501">
        <f>P31+AN31</f>
        <v>8.0167000000000002</v>
      </c>
      <c r="AW31" s="501">
        <f t="shared" ref="AW31:AX33" si="42">Q31+AL31</f>
        <v>6.0324999999999998</v>
      </c>
      <c r="AX31" s="502">
        <f t="shared" si="42"/>
        <v>1.9842</v>
      </c>
    </row>
    <row r="32" spans="1:50" ht="12.95" customHeight="1" x14ac:dyDescent="0.25">
      <c r="A32" s="305">
        <v>5</v>
      </c>
      <c r="B32" s="551">
        <v>5467</v>
      </c>
      <c r="C32" s="551">
        <v>600098648</v>
      </c>
      <c r="D32" s="551">
        <v>72743948</v>
      </c>
      <c r="E32" s="550" t="s">
        <v>496</v>
      </c>
      <c r="F32" s="551">
        <v>3111</v>
      </c>
      <c r="G32" s="528" t="s">
        <v>318</v>
      </c>
      <c r="H32" s="494" t="s">
        <v>284</v>
      </c>
      <c r="I32" s="495">
        <v>20534</v>
      </c>
      <c r="J32" s="496">
        <v>15120</v>
      </c>
      <c r="K32" s="496">
        <v>0</v>
      </c>
      <c r="L32" s="496">
        <v>0</v>
      </c>
      <c r="M32" s="411">
        <v>5111</v>
      </c>
      <c r="N32" s="411">
        <v>303</v>
      </c>
      <c r="O32" s="496">
        <v>0</v>
      </c>
      <c r="P32" s="497">
        <v>3.0000000000000002E-2</v>
      </c>
      <c r="Q32" s="412">
        <v>3.0000000000000002E-2</v>
      </c>
      <c r="R32" s="498">
        <v>0</v>
      </c>
      <c r="S32" s="499">
        <f t="shared" si="16"/>
        <v>0</v>
      </c>
      <c r="T32" s="486">
        <v>0</v>
      </c>
      <c r="U32" s="486">
        <v>0</v>
      </c>
      <c r="V32" s="486">
        <f>SUM(S32:U32)</f>
        <v>0</v>
      </c>
      <c r="W32" s="486">
        <v>0</v>
      </c>
      <c r="X32" s="486">
        <v>0</v>
      </c>
      <c r="Y32" s="486">
        <f>SUM(W32:X32)</f>
        <v>0</v>
      </c>
      <c r="Z32" s="486">
        <f>V32+Y32</f>
        <v>0</v>
      </c>
      <c r="AA32" s="319">
        <f>ROUND((V32+W32)*33.8%,0)</f>
        <v>0</v>
      </c>
      <c r="AB32" s="178">
        <f>ROUND(V32*2%,0)</f>
        <v>0</v>
      </c>
      <c r="AC32" s="486">
        <v>0</v>
      </c>
      <c r="AD32" s="486">
        <v>0</v>
      </c>
      <c r="AE32" s="486">
        <f t="shared" si="5"/>
        <v>0</v>
      </c>
      <c r="AF32" s="486">
        <f t="shared" si="14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si="39"/>
        <v>0</v>
      </c>
      <c r="AM32" s="501">
        <f t="shared" si="40"/>
        <v>0</v>
      </c>
      <c r="AN32" s="529">
        <f t="shared" si="15"/>
        <v>0</v>
      </c>
      <c r="AO32" s="530">
        <f>I32+AF32</f>
        <v>20534</v>
      </c>
      <c r="AP32" s="486">
        <f>J32+V32</f>
        <v>15120</v>
      </c>
      <c r="AQ32" s="486">
        <f>K32+Y32</f>
        <v>0</v>
      </c>
      <c r="AR32" s="480">
        <f>L32</f>
        <v>0</v>
      </c>
      <c r="AS32" s="486">
        <f t="shared" si="41"/>
        <v>5111</v>
      </c>
      <c r="AT32" s="486">
        <f t="shared" si="41"/>
        <v>303</v>
      </c>
      <c r="AU32" s="486">
        <f>O32+AE32</f>
        <v>0</v>
      </c>
      <c r="AV32" s="501">
        <f>P32+AN32</f>
        <v>3.0000000000000002E-2</v>
      </c>
      <c r="AW32" s="501">
        <f t="shared" si="42"/>
        <v>3.0000000000000002E-2</v>
      </c>
      <c r="AX32" s="502">
        <f t="shared" si="42"/>
        <v>0</v>
      </c>
    </row>
    <row r="33" spans="1:50" ht="12.95" customHeight="1" x14ac:dyDescent="0.25">
      <c r="A33" s="305">
        <v>5</v>
      </c>
      <c r="B33" s="551">
        <v>5467</v>
      </c>
      <c r="C33" s="551">
        <v>600098648</v>
      </c>
      <c r="D33" s="551">
        <v>72743948</v>
      </c>
      <c r="E33" s="550" t="s">
        <v>496</v>
      </c>
      <c r="F33" s="561">
        <v>3141</v>
      </c>
      <c r="G33" s="553" t="s">
        <v>321</v>
      </c>
      <c r="H33" s="494" t="s">
        <v>284</v>
      </c>
      <c r="I33" s="495">
        <v>636990</v>
      </c>
      <c r="J33" s="496">
        <v>466929</v>
      </c>
      <c r="K33" s="496">
        <v>0</v>
      </c>
      <c r="L33" s="496">
        <v>0</v>
      </c>
      <c r="M33" s="411">
        <v>157822</v>
      </c>
      <c r="N33" s="411">
        <v>9339</v>
      </c>
      <c r="O33" s="496">
        <v>2900</v>
      </c>
      <c r="P33" s="497">
        <v>1.59</v>
      </c>
      <c r="Q33" s="412">
        <v>0</v>
      </c>
      <c r="R33" s="498">
        <v>1.59</v>
      </c>
      <c r="S33" s="499">
        <f t="shared" si="16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5"/>
        <v>0</v>
      </c>
      <c r="AF33" s="486">
        <f t="shared" si="14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39"/>
        <v>0</v>
      </c>
      <c r="AM33" s="501">
        <f t="shared" si="40"/>
        <v>0</v>
      </c>
      <c r="AN33" s="529">
        <f t="shared" si="15"/>
        <v>0</v>
      </c>
      <c r="AO33" s="530">
        <f>I33+AF33</f>
        <v>636990</v>
      </c>
      <c r="AP33" s="486">
        <f>J33+V33</f>
        <v>466929</v>
      </c>
      <c r="AQ33" s="486">
        <f>K33+Y33</f>
        <v>0</v>
      </c>
      <c r="AR33" s="480">
        <f>L33</f>
        <v>0</v>
      </c>
      <c r="AS33" s="486">
        <f t="shared" si="41"/>
        <v>157822</v>
      </c>
      <c r="AT33" s="486">
        <f t="shared" si="41"/>
        <v>9339</v>
      </c>
      <c r="AU33" s="486">
        <f>O33+AE33</f>
        <v>2900</v>
      </c>
      <c r="AV33" s="501">
        <f>P33+AN33</f>
        <v>1.59</v>
      </c>
      <c r="AW33" s="501">
        <f t="shared" si="42"/>
        <v>0</v>
      </c>
      <c r="AX33" s="502">
        <f t="shared" si="42"/>
        <v>1.59</v>
      </c>
    </row>
    <row r="34" spans="1:50" ht="12.95" customHeight="1" x14ac:dyDescent="0.25">
      <c r="A34" s="306">
        <v>5</v>
      </c>
      <c r="B34" s="131">
        <v>5467</v>
      </c>
      <c r="C34" s="131">
        <v>600098648</v>
      </c>
      <c r="D34" s="131">
        <v>72743948</v>
      </c>
      <c r="E34" s="562" t="s">
        <v>497</v>
      </c>
      <c r="F34" s="132"/>
      <c r="G34" s="562"/>
      <c r="H34" s="373"/>
      <c r="I34" s="133">
        <v>5095334</v>
      </c>
      <c r="J34" s="239">
        <v>3724177</v>
      </c>
      <c r="K34" s="239">
        <v>0</v>
      </c>
      <c r="L34" s="239">
        <v>0</v>
      </c>
      <c r="M34" s="239">
        <v>1258772</v>
      </c>
      <c r="N34" s="239">
        <v>74485</v>
      </c>
      <c r="O34" s="239">
        <v>37900</v>
      </c>
      <c r="P34" s="380">
        <v>9.6366999999999994</v>
      </c>
      <c r="Q34" s="380">
        <v>6.0625</v>
      </c>
      <c r="R34" s="396">
        <v>3.5742000000000003</v>
      </c>
      <c r="S34" s="239">
        <f t="shared" ref="S34:AN34" si="43">SUM(S31:S33)</f>
        <v>0</v>
      </c>
      <c r="T34" s="169">
        <f t="shared" si="43"/>
        <v>0</v>
      </c>
      <c r="U34" s="169">
        <f t="shared" si="43"/>
        <v>0</v>
      </c>
      <c r="V34" s="169">
        <f t="shared" si="43"/>
        <v>0</v>
      </c>
      <c r="W34" s="169">
        <f t="shared" si="43"/>
        <v>0</v>
      </c>
      <c r="X34" s="169">
        <f t="shared" si="43"/>
        <v>0</v>
      </c>
      <c r="Y34" s="169">
        <f t="shared" si="43"/>
        <v>0</v>
      </c>
      <c r="Z34" s="169">
        <f t="shared" si="43"/>
        <v>0</v>
      </c>
      <c r="AA34" s="169">
        <f t="shared" si="43"/>
        <v>0</v>
      </c>
      <c r="AB34" s="169">
        <f t="shared" si="43"/>
        <v>0</v>
      </c>
      <c r="AC34" s="169">
        <f t="shared" si="43"/>
        <v>0</v>
      </c>
      <c r="AD34" s="169">
        <f t="shared" si="43"/>
        <v>0</v>
      </c>
      <c r="AE34" s="169">
        <f t="shared" si="43"/>
        <v>0</v>
      </c>
      <c r="AF34" s="169">
        <f t="shared" si="43"/>
        <v>0</v>
      </c>
      <c r="AG34" s="316">
        <f t="shared" si="43"/>
        <v>0</v>
      </c>
      <c r="AH34" s="316">
        <f t="shared" si="43"/>
        <v>0</v>
      </c>
      <c r="AI34" s="316">
        <f t="shared" si="43"/>
        <v>0</v>
      </c>
      <c r="AJ34" s="316">
        <f t="shared" si="43"/>
        <v>0</v>
      </c>
      <c r="AK34" s="316">
        <f t="shared" si="43"/>
        <v>0</v>
      </c>
      <c r="AL34" s="316">
        <f t="shared" si="43"/>
        <v>0</v>
      </c>
      <c r="AM34" s="316">
        <f t="shared" si="43"/>
        <v>0</v>
      </c>
      <c r="AN34" s="389">
        <f t="shared" si="43"/>
        <v>0</v>
      </c>
      <c r="AO34" s="133">
        <f t="shared" ref="AO34:AX34" si="44">SUM(AO31:AO33)</f>
        <v>5095334</v>
      </c>
      <c r="AP34" s="169">
        <f t="shared" si="44"/>
        <v>3724177</v>
      </c>
      <c r="AQ34" s="169">
        <f t="shared" si="44"/>
        <v>0</v>
      </c>
      <c r="AR34" s="169">
        <f t="shared" si="44"/>
        <v>0</v>
      </c>
      <c r="AS34" s="169">
        <f t="shared" si="44"/>
        <v>1258772</v>
      </c>
      <c r="AT34" s="169">
        <f t="shared" si="44"/>
        <v>74485</v>
      </c>
      <c r="AU34" s="169">
        <f t="shared" si="44"/>
        <v>37900</v>
      </c>
      <c r="AV34" s="316">
        <f t="shared" si="44"/>
        <v>9.6366999999999994</v>
      </c>
      <c r="AW34" s="316">
        <f t="shared" si="44"/>
        <v>6.0625</v>
      </c>
      <c r="AX34" s="317">
        <f t="shared" si="44"/>
        <v>3.5742000000000003</v>
      </c>
    </row>
    <row r="35" spans="1:50" ht="12.95" customHeight="1" x14ac:dyDescent="0.25">
      <c r="A35" s="305">
        <v>6</v>
      </c>
      <c r="B35" s="551">
        <v>5463</v>
      </c>
      <c r="C35" s="551">
        <v>600098877</v>
      </c>
      <c r="D35" s="551">
        <v>72743786</v>
      </c>
      <c r="E35" s="556" t="s">
        <v>498</v>
      </c>
      <c r="F35" s="551">
        <v>3111</v>
      </c>
      <c r="G35" s="553" t="s">
        <v>331</v>
      </c>
      <c r="H35" s="494" t="s">
        <v>283</v>
      </c>
      <c r="I35" s="495">
        <v>3835829</v>
      </c>
      <c r="J35" s="496">
        <v>2797813</v>
      </c>
      <c r="K35" s="496">
        <v>0</v>
      </c>
      <c r="L35" s="496">
        <v>0</v>
      </c>
      <c r="M35" s="411">
        <v>945660</v>
      </c>
      <c r="N35" s="411">
        <v>55956</v>
      </c>
      <c r="O35" s="496">
        <v>36400</v>
      </c>
      <c r="P35" s="497">
        <v>6.3297999999999996</v>
      </c>
      <c r="Q35" s="412">
        <v>4.84</v>
      </c>
      <c r="R35" s="498">
        <v>1.4898</v>
      </c>
      <c r="S35" s="499">
        <f t="shared" si="16"/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5"/>
        <v>0</v>
      </c>
      <c r="AF35" s="486">
        <f t="shared" si="14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ref="AL35:AL37" si="45">AG35+AI35+AJ35</f>
        <v>0</v>
      </c>
      <c r="AM35" s="501">
        <f t="shared" ref="AM35:AM37" si="46">AH35+AK35</f>
        <v>0</v>
      </c>
      <c r="AN35" s="529">
        <f t="shared" si="15"/>
        <v>0</v>
      </c>
      <c r="AO35" s="530">
        <f>I35+AF35</f>
        <v>3835829</v>
      </c>
      <c r="AP35" s="486">
        <f>J35+V35</f>
        <v>2797813</v>
      </c>
      <c r="AQ35" s="486">
        <f>K35+Y35</f>
        <v>0</v>
      </c>
      <c r="AR35" s="480">
        <f>L35</f>
        <v>0</v>
      </c>
      <c r="AS35" s="486">
        <f t="shared" ref="AS35:AT37" si="47">M35+AA35</f>
        <v>945660</v>
      </c>
      <c r="AT35" s="486">
        <f t="shared" si="47"/>
        <v>55956</v>
      </c>
      <c r="AU35" s="486">
        <f>O35+AE35</f>
        <v>36400</v>
      </c>
      <c r="AV35" s="501">
        <f>P35+AN35</f>
        <v>6.3297999999999996</v>
      </c>
      <c r="AW35" s="501">
        <f t="shared" ref="AW35:AX37" si="48">Q35+AL35</f>
        <v>4.84</v>
      </c>
      <c r="AX35" s="502">
        <f t="shared" si="48"/>
        <v>1.4898</v>
      </c>
    </row>
    <row r="36" spans="1:50" ht="12.95" customHeight="1" x14ac:dyDescent="0.25">
      <c r="A36" s="305">
        <v>6</v>
      </c>
      <c r="B36" s="551">
        <v>5463</v>
      </c>
      <c r="C36" s="551">
        <v>600098877</v>
      </c>
      <c r="D36" s="551">
        <v>72743786</v>
      </c>
      <c r="E36" s="552" t="s">
        <v>498</v>
      </c>
      <c r="F36" s="551">
        <v>3111</v>
      </c>
      <c r="G36" s="528" t="s">
        <v>318</v>
      </c>
      <c r="H36" s="494" t="s">
        <v>284</v>
      </c>
      <c r="I36" s="495">
        <v>120562</v>
      </c>
      <c r="J36" s="496">
        <v>88780</v>
      </c>
      <c r="K36" s="496">
        <v>0</v>
      </c>
      <c r="L36" s="496">
        <v>0</v>
      </c>
      <c r="M36" s="411">
        <v>30007</v>
      </c>
      <c r="N36" s="411">
        <v>1775</v>
      </c>
      <c r="O36" s="496">
        <v>0</v>
      </c>
      <c r="P36" s="497">
        <v>0.21000000000000002</v>
      </c>
      <c r="Q36" s="412">
        <v>0.21000000000000002</v>
      </c>
      <c r="R36" s="498">
        <v>0</v>
      </c>
      <c r="S36" s="499">
        <f t="shared" si="16"/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319">
        <f>ROUND((V36+W36)*33.8%,0)</f>
        <v>0</v>
      </c>
      <c r="AB36" s="178">
        <f>ROUND(V36*2%,0)</f>
        <v>0</v>
      </c>
      <c r="AC36" s="486">
        <v>0</v>
      </c>
      <c r="AD36" s="486">
        <v>0</v>
      </c>
      <c r="AE36" s="486">
        <f t="shared" si="5"/>
        <v>0</v>
      </c>
      <c r="AF36" s="486">
        <f t="shared" si="14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45"/>
        <v>0</v>
      </c>
      <c r="AM36" s="501">
        <f t="shared" si="46"/>
        <v>0</v>
      </c>
      <c r="AN36" s="529">
        <f t="shared" si="15"/>
        <v>0</v>
      </c>
      <c r="AO36" s="530">
        <f>I36+AF36</f>
        <v>120562</v>
      </c>
      <c r="AP36" s="486">
        <f>J36+V36</f>
        <v>88780</v>
      </c>
      <c r="AQ36" s="486">
        <f>K36+Y36</f>
        <v>0</v>
      </c>
      <c r="AR36" s="480">
        <f>L36</f>
        <v>0</v>
      </c>
      <c r="AS36" s="486">
        <f t="shared" si="47"/>
        <v>30007</v>
      </c>
      <c r="AT36" s="486">
        <f t="shared" si="47"/>
        <v>1775</v>
      </c>
      <c r="AU36" s="486">
        <f>O36+AE36</f>
        <v>0</v>
      </c>
      <c r="AV36" s="501">
        <f>P36+AN36</f>
        <v>0.21000000000000002</v>
      </c>
      <c r="AW36" s="501">
        <f t="shared" si="48"/>
        <v>0.21000000000000002</v>
      </c>
      <c r="AX36" s="502">
        <f t="shared" si="48"/>
        <v>0</v>
      </c>
    </row>
    <row r="37" spans="1:50" ht="12.95" customHeight="1" x14ac:dyDescent="0.25">
      <c r="A37" s="305">
        <v>6</v>
      </c>
      <c r="B37" s="551">
        <v>5463</v>
      </c>
      <c r="C37" s="551">
        <v>600098877</v>
      </c>
      <c r="D37" s="551">
        <v>72743786</v>
      </c>
      <c r="E37" s="552" t="s">
        <v>498</v>
      </c>
      <c r="F37" s="551">
        <v>3141</v>
      </c>
      <c r="G37" s="553" t="s">
        <v>321</v>
      </c>
      <c r="H37" s="494" t="s">
        <v>284</v>
      </c>
      <c r="I37" s="495">
        <v>662794</v>
      </c>
      <c r="J37" s="496">
        <v>485803</v>
      </c>
      <c r="K37" s="496">
        <v>0</v>
      </c>
      <c r="L37" s="496">
        <v>0</v>
      </c>
      <c r="M37" s="411">
        <v>164201</v>
      </c>
      <c r="N37" s="411">
        <v>9716</v>
      </c>
      <c r="O37" s="496">
        <v>3074</v>
      </c>
      <c r="P37" s="497">
        <v>1.65</v>
      </c>
      <c r="Q37" s="412">
        <v>0</v>
      </c>
      <c r="R37" s="498">
        <v>1.65</v>
      </c>
      <c r="S37" s="499">
        <f t="shared" si="16"/>
        <v>0</v>
      </c>
      <c r="T37" s="486">
        <v>0</v>
      </c>
      <c r="U37" s="486">
        <v>0</v>
      </c>
      <c r="V37" s="486">
        <f>SUM(S37:U37)</f>
        <v>0</v>
      </c>
      <c r="W37" s="486">
        <v>0</v>
      </c>
      <c r="X37" s="486">
        <v>0</v>
      </c>
      <c r="Y37" s="486">
        <f>SUM(W37:X37)</f>
        <v>0</v>
      </c>
      <c r="Z37" s="486">
        <f>V37+Y37</f>
        <v>0</v>
      </c>
      <c r="AA37" s="319">
        <f>ROUND((V37+W37)*33.8%,0)</f>
        <v>0</v>
      </c>
      <c r="AB37" s="178">
        <f>ROUND(V37*2%,0)</f>
        <v>0</v>
      </c>
      <c r="AC37" s="486">
        <v>0</v>
      </c>
      <c r="AD37" s="486">
        <v>0</v>
      </c>
      <c r="AE37" s="486">
        <f t="shared" si="5"/>
        <v>0</v>
      </c>
      <c r="AF37" s="486">
        <f t="shared" si="14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si="45"/>
        <v>0</v>
      </c>
      <c r="AM37" s="501">
        <f t="shared" si="46"/>
        <v>0</v>
      </c>
      <c r="AN37" s="529">
        <f t="shared" si="15"/>
        <v>0</v>
      </c>
      <c r="AO37" s="530">
        <f>I37+AF37</f>
        <v>662794</v>
      </c>
      <c r="AP37" s="486">
        <f>J37+V37</f>
        <v>485803</v>
      </c>
      <c r="AQ37" s="486">
        <f>K37+Y37</f>
        <v>0</v>
      </c>
      <c r="AR37" s="480">
        <f>L37</f>
        <v>0</v>
      </c>
      <c r="AS37" s="486">
        <f t="shared" si="47"/>
        <v>164201</v>
      </c>
      <c r="AT37" s="486">
        <f t="shared" si="47"/>
        <v>9716</v>
      </c>
      <c r="AU37" s="486">
        <f>O37+AE37</f>
        <v>3074</v>
      </c>
      <c r="AV37" s="501">
        <f>P37+AN37</f>
        <v>1.65</v>
      </c>
      <c r="AW37" s="501">
        <f t="shared" si="48"/>
        <v>0</v>
      </c>
      <c r="AX37" s="502">
        <f t="shared" si="48"/>
        <v>1.65</v>
      </c>
    </row>
    <row r="38" spans="1:50" ht="12.95" customHeight="1" x14ac:dyDescent="0.25">
      <c r="A38" s="306">
        <v>6</v>
      </c>
      <c r="B38" s="128">
        <v>5463</v>
      </c>
      <c r="C38" s="128">
        <v>600098877</v>
      </c>
      <c r="D38" s="128">
        <v>72743786</v>
      </c>
      <c r="E38" s="554" t="s">
        <v>499</v>
      </c>
      <c r="F38" s="128"/>
      <c r="G38" s="554"/>
      <c r="H38" s="371"/>
      <c r="I38" s="129">
        <v>4619185</v>
      </c>
      <c r="J38" s="238">
        <v>3372396</v>
      </c>
      <c r="K38" s="238">
        <v>0</v>
      </c>
      <c r="L38" s="238">
        <v>0</v>
      </c>
      <c r="M38" s="238">
        <v>1139868</v>
      </c>
      <c r="N38" s="238">
        <v>67447</v>
      </c>
      <c r="O38" s="238">
        <v>39474</v>
      </c>
      <c r="P38" s="378">
        <v>8.1898</v>
      </c>
      <c r="Q38" s="378">
        <v>5.05</v>
      </c>
      <c r="R38" s="394">
        <v>3.1398000000000001</v>
      </c>
      <c r="S38" s="238">
        <f t="shared" ref="S38:AN38" si="49">SUM(S35:S37)</f>
        <v>0</v>
      </c>
      <c r="T38" s="168">
        <f t="shared" si="49"/>
        <v>0</v>
      </c>
      <c r="U38" s="168">
        <f t="shared" si="49"/>
        <v>0</v>
      </c>
      <c r="V38" s="168">
        <f t="shared" si="49"/>
        <v>0</v>
      </c>
      <c r="W38" s="168">
        <f t="shared" si="49"/>
        <v>0</v>
      </c>
      <c r="X38" s="168">
        <f t="shared" si="49"/>
        <v>0</v>
      </c>
      <c r="Y38" s="168">
        <f t="shared" si="49"/>
        <v>0</v>
      </c>
      <c r="Z38" s="168">
        <f t="shared" si="49"/>
        <v>0</v>
      </c>
      <c r="AA38" s="168">
        <f t="shared" si="49"/>
        <v>0</v>
      </c>
      <c r="AB38" s="168">
        <f t="shared" si="49"/>
        <v>0</v>
      </c>
      <c r="AC38" s="168">
        <f t="shared" si="49"/>
        <v>0</v>
      </c>
      <c r="AD38" s="168">
        <f t="shared" si="49"/>
        <v>0</v>
      </c>
      <c r="AE38" s="168">
        <f t="shared" si="49"/>
        <v>0</v>
      </c>
      <c r="AF38" s="168">
        <f t="shared" si="49"/>
        <v>0</v>
      </c>
      <c r="AG38" s="314">
        <f t="shared" si="49"/>
        <v>0</v>
      </c>
      <c r="AH38" s="314">
        <f t="shared" si="49"/>
        <v>0</v>
      </c>
      <c r="AI38" s="314">
        <f t="shared" si="49"/>
        <v>0</v>
      </c>
      <c r="AJ38" s="314">
        <f t="shared" si="49"/>
        <v>0</v>
      </c>
      <c r="AK38" s="314">
        <f t="shared" si="49"/>
        <v>0</v>
      </c>
      <c r="AL38" s="314">
        <f t="shared" si="49"/>
        <v>0</v>
      </c>
      <c r="AM38" s="314">
        <f t="shared" si="49"/>
        <v>0</v>
      </c>
      <c r="AN38" s="387">
        <f t="shared" si="49"/>
        <v>0</v>
      </c>
      <c r="AO38" s="129">
        <f t="shared" ref="AO38:AX38" si="50">SUM(AO35:AO37)</f>
        <v>4619185</v>
      </c>
      <c r="AP38" s="168">
        <f t="shared" si="50"/>
        <v>3372396</v>
      </c>
      <c r="AQ38" s="168">
        <f t="shared" si="50"/>
        <v>0</v>
      </c>
      <c r="AR38" s="168">
        <f t="shared" si="50"/>
        <v>0</v>
      </c>
      <c r="AS38" s="168">
        <f t="shared" si="50"/>
        <v>1139868</v>
      </c>
      <c r="AT38" s="168">
        <f t="shared" si="50"/>
        <v>67447</v>
      </c>
      <c r="AU38" s="168">
        <f t="shared" si="50"/>
        <v>39474</v>
      </c>
      <c r="AV38" s="314">
        <f t="shared" si="50"/>
        <v>8.1898</v>
      </c>
      <c r="AW38" s="314">
        <f t="shared" si="50"/>
        <v>5.05</v>
      </c>
      <c r="AX38" s="315">
        <f t="shared" si="50"/>
        <v>3.1398000000000001</v>
      </c>
    </row>
    <row r="39" spans="1:50" ht="12.95" customHeight="1" x14ac:dyDescent="0.25">
      <c r="A39" s="305">
        <v>7</v>
      </c>
      <c r="B39" s="551">
        <v>5461</v>
      </c>
      <c r="C39" s="551">
        <v>600098915</v>
      </c>
      <c r="D39" s="551">
        <v>72743701</v>
      </c>
      <c r="E39" s="556" t="s">
        <v>500</v>
      </c>
      <c r="F39" s="551">
        <v>3111</v>
      </c>
      <c r="G39" s="553" t="s">
        <v>331</v>
      </c>
      <c r="H39" s="494" t="s">
        <v>283</v>
      </c>
      <c r="I39" s="495">
        <v>3163708</v>
      </c>
      <c r="J39" s="496">
        <v>2306486</v>
      </c>
      <c r="K39" s="496">
        <v>0</v>
      </c>
      <c r="L39" s="496">
        <v>0</v>
      </c>
      <c r="M39" s="411">
        <v>779592</v>
      </c>
      <c r="N39" s="411">
        <v>46130</v>
      </c>
      <c r="O39" s="496">
        <v>31500</v>
      </c>
      <c r="P39" s="497">
        <v>5.4897999999999998</v>
      </c>
      <c r="Q39" s="412">
        <v>4</v>
      </c>
      <c r="R39" s="498">
        <v>1.4898</v>
      </c>
      <c r="S39" s="499">
        <f t="shared" si="16"/>
        <v>0</v>
      </c>
      <c r="T39" s="486">
        <v>0</v>
      </c>
      <c r="U39" s="486">
        <v>0</v>
      </c>
      <c r="V39" s="486">
        <f>SUM(S39:U39)</f>
        <v>0</v>
      </c>
      <c r="W39" s="486">
        <v>0</v>
      </c>
      <c r="X39" s="486">
        <v>0</v>
      </c>
      <c r="Y39" s="486">
        <f>SUM(W39:X39)</f>
        <v>0</v>
      </c>
      <c r="Z39" s="486">
        <f>V39+Y39</f>
        <v>0</v>
      </c>
      <c r="AA39" s="319">
        <f>ROUND((V39+W39)*33.8%,0)</f>
        <v>0</v>
      </c>
      <c r="AB39" s="178">
        <f>ROUND(V39*2%,0)</f>
        <v>0</v>
      </c>
      <c r="AC39" s="486">
        <v>0</v>
      </c>
      <c r="AD39" s="486">
        <v>0</v>
      </c>
      <c r="AE39" s="486">
        <f t="shared" si="5"/>
        <v>0</v>
      </c>
      <c r="AF39" s="486">
        <f t="shared" si="14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ref="AL39:AL40" si="51">AG39+AI39+AJ39</f>
        <v>0</v>
      </c>
      <c r="AM39" s="501">
        <f t="shared" ref="AM39:AM40" si="52">AH39+AK39</f>
        <v>0</v>
      </c>
      <c r="AN39" s="529">
        <f t="shared" si="15"/>
        <v>0</v>
      </c>
      <c r="AO39" s="530">
        <f>I39+AF39</f>
        <v>3163708</v>
      </c>
      <c r="AP39" s="486">
        <f>J39+V39</f>
        <v>2306486</v>
      </c>
      <c r="AQ39" s="486">
        <f>K39+Y39</f>
        <v>0</v>
      </c>
      <c r="AR39" s="480">
        <f>L39</f>
        <v>0</v>
      </c>
      <c r="AS39" s="486">
        <f>M39+AA39</f>
        <v>779592</v>
      </c>
      <c r="AT39" s="486">
        <f>N39+AB39</f>
        <v>46130</v>
      </c>
      <c r="AU39" s="486">
        <f>O39+AE39</f>
        <v>31500</v>
      </c>
      <c r="AV39" s="501">
        <f>P39+AN39</f>
        <v>5.4897999999999998</v>
      </c>
      <c r="AW39" s="501">
        <f>Q39+AL39</f>
        <v>4</v>
      </c>
      <c r="AX39" s="502">
        <f>R39+AM39</f>
        <v>1.4898</v>
      </c>
    </row>
    <row r="40" spans="1:50" ht="12.95" customHeight="1" x14ac:dyDescent="0.25">
      <c r="A40" s="305">
        <v>7</v>
      </c>
      <c r="B40" s="560">
        <v>5461</v>
      </c>
      <c r="C40" s="560">
        <v>600098915</v>
      </c>
      <c r="D40" s="560">
        <v>72743701</v>
      </c>
      <c r="E40" s="559" t="s">
        <v>500</v>
      </c>
      <c r="F40" s="560">
        <v>3141</v>
      </c>
      <c r="G40" s="553" t="s">
        <v>321</v>
      </c>
      <c r="H40" s="494" t="s">
        <v>284</v>
      </c>
      <c r="I40" s="495">
        <v>586381</v>
      </c>
      <c r="J40" s="496">
        <v>429876</v>
      </c>
      <c r="K40" s="496">
        <v>0</v>
      </c>
      <c r="L40" s="496">
        <v>0</v>
      </c>
      <c r="M40" s="411">
        <v>145298</v>
      </c>
      <c r="N40" s="411">
        <v>8597</v>
      </c>
      <c r="O40" s="496">
        <v>2610</v>
      </c>
      <c r="P40" s="497">
        <v>1.47</v>
      </c>
      <c r="Q40" s="412">
        <v>0</v>
      </c>
      <c r="R40" s="498">
        <v>1.47</v>
      </c>
      <c r="S40" s="499">
        <f t="shared" si="16"/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486">
        <v>0</v>
      </c>
      <c r="Y40" s="486">
        <f>SUM(W40:X40)</f>
        <v>0</v>
      </c>
      <c r="Z40" s="486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5"/>
        <v>0</v>
      </c>
      <c r="AF40" s="486">
        <f t="shared" si="14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51"/>
        <v>0</v>
      </c>
      <c r="AM40" s="501">
        <f t="shared" si="52"/>
        <v>0</v>
      </c>
      <c r="AN40" s="529">
        <f t="shared" si="15"/>
        <v>0</v>
      </c>
      <c r="AO40" s="530">
        <f>I40+AF40</f>
        <v>586381</v>
      </c>
      <c r="AP40" s="486">
        <f>J40+V40</f>
        <v>429876</v>
      </c>
      <c r="AQ40" s="486">
        <f>K40+Y40</f>
        <v>0</v>
      </c>
      <c r="AR40" s="480">
        <f>L40</f>
        <v>0</v>
      </c>
      <c r="AS40" s="486">
        <f>M40+AA40</f>
        <v>145298</v>
      </c>
      <c r="AT40" s="486">
        <f>N40+AB40</f>
        <v>8597</v>
      </c>
      <c r="AU40" s="486">
        <f>O40+AE40</f>
        <v>2610</v>
      </c>
      <c r="AV40" s="501">
        <f>P40+AN40</f>
        <v>1.47</v>
      </c>
      <c r="AW40" s="501">
        <f>Q40+AL40</f>
        <v>0</v>
      </c>
      <c r="AX40" s="502">
        <f>R40+AM40</f>
        <v>1.47</v>
      </c>
    </row>
    <row r="41" spans="1:50" ht="12.95" customHeight="1" x14ac:dyDescent="0.25">
      <c r="A41" s="306">
        <v>7</v>
      </c>
      <c r="B41" s="134">
        <v>5461</v>
      </c>
      <c r="C41" s="134">
        <v>600098915</v>
      </c>
      <c r="D41" s="134">
        <v>72743701</v>
      </c>
      <c r="E41" s="563" t="s">
        <v>501</v>
      </c>
      <c r="F41" s="134"/>
      <c r="G41" s="563"/>
      <c r="H41" s="374"/>
      <c r="I41" s="130">
        <v>3750089</v>
      </c>
      <c r="J41" s="141">
        <v>2736362</v>
      </c>
      <c r="K41" s="141">
        <v>0</v>
      </c>
      <c r="L41" s="141">
        <v>0</v>
      </c>
      <c r="M41" s="141">
        <v>924890</v>
      </c>
      <c r="N41" s="141">
        <v>54727</v>
      </c>
      <c r="O41" s="141">
        <v>34110</v>
      </c>
      <c r="P41" s="379">
        <v>6.9597999999999995</v>
      </c>
      <c r="Q41" s="379">
        <v>4</v>
      </c>
      <c r="R41" s="395">
        <v>2.9598</v>
      </c>
      <c r="S41" s="141">
        <f t="shared" ref="S41:AN41" si="53">SUM(S39:S40)</f>
        <v>0</v>
      </c>
      <c r="T41" s="87">
        <f t="shared" si="53"/>
        <v>0</v>
      </c>
      <c r="U41" s="87">
        <f t="shared" si="53"/>
        <v>0</v>
      </c>
      <c r="V41" s="87">
        <f t="shared" si="53"/>
        <v>0</v>
      </c>
      <c r="W41" s="87">
        <f t="shared" si="53"/>
        <v>0</v>
      </c>
      <c r="X41" s="87">
        <f t="shared" si="53"/>
        <v>0</v>
      </c>
      <c r="Y41" s="87">
        <f t="shared" si="53"/>
        <v>0</v>
      </c>
      <c r="Z41" s="87">
        <f t="shared" si="53"/>
        <v>0</v>
      </c>
      <c r="AA41" s="87">
        <f t="shared" si="53"/>
        <v>0</v>
      </c>
      <c r="AB41" s="87">
        <f t="shared" si="53"/>
        <v>0</v>
      </c>
      <c r="AC41" s="87">
        <f t="shared" si="53"/>
        <v>0</v>
      </c>
      <c r="AD41" s="87">
        <f t="shared" si="53"/>
        <v>0</v>
      </c>
      <c r="AE41" s="87">
        <f t="shared" si="53"/>
        <v>0</v>
      </c>
      <c r="AF41" s="87">
        <f t="shared" si="53"/>
        <v>0</v>
      </c>
      <c r="AG41" s="88">
        <f t="shared" si="53"/>
        <v>0</v>
      </c>
      <c r="AH41" s="88">
        <f t="shared" si="53"/>
        <v>0</v>
      </c>
      <c r="AI41" s="88">
        <f t="shared" si="53"/>
        <v>0</v>
      </c>
      <c r="AJ41" s="88">
        <f t="shared" si="53"/>
        <v>0</v>
      </c>
      <c r="AK41" s="88">
        <f t="shared" si="53"/>
        <v>0</v>
      </c>
      <c r="AL41" s="88">
        <f t="shared" si="53"/>
        <v>0</v>
      </c>
      <c r="AM41" s="88">
        <f t="shared" si="53"/>
        <v>0</v>
      </c>
      <c r="AN41" s="388">
        <f t="shared" si="53"/>
        <v>0</v>
      </c>
      <c r="AO41" s="130">
        <f t="shared" ref="AO41:AX41" si="54">SUM(AO39:AO40)</f>
        <v>3750089</v>
      </c>
      <c r="AP41" s="87">
        <f t="shared" si="54"/>
        <v>2736362</v>
      </c>
      <c r="AQ41" s="87">
        <f t="shared" si="54"/>
        <v>0</v>
      </c>
      <c r="AR41" s="87">
        <f t="shared" si="54"/>
        <v>0</v>
      </c>
      <c r="AS41" s="87">
        <f t="shared" si="54"/>
        <v>924890</v>
      </c>
      <c r="AT41" s="87">
        <f t="shared" si="54"/>
        <v>54727</v>
      </c>
      <c r="AU41" s="87">
        <f t="shared" si="54"/>
        <v>34110</v>
      </c>
      <c r="AV41" s="88">
        <f t="shared" si="54"/>
        <v>6.9597999999999995</v>
      </c>
      <c r="AW41" s="88">
        <f t="shared" si="54"/>
        <v>4</v>
      </c>
      <c r="AX41" s="274">
        <f t="shared" si="54"/>
        <v>2.9598</v>
      </c>
    </row>
    <row r="42" spans="1:50" ht="12.95" customHeight="1" x14ac:dyDescent="0.25">
      <c r="A42" s="305">
        <v>8</v>
      </c>
      <c r="B42" s="549">
        <v>5466</v>
      </c>
      <c r="C42" s="549">
        <v>600098885</v>
      </c>
      <c r="D42" s="549">
        <v>72743794</v>
      </c>
      <c r="E42" s="550" t="s">
        <v>502</v>
      </c>
      <c r="F42" s="549">
        <v>3111</v>
      </c>
      <c r="G42" s="553" t="s">
        <v>331</v>
      </c>
      <c r="H42" s="494" t="s">
        <v>283</v>
      </c>
      <c r="I42" s="495">
        <v>8234028</v>
      </c>
      <c r="J42" s="496">
        <v>5976059</v>
      </c>
      <c r="K42" s="496">
        <v>30000</v>
      </c>
      <c r="L42" s="496">
        <v>0</v>
      </c>
      <c r="M42" s="411">
        <v>2030048</v>
      </c>
      <c r="N42" s="411">
        <v>119521</v>
      </c>
      <c r="O42" s="496">
        <v>78400</v>
      </c>
      <c r="P42" s="497">
        <v>14.0092</v>
      </c>
      <c r="Q42" s="412">
        <v>10.36</v>
      </c>
      <c r="R42" s="498">
        <v>3.6492000000000004</v>
      </c>
      <c r="S42" s="499">
        <f t="shared" si="16"/>
        <v>30000</v>
      </c>
      <c r="T42" s="486">
        <v>0</v>
      </c>
      <c r="U42" s="486">
        <v>0</v>
      </c>
      <c r="V42" s="486">
        <f>SUM(S42:U42)</f>
        <v>30000</v>
      </c>
      <c r="W42" s="486">
        <v>-30000</v>
      </c>
      <c r="X42" s="486">
        <v>0</v>
      </c>
      <c r="Y42" s="486">
        <f>SUM(W42:X42)</f>
        <v>-30000</v>
      </c>
      <c r="Z42" s="486">
        <f>V42+Y42</f>
        <v>0</v>
      </c>
      <c r="AA42" s="319">
        <f>ROUND((V42+W42)*33.8%,0)</f>
        <v>0</v>
      </c>
      <c r="AB42" s="178">
        <f>ROUND(V42*2%,0)</f>
        <v>600</v>
      </c>
      <c r="AC42" s="486">
        <v>0</v>
      </c>
      <c r="AD42" s="486">
        <v>0</v>
      </c>
      <c r="AE42" s="486">
        <f t="shared" si="5"/>
        <v>0</v>
      </c>
      <c r="AF42" s="486">
        <f t="shared" si="14"/>
        <v>600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ref="AL42:AL43" si="55">AG42+AI42+AJ42</f>
        <v>0</v>
      </c>
      <c r="AM42" s="501">
        <f t="shared" ref="AM42:AM43" si="56">AH42+AK42</f>
        <v>0</v>
      </c>
      <c r="AN42" s="529">
        <f t="shared" si="15"/>
        <v>0</v>
      </c>
      <c r="AO42" s="530">
        <f>I42+AF42</f>
        <v>8234628</v>
      </c>
      <c r="AP42" s="486">
        <f>J42+V42</f>
        <v>6006059</v>
      </c>
      <c r="AQ42" s="486">
        <f>K42+Y42</f>
        <v>0</v>
      </c>
      <c r="AR42" s="480">
        <f>L42</f>
        <v>0</v>
      </c>
      <c r="AS42" s="486">
        <f>M42+AA42</f>
        <v>2030048</v>
      </c>
      <c r="AT42" s="486">
        <f>N42+AB42</f>
        <v>120121</v>
      </c>
      <c r="AU42" s="486">
        <f>O42+AE42</f>
        <v>78400</v>
      </c>
      <c r="AV42" s="501">
        <f>P42+AN42</f>
        <v>14.0092</v>
      </c>
      <c r="AW42" s="501">
        <f>Q42+AL42</f>
        <v>10.36</v>
      </c>
      <c r="AX42" s="502">
        <f>R42+AM42</f>
        <v>3.6492000000000004</v>
      </c>
    </row>
    <row r="43" spans="1:50" ht="12.95" customHeight="1" x14ac:dyDescent="0.25">
      <c r="A43" s="305">
        <v>8</v>
      </c>
      <c r="B43" s="551">
        <v>5466</v>
      </c>
      <c r="C43" s="551">
        <v>600098885</v>
      </c>
      <c r="D43" s="551">
        <v>72743794</v>
      </c>
      <c r="E43" s="552" t="s">
        <v>502</v>
      </c>
      <c r="F43" s="551">
        <v>3141</v>
      </c>
      <c r="G43" s="553" t="s">
        <v>321</v>
      </c>
      <c r="H43" s="494" t="s">
        <v>284</v>
      </c>
      <c r="I43" s="495">
        <v>1034226</v>
      </c>
      <c r="J43" s="496">
        <v>757267</v>
      </c>
      <c r="K43" s="496">
        <v>0</v>
      </c>
      <c r="L43" s="496">
        <v>0</v>
      </c>
      <c r="M43" s="411">
        <v>255956</v>
      </c>
      <c r="N43" s="411">
        <v>15145</v>
      </c>
      <c r="O43" s="496">
        <v>5858</v>
      </c>
      <c r="P43" s="497">
        <v>2.57</v>
      </c>
      <c r="Q43" s="412">
        <v>0</v>
      </c>
      <c r="R43" s="498">
        <v>2.57</v>
      </c>
      <c r="S43" s="499">
        <f t="shared" si="16"/>
        <v>0</v>
      </c>
      <c r="T43" s="486">
        <v>0</v>
      </c>
      <c r="U43" s="486">
        <v>0</v>
      </c>
      <c r="V43" s="486">
        <f>SUM(S43:U43)</f>
        <v>0</v>
      </c>
      <c r="W43" s="486">
        <v>0</v>
      </c>
      <c r="X43" s="486">
        <v>0</v>
      </c>
      <c r="Y43" s="486">
        <f>SUM(W43:X43)</f>
        <v>0</v>
      </c>
      <c r="Z43" s="486">
        <f>V43+Y43</f>
        <v>0</v>
      </c>
      <c r="AA43" s="319">
        <f>ROUND((V43+W43)*33.8%,0)</f>
        <v>0</v>
      </c>
      <c r="AB43" s="178">
        <f>ROUND(V43*2%,0)</f>
        <v>0</v>
      </c>
      <c r="AC43" s="486">
        <v>0</v>
      </c>
      <c r="AD43" s="486">
        <v>0</v>
      </c>
      <c r="AE43" s="486">
        <f t="shared" si="5"/>
        <v>0</v>
      </c>
      <c r="AF43" s="486">
        <f t="shared" si="14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si="55"/>
        <v>0</v>
      </c>
      <c r="AM43" s="501">
        <f t="shared" si="56"/>
        <v>0</v>
      </c>
      <c r="AN43" s="529">
        <f t="shared" si="15"/>
        <v>0</v>
      </c>
      <c r="AO43" s="530">
        <f>I43+AF43</f>
        <v>1034226</v>
      </c>
      <c r="AP43" s="486">
        <f>J43+V43</f>
        <v>757267</v>
      </c>
      <c r="AQ43" s="486">
        <f>K43+Y43</f>
        <v>0</v>
      </c>
      <c r="AR43" s="480">
        <f>L43</f>
        <v>0</v>
      </c>
      <c r="AS43" s="486">
        <f>M43+AA43</f>
        <v>255956</v>
      </c>
      <c r="AT43" s="486">
        <f>N43+AB43</f>
        <v>15145</v>
      </c>
      <c r="AU43" s="486">
        <f>O43+AE43</f>
        <v>5858</v>
      </c>
      <c r="AV43" s="501">
        <f>P43+AN43</f>
        <v>2.57</v>
      </c>
      <c r="AW43" s="501">
        <f>Q43+AL43</f>
        <v>0</v>
      </c>
      <c r="AX43" s="502">
        <f>R43+AM43</f>
        <v>2.57</v>
      </c>
    </row>
    <row r="44" spans="1:50" ht="12.95" customHeight="1" x14ac:dyDescent="0.25">
      <c r="A44" s="306">
        <v>8</v>
      </c>
      <c r="B44" s="128">
        <v>5466</v>
      </c>
      <c r="C44" s="128">
        <v>600098885</v>
      </c>
      <c r="D44" s="128">
        <v>72743794</v>
      </c>
      <c r="E44" s="554" t="s">
        <v>503</v>
      </c>
      <c r="F44" s="128"/>
      <c r="G44" s="554"/>
      <c r="H44" s="371"/>
      <c r="I44" s="130">
        <v>9268254</v>
      </c>
      <c r="J44" s="141">
        <v>6733326</v>
      </c>
      <c r="K44" s="141">
        <v>30000</v>
      </c>
      <c r="L44" s="141">
        <v>0</v>
      </c>
      <c r="M44" s="141">
        <v>2286004</v>
      </c>
      <c r="N44" s="141">
        <v>134666</v>
      </c>
      <c r="O44" s="141">
        <v>84258</v>
      </c>
      <c r="P44" s="379">
        <v>16.5792</v>
      </c>
      <c r="Q44" s="379">
        <v>10.36</v>
      </c>
      <c r="R44" s="395">
        <v>6.2192000000000007</v>
      </c>
      <c r="S44" s="141">
        <f t="shared" ref="S44:AN44" si="57">SUM(S42:S43)</f>
        <v>30000</v>
      </c>
      <c r="T44" s="87">
        <f t="shared" si="57"/>
        <v>0</v>
      </c>
      <c r="U44" s="87">
        <f t="shared" si="57"/>
        <v>0</v>
      </c>
      <c r="V44" s="87">
        <f t="shared" si="57"/>
        <v>30000</v>
      </c>
      <c r="W44" s="87">
        <f t="shared" si="57"/>
        <v>-30000</v>
      </c>
      <c r="X44" s="87">
        <f t="shared" si="57"/>
        <v>0</v>
      </c>
      <c r="Y44" s="87">
        <f t="shared" si="57"/>
        <v>-30000</v>
      </c>
      <c r="Z44" s="87">
        <f t="shared" si="57"/>
        <v>0</v>
      </c>
      <c r="AA44" s="87">
        <f t="shared" si="57"/>
        <v>0</v>
      </c>
      <c r="AB44" s="87">
        <f t="shared" si="57"/>
        <v>600</v>
      </c>
      <c r="AC44" s="87">
        <f t="shared" si="57"/>
        <v>0</v>
      </c>
      <c r="AD44" s="87">
        <f t="shared" si="57"/>
        <v>0</v>
      </c>
      <c r="AE44" s="87">
        <f t="shared" si="57"/>
        <v>0</v>
      </c>
      <c r="AF44" s="87">
        <f t="shared" si="57"/>
        <v>600</v>
      </c>
      <c r="AG44" s="88">
        <f t="shared" si="57"/>
        <v>0</v>
      </c>
      <c r="AH44" s="88">
        <f t="shared" si="57"/>
        <v>0</v>
      </c>
      <c r="AI44" s="88">
        <f t="shared" si="57"/>
        <v>0</v>
      </c>
      <c r="AJ44" s="88">
        <f t="shared" si="57"/>
        <v>0</v>
      </c>
      <c r="AK44" s="88">
        <f t="shared" si="57"/>
        <v>0</v>
      </c>
      <c r="AL44" s="88">
        <f t="shared" si="57"/>
        <v>0</v>
      </c>
      <c r="AM44" s="88">
        <f t="shared" si="57"/>
        <v>0</v>
      </c>
      <c r="AN44" s="388">
        <f t="shared" si="57"/>
        <v>0</v>
      </c>
      <c r="AO44" s="130">
        <f t="shared" ref="AO44:AX44" si="58">SUM(AO42:AO43)</f>
        <v>9268854</v>
      </c>
      <c r="AP44" s="87">
        <f t="shared" si="58"/>
        <v>6763326</v>
      </c>
      <c r="AQ44" s="87">
        <f t="shared" si="58"/>
        <v>0</v>
      </c>
      <c r="AR44" s="87">
        <f t="shared" si="58"/>
        <v>0</v>
      </c>
      <c r="AS44" s="87">
        <f t="shared" si="58"/>
        <v>2286004</v>
      </c>
      <c r="AT44" s="87">
        <f t="shared" si="58"/>
        <v>135266</v>
      </c>
      <c r="AU44" s="87">
        <f t="shared" si="58"/>
        <v>84258</v>
      </c>
      <c r="AV44" s="88">
        <f t="shared" si="58"/>
        <v>16.5792</v>
      </c>
      <c r="AW44" s="88">
        <f t="shared" si="58"/>
        <v>10.36</v>
      </c>
      <c r="AX44" s="274">
        <f t="shared" si="58"/>
        <v>6.2192000000000007</v>
      </c>
    </row>
    <row r="45" spans="1:50" ht="12.95" customHeight="1" x14ac:dyDescent="0.25">
      <c r="A45" s="305">
        <v>9</v>
      </c>
      <c r="B45" s="551">
        <v>5702</v>
      </c>
      <c r="C45" s="551">
        <v>600099547</v>
      </c>
      <c r="D45" s="551">
        <v>855022</v>
      </c>
      <c r="E45" s="550" t="s">
        <v>504</v>
      </c>
      <c r="F45" s="561">
        <v>3233</v>
      </c>
      <c r="G45" s="550" t="s">
        <v>413</v>
      </c>
      <c r="H45" s="494" t="s">
        <v>284</v>
      </c>
      <c r="I45" s="495">
        <v>3639199</v>
      </c>
      <c r="J45" s="496">
        <v>2407042</v>
      </c>
      <c r="K45" s="496">
        <v>250000</v>
      </c>
      <c r="L45" s="496">
        <v>0</v>
      </c>
      <c r="M45" s="411">
        <v>898080</v>
      </c>
      <c r="N45" s="411">
        <v>48141</v>
      </c>
      <c r="O45" s="496">
        <v>35936</v>
      </c>
      <c r="P45" s="497">
        <v>5.6000000000000005</v>
      </c>
      <c r="Q45" s="412">
        <v>3.69</v>
      </c>
      <c r="R45" s="498">
        <v>1.91</v>
      </c>
      <c r="S45" s="499">
        <f t="shared" si="16"/>
        <v>0</v>
      </c>
      <c r="T45" s="486">
        <v>0</v>
      </c>
      <c r="U45" s="486">
        <v>0</v>
      </c>
      <c r="V45" s="486">
        <f>SUM(S45:U45)</f>
        <v>0</v>
      </c>
      <c r="W45" s="486">
        <v>0</v>
      </c>
      <c r="X45" s="486">
        <v>0</v>
      </c>
      <c r="Y45" s="486">
        <f>SUM(W45:X45)</f>
        <v>0</v>
      </c>
      <c r="Z45" s="486">
        <f>V45+Y45</f>
        <v>0</v>
      </c>
      <c r="AA45" s="319">
        <f>ROUND((V45+W45)*33.8%,0)</f>
        <v>0</v>
      </c>
      <c r="AB45" s="178">
        <f>ROUND(V45*2%,0)</f>
        <v>0</v>
      </c>
      <c r="AC45" s="486">
        <v>0</v>
      </c>
      <c r="AD45" s="486">
        <v>0</v>
      </c>
      <c r="AE45" s="486">
        <f t="shared" si="5"/>
        <v>0</v>
      </c>
      <c r="AF45" s="486">
        <f t="shared" si="14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>AG45+AI45+AJ45</f>
        <v>0</v>
      </c>
      <c r="AM45" s="501">
        <f>AH45+AK45</f>
        <v>0</v>
      </c>
      <c r="AN45" s="529">
        <f t="shared" si="15"/>
        <v>0</v>
      </c>
      <c r="AO45" s="530">
        <f>I45+AF45</f>
        <v>3639199</v>
      </c>
      <c r="AP45" s="486">
        <f>J45+V45</f>
        <v>2407042</v>
      </c>
      <c r="AQ45" s="486">
        <f>K45+Y45</f>
        <v>250000</v>
      </c>
      <c r="AR45" s="480">
        <f>L45</f>
        <v>0</v>
      </c>
      <c r="AS45" s="486">
        <f>M45+AA45</f>
        <v>898080</v>
      </c>
      <c r="AT45" s="486">
        <f>N45+AB45</f>
        <v>48141</v>
      </c>
      <c r="AU45" s="486">
        <f>O45+AE45</f>
        <v>35936</v>
      </c>
      <c r="AV45" s="501">
        <f>P45+AN45</f>
        <v>5.6000000000000005</v>
      </c>
      <c r="AW45" s="501">
        <f>Q45+AL45</f>
        <v>3.69</v>
      </c>
      <c r="AX45" s="502">
        <f>R45+AM45</f>
        <v>1.91</v>
      </c>
    </row>
    <row r="46" spans="1:50" ht="12.95" customHeight="1" x14ac:dyDescent="0.25">
      <c r="A46" s="306">
        <v>9</v>
      </c>
      <c r="B46" s="128">
        <v>5702</v>
      </c>
      <c r="C46" s="128">
        <v>600099547</v>
      </c>
      <c r="D46" s="128">
        <v>855022</v>
      </c>
      <c r="E46" s="562" t="s">
        <v>505</v>
      </c>
      <c r="F46" s="132"/>
      <c r="G46" s="562"/>
      <c r="H46" s="373"/>
      <c r="I46" s="129">
        <v>3639199</v>
      </c>
      <c r="J46" s="238">
        <v>2407042</v>
      </c>
      <c r="K46" s="238">
        <v>250000</v>
      </c>
      <c r="L46" s="238">
        <v>0</v>
      </c>
      <c r="M46" s="238">
        <v>898080</v>
      </c>
      <c r="N46" s="238">
        <v>48141</v>
      </c>
      <c r="O46" s="238">
        <v>35936</v>
      </c>
      <c r="P46" s="378">
        <v>5.6000000000000005</v>
      </c>
      <c r="Q46" s="378">
        <v>3.69</v>
      </c>
      <c r="R46" s="394">
        <v>1.91</v>
      </c>
      <c r="S46" s="238">
        <f t="shared" ref="S46:AN46" si="59">SUM(S45)</f>
        <v>0</v>
      </c>
      <c r="T46" s="168">
        <f t="shared" si="59"/>
        <v>0</v>
      </c>
      <c r="U46" s="168">
        <f t="shared" si="59"/>
        <v>0</v>
      </c>
      <c r="V46" s="168">
        <f t="shared" si="59"/>
        <v>0</v>
      </c>
      <c r="W46" s="168">
        <f t="shared" si="59"/>
        <v>0</v>
      </c>
      <c r="X46" s="168">
        <f t="shared" si="59"/>
        <v>0</v>
      </c>
      <c r="Y46" s="168">
        <f t="shared" si="59"/>
        <v>0</v>
      </c>
      <c r="Z46" s="168">
        <f t="shared" si="59"/>
        <v>0</v>
      </c>
      <c r="AA46" s="168">
        <f t="shared" si="59"/>
        <v>0</v>
      </c>
      <c r="AB46" s="168">
        <f t="shared" si="59"/>
        <v>0</v>
      </c>
      <c r="AC46" s="168">
        <f t="shared" si="59"/>
        <v>0</v>
      </c>
      <c r="AD46" s="168">
        <f t="shared" si="59"/>
        <v>0</v>
      </c>
      <c r="AE46" s="168">
        <f t="shared" si="59"/>
        <v>0</v>
      </c>
      <c r="AF46" s="168">
        <f t="shared" si="59"/>
        <v>0</v>
      </c>
      <c r="AG46" s="314">
        <f t="shared" si="59"/>
        <v>0</v>
      </c>
      <c r="AH46" s="314">
        <f t="shared" si="59"/>
        <v>0</v>
      </c>
      <c r="AI46" s="314">
        <f t="shared" si="59"/>
        <v>0</v>
      </c>
      <c r="AJ46" s="314">
        <f t="shared" si="59"/>
        <v>0</v>
      </c>
      <c r="AK46" s="314">
        <f t="shared" si="59"/>
        <v>0</v>
      </c>
      <c r="AL46" s="314">
        <f t="shared" si="59"/>
        <v>0</v>
      </c>
      <c r="AM46" s="314">
        <f t="shared" si="59"/>
        <v>0</v>
      </c>
      <c r="AN46" s="387">
        <f t="shared" si="59"/>
        <v>0</v>
      </c>
      <c r="AO46" s="129">
        <f t="shared" ref="AO46:AX46" si="60">SUM(AO45)</f>
        <v>3639199</v>
      </c>
      <c r="AP46" s="168">
        <f t="shared" si="60"/>
        <v>2407042</v>
      </c>
      <c r="AQ46" s="168">
        <f t="shared" si="60"/>
        <v>250000</v>
      </c>
      <c r="AR46" s="168">
        <f t="shared" si="60"/>
        <v>0</v>
      </c>
      <c r="AS46" s="168">
        <f t="shared" si="60"/>
        <v>898080</v>
      </c>
      <c r="AT46" s="168">
        <f t="shared" si="60"/>
        <v>48141</v>
      </c>
      <c r="AU46" s="168">
        <f t="shared" si="60"/>
        <v>35936</v>
      </c>
      <c r="AV46" s="314">
        <f t="shared" si="60"/>
        <v>5.6000000000000005</v>
      </c>
      <c r="AW46" s="314">
        <f t="shared" si="60"/>
        <v>3.69</v>
      </c>
      <c r="AX46" s="315">
        <f t="shared" si="60"/>
        <v>1.91</v>
      </c>
    </row>
    <row r="47" spans="1:50" ht="12.95" customHeight="1" x14ac:dyDescent="0.25">
      <c r="A47" s="305">
        <v>10</v>
      </c>
      <c r="B47" s="551">
        <v>5458</v>
      </c>
      <c r="C47" s="551">
        <v>600099288</v>
      </c>
      <c r="D47" s="551">
        <v>856126</v>
      </c>
      <c r="E47" s="552" t="s">
        <v>506</v>
      </c>
      <c r="F47" s="551">
        <v>3113</v>
      </c>
      <c r="G47" s="552" t="s">
        <v>335</v>
      </c>
      <c r="H47" s="494" t="s">
        <v>283</v>
      </c>
      <c r="I47" s="495">
        <v>35874439</v>
      </c>
      <c r="J47" s="496">
        <v>25242468</v>
      </c>
      <c r="K47" s="496">
        <v>266728</v>
      </c>
      <c r="L47" s="496">
        <v>86728</v>
      </c>
      <c r="M47" s="411">
        <v>8592794</v>
      </c>
      <c r="N47" s="411">
        <v>504849</v>
      </c>
      <c r="O47" s="496">
        <v>1267600</v>
      </c>
      <c r="P47" s="497">
        <v>46.329299999999996</v>
      </c>
      <c r="Q47" s="412">
        <v>35.963499999999996</v>
      </c>
      <c r="R47" s="498">
        <v>10.3658</v>
      </c>
      <c r="S47" s="499">
        <f t="shared" si="16"/>
        <v>0</v>
      </c>
      <c r="T47" s="486">
        <v>0</v>
      </c>
      <c r="U47" s="486">
        <v>0</v>
      </c>
      <c r="V47" s="486">
        <f>SUM(S47:U47)</f>
        <v>0</v>
      </c>
      <c r="W47" s="486">
        <v>0</v>
      </c>
      <c r="X47" s="486">
        <v>0</v>
      </c>
      <c r="Y47" s="486">
        <f>SUM(W47:X47)</f>
        <v>0</v>
      </c>
      <c r="Z47" s="486">
        <f>V47+Y47</f>
        <v>0</v>
      </c>
      <c r="AA47" s="319">
        <f>ROUND((V47+W47)*33.8%,0)</f>
        <v>0</v>
      </c>
      <c r="AB47" s="178">
        <f>ROUND(V47*2%,0)</f>
        <v>0</v>
      </c>
      <c r="AC47" s="486">
        <v>0</v>
      </c>
      <c r="AD47" s="486">
        <v>0</v>
      </c>
      <c r="AE47" s="486">
        <f t="shared" si="5"/>
        <v>0</v>
      </c>
      <c r="AF47" s="486">
        <f t="shared" si="14"/>
        <v>0</v>
      </c>
      <c r="AG47" s="501">
        <v>0</v>
      </c>
      <c r="AH47" s="501">
        <v>0</v>
      </c>
      <c r="AI47" s="501">
        <v>0</v>
      </c>
      <c r="AJ47" s="501">
        <v>0</v>
      </c>
      <c r="AK47" s="501">
        <v>0</v>
      </c>
      <c r="AL47" s="501">
        <f t="shared" ref="AL47:AL51" si="61">AG47+AI47+AJ47</f>
        <v>0</v>
      </c>
      <c r="AM47" s="501">
        <f t="shared" ref="AM47:AM51" si="62">AH47+AK47</f>
        <v>0</v>
      </c>
      <c r="AN47" s="529">
        <f t="shared" si="15"/>
        <v>0</v>
      </c>
      <c r="AO47" s="530">
        <f>I47+AF47</f>
        <v>35874439</v>
      </c>
      <c r="AP47" s="486">
        <f>J47+V47</f>
        <v>25242468</v>
      </c>
      <c r="AQ47" s="486">
        <f>K47+Y47</f>
        <v>266728</v>
      </c>
      <c r="AR47" s="480">
        <f>L47</f>
        <v>86728</v>
      </c>
      <c r="AS47" s="486">
        <f t="shared" ref="AS47:AT51" si="63">M47+AA47</f>
        <v>8592794</v>
      </c>
      <c r="AT47" s="486">
        <f t="shared" si="63"/>
        <v>504849</v>
      </c>
      <c r="AU47" s="486">
        <f>O47+AE47</f>
        <v>1267600</v>
      </c>
      <c r="AV47" s="501">
        <f>P47+AN47</f>
        <v>46.329299999999996</v>
      </c>
      <c r="AW47" s="501">
        <f t="shared" ref="AW47:AX51" si="64">Q47+AL47</f>
        <v>35.963499999999996</v>
      </c>
      <c r="AX47" s="502">
        <f t="shared" si="64"/>
        <v>10.3658</v>
      </c>
    </row>
    <row r="48" spans="1:50" ht="12.95" customHeight="1" x14ac:dyDescent="0.25">
      <c r="A48" s="305">
        <v>10</v>
      </c>
      <c r="B48" s="551">
        <v>5458</v>
      </c>
      <c r="C48" s="551">
        <v>600099288</v>
      </c>
      <c r="D48" s="551">
        <v>856126</v>
      </c>
      <c r="E48" s="552" t="s">
        <v>506</v>
      </c>
      <c r="F48" s="551">
        <v>3113</v>
      </c>
      <c r="G48" s="528" t="s">
        <v>318</v>
      </c>
      <c r="H48" s="494" t="s">
        <v>284</v>
      </c>
      <c r="I48" s="495">
        <v>1251032</v>
      </c>
      <c r="J48" s="496">
        <v>916445</v>
      </c>
      <c r="K48" s="496">
        <v>0</v>
      </c>
      <c r="L48" s="496">
        <v>0</v>
      </c>
      <c r="M48" s="411">
        <v>309758</v>
      </c>
      <c r="N48" s="411">
        <v>18329</v>
      </c>
      <c r="O48" s="496">
        <v>6500</v>
      </c>
      <c r="P48" s="497">
        <v>2.5200000000000005</v>
      </c>
      <c r="Q48" s="412">
        <v>2.5200000000000005</v>
      </c>
      <c r="R48" s="498">
        <v>0</v>
      </c>
      <c r="S48" s="499">
        <f t="shared" si="16"/>
        <v>0</v>
      </c>
      <c r="T48" s="486">
        <v>0</v>
      </c>
      <c r="U48" s="486">
        <v>0</v>
      </c>
      <c r="V48" s="486">
        <f>SUM(S48:U48)</f>
        <v>0</v>
      </c>
      <c r="W48" s="486">
        <v>0</v>
      </c>
      <c r="X48" s="486">
        <v>0</v>
      </c>
      <c r="Y48" s="486">
        <f>SUM(W48:X48)</f>
        <v>0</v>
      </c>
      <c r="Z48" s="486">
        <f>V48+Y48</f>
        <v>0</v>
      </c>
      <c r="AA48" s="319">
        <f>ROUND((V48+W48)*33.8%,0)</f>
        <v>0</v>
      </c>
      <c r="AB48" s="178">
        <f>ROUND(V48*2%,0)</f>
        <v>0</v>
      </c>
      <c r="AC48" s="486">
        <v>0</v>
      </c>
      <c r="AD48" s="486">
        <v>0</v>
      </c>
      <c r="AE48" s="486">
        <f t="shared" si="5"/>
        <v>0</v>
      </c>
      <c r="AF48" s="486">
        <f t="shared" si="14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si="61"/>
        <v>0</v>
      </c>
      <c r="AM48" s="501">
        <f t="shared" si="62"/>
        <v>0</v>
      </c>
      <c r="AN48" s="529">
        <f t="shared" si="15"/>
        <v>0</v>
      </c>
      <c r="AO48" s="530">
        <f>I48+AF48</f>
        <v>1251032</v>
      </c>
      <c r="AP48" s="486">
        <f>J48+V48</f>
        <v>916445</v>
      </c>
      <c r="AQ48" s="486">
        <f>K48+Y48</f>
        <v>0</v>
      </c>
      <c r="AR48" s="480">
        <f>L48</f>
        <v>0</v>
      </c>
      <c r="AS48" s="486">
        <f t="shared" si="63"/>
        <v>309758</v>
      </c>
      <c r="AT48" s="486">
        <f t="shared" si="63"/>
        <v>18329</v>
      </c>
      <c r="AU48" s="486">
        <f>O48+AE48</f>
        <v>6500</v>
      </c>
      <c r="AV48" s="501">
        <f>P48+AN48</f>
        <v>2.5200000000000005</v>
      </c>
      <c r="AW48" s="501">
        <f t="shared" si="64"/>
        <v>2.5200000000000005</v>
      </c>
      <c r="AX48" s="502">
        <f t="shared" si="64"/>
        <v>0</v>
      </c>
    </row>
    <row r="49" spans="1:50" ht="12.95" customHeight="1" x14ac:dyDescent="0.25">
      <c r="A49" s="305">
        <v>10</v>
      </c>
      <c r="B49" s="551">
        <v>5458</v>
      </c>
      <c r="C49" s="551">
        <v>600099288</v>
      </c>
      <c r="D49" s="551">
        <v>856126</v>
      </c>
      <c r="E49" s="550" t="s">
        <v>506</v>
      </c>
      <c r="F49" s="561">
        <v>3141</v>
      </c>
      <c r="G49" s="553" t="s">
        <v>321</v>
      </c>
      <c r="H49" s="494" t="s">
        <v>284</v>
      </c>
      <c r="I49" s="495">
        <v>3315787</v>
      </c>
      <c r="J49" s="496">
        <v>2416641</v>
      </c>
      <c r="K49" s="496">
        <v>0</v>
      </c>
      <c r="L49" s="496">
        <v>0</v>
      </c>
      <c r="M49" s="411">
        <v>816825</v>
      </c>
      <c r="N49" s="411">
        <v>48333</v>
      </c>
      <c r="O49" s="496">
        <v>33988</v>
      </c>
      <c r="P49" s="497">
        <v>8.2200000000000006</v>
      </c>
      <c r="Q49" s="412">
        <v>0</v>
      </c>
      <c r="R49" s="498">
        <v>8.2200000000000006</v>
      </c>
      <c r="S49" s="499">
        <f t="shared" si="16"/>
        <v>0</v>
      </c>
      <c r="T49" s="486">
        <v>0</v>
      </c>
      <c r="U49" s="486">
        <v>0</v>
      </c>
      <c r="V49" s="486">
        <f>SUM(S49:U49)</f>
        <v>0</v>
      </c>
      <c r="W49" s="486">
        <v>0</v>
      </c>
      <c r="X49" s="486">
        <v>0</v>
      </c>
      <c r="Y49" s="486">
        <f>SUM(W49:X49)</f>
        <v>0</v>
      </c>
      <c r="Z49" s="486">
        <f>V49+Y49</f>
        <v>0</v>
      </c>
      <c r="AA49" s="319">
        <f>ROUND((V49+W49)*33.8%,0)</f>
        <v>0</v>
      </c>
      <c r="AB49" s="178">
        <f>ROUND(V49*2%,0)</f>
        <v>0</v>
      </c>
      <c r="AC49" s="486">
        <v>0</v>
      </c>
      <c r="AD49" s="486">
        <v>0</v>
      </c>
      <c r="AE49" s="486">
        <f t="shared" si="5"/>
        <v>0</v>
      </c>
      <c r="AF49" s="486">
        <f t="shared" si="14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61"/>
        <v>0</v>
      </c>
      <c r="AM49" s="501">
        <f t="shared" si="62"/>
        <v>0</v>
      </c>
      <c r="AN49" s="529">
        <f t="shared" si="15"/>
        <v>0</v>
      </c>
      <c r="AO49" s="530">
        <f>I49+AF49</f>
        <v>3315787</v>
      </c>
      <c r="AP49" s="486">
        <f>J49+V49</f>
        <v>2416641</v>
      </c>
      <c r="AQ49" s="486">
        <f>K49+Y49</f>
        <v>0</v>
      </c>
      <c r="AR49" s="480">
        <f>L49</f>
        <v>0</v>
      </c>
      <c r="AS49" s="486">
        <f t="shared" si="63"/>
        <v>816825</v>
      </c>
      <c r="AT49" s="486">
        <f t="shared" si="63"/>
        <v>48333</v>
      </c>
      <c r="AU49" s="486">
        <f>O49+AE49</f>
        <v>33988</v>
      </c>
      <c r="AV49" s="501">
        <f>P49+AN49</f>
        <v>8.2200000000000006</v>
      </c>
      <c r="AW49" s="501">
        <f t="shared" si="64"/>
        <v>0</v>
      </c>
      <c r="AX49" s="502">
        <f t="shared" si="64"/>
        <v>8.2200000000000006</v>
      </c>
    </row>
    <row r="50" spans="1:50" ht="12.95" customHeight="1" x14ac:dyDescent="0.25">
      <c r="A50" s="305">
        <v>10</v>
      </c>
      <c r="B50" s="551">
        <v>5458</v>
      </c>
      <c r="C50" s="551">
        <v>600099288</v>
      </c>
      <c r="D50" s="551">
        <v>856126</v>
      </c>
      <c r="E50" s="552" t="s">
        <v>506</v>
      </c>
      <c r="F50" s="551">
        <v>3143</v>
      </c>
      <c r="G50" s="528" t="s">
        <v>634</v>
      </c>
      <c r="H50" s="494" t="s">
        <v>283</v>
      </c>
      <c r="I50" s="495">
        <v>2909217</v>
      </c>
      <c r="J50" s="496">
        <v>2142280</v>
      </c>
      <c r="K50" s="496">
        <v>0</v>
      </c>
      <c r="L50" s="496">
        <v>0</v>
      </c>
      <c r="M50" s="411">
        <v>724091</v>
      </c>
      <c r="N50" s="411">
        <v>42846</v>
      </c>
      <c r="O50" s="496">
        <v>0</v>
      </c>
      <c r="P50" s="497">
        <v>4.6425999999999998</v>
      </c>
      <c r="Q50" s="412">
        <v>4.6425999999999998</v>
      </c>
      <c r="R50" s="498">
        <v>0</v>
      </c>
      <c r="S50" s="499">
        <f t="shared" si="16"/>
        <v>0</v>
      </c>
      <c r="T50" s="486">
        <v>0</v>
      </c>
      <c r="U50" s="486">
        <v>0</v>
      </c>
      <c r="V50" s="486">
        <f>SUM(S50:U50)</f>
        <v>0</v>
      </c>
      <c r="W50" s="486">
        <v>0</v>
      </c>
      <c r="X50" s="486">
        <v>0</v>
      </c>
      <c r="Y50" s="486">
        <f>SUM(W50:X50)</f>
        <v>0</v>
      </c>
      <c r="Z50" s="486">
        <f>V50+Y50</f>
        <v>0</v>
      </c>
      <c r="AA50" s="319">
        <f>ROUND((V50+W50)*33.8%,0)</f>
        <v>0</v>
      </c>
      <c r="AB50" s="178">
        <f>ROUND(V50*2%,0)</f>
        <v>0</v>
      </c>
      <c r="AC50" s="486">
        <v>0</v>
      </c>
      <c r="AD50" s="486">
        <v>0</v>
      </c>
      <c r="AE50" s="486">
        <f t="shared" si="5"/>
        <v>0</v>
      </c>
      <c r="AF50" s="486">
        <f t="shared" si="14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61"/>
        <v>0</v>
      </c>
      <c r="AM50" s="501">
        <f t="shared" si="62"/>
        <v>0</v>
      </c>
      <c r="AN50" s="529">
        <f t="shared" si="15"/>
        <v>0</v>
      </c>
      <c r="AO50" s="530">
        <f>I50+AF50</f>
        <v>2909217</v>
      </c>
      <c r="AP50" s="486">
        <f>J50+V50</f>
        <v>2142280</v>
      </c>
      <c r="AQ50" s="486">
        <f>K50+Y50</f>
        <v>0</v>
      </c>
      <c r="AR50" s="480">
        <f>L50</f>
        <v>0</v>
      </c>
      <c r="AS50" s="486">
        <f t="shared" si="63"/>
        <v>724091</v>
      </c>
      <c r="AT50" s="486">
        <f t="shared" si="63"/>
        <v>42846</v>
      </c>
      <c r="AU50" s="486">
        <f>O50+AE50</f>
        <v>0</v>
      </c>
      <c r="AV50" s="501">
        <f>P50+AN50</f>
        <v>4.6425999999999998</v>
      </c>
      <c r="AW50" s="501">
        <f t="shared" si="64"/>
        <v>4.6425999999999998</v>
      </c>
      <c r="AX50" s="502">
        <f t="shared" si="64"/>
        <v>0</v>
      </c>
    </row>
    <row r="51" spans="1:50" ht="12.95" customHeight="1" x14ac:dyDescent="0.25">
      <c r="A51" s="305">
        <v>10</v>
      </c>
      <c r="B51" s="551">
        <v>5458</v>
      </c>
      <c r="C51" s="551">
        <v>600099288</v>
      </c>
      <c r="D51" s="551">
        <v>856126</v>
      </c>
      <c r="E51" s="552" t="s">
        <v>506</v>
      </c>
      <c r="F51" s="551">
        <v>3143</v>
      </c>
      <c r="G51" s="528" t="s">
        <v>635</v>
      </c>
      <c r="H51" s="494" t="s">
        <v>284</v>
      </c>
      <c r="I51" s="495">
        <v>98309</v>
      </c>
      <c r="J51" s="496">
        <v>69300</v>
      </c>
      <c r="K51" s="496">
        <v>0</v>
      </c>
      <c r="L51" s="496">
        <v>0</v>
      </c>
      <c r="M51" s="411">
        <v>23423</v>
      </c>
      <c r="N51" s="411">
        <v>1386</v>
      </c>
      <c r="O51" s="496">
        <v>4200</v>
      </c>
      <c r="P51" s="497">
        <v>0.28999999999999998</v>
      </c>
      <c r="Q51" s="412">
        <v>0</v>
      </c>
      <c r="R51" s="498">
        <v>0.28999999999999998</v>
      </c>
      <c r="S51" s="499">
        <f t="shared" si="16"/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486">
        <v>0</v>
      </c>
      <c r="Y51" s="486">
        <f>SUM(W51:X51)</f>
        <v>0</v>
      </c>
      <c r="Z51" s="486">
        <f>V51+Y51</f>
        <v>0</v>
      </c>
      <c r="AA51" s="319">
        <f>ROUND((V51+W51)*33.8%,0)</f>
        <v>0</v>
      </c>
      <c r="AB51" s="178">
        <f>ROUND(V51*2%,0)</f>
        <v>0</v>
      </c>
      <c r="AC51" s="486">
        <v>0</v>
      </c>
      <c r="AD51" s="486">
        <v>0</v>
      </c>
      <c r="AE51" s="486">
        <f t="shared" si="5"/>
        <v>0</v>
      </c>
      <c r="AF51" s="486">
        <f t="shared" si="14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61"/>
        <v>0</v>
      </c>
      <c r="AM51" s="501">
        <f t="shared" si="62"/>
        <v>0</v>
      </c>
      <c r="AN51" s="529">
        <f t="shared" si="15"/>
        <v>0</v>
      </c>
      <c r="AO51" s="530">
        <f>I51+AF51</f>
        <v>98309</v>
      </c>
      <c r="AP51" s="486">
        <f>J51+V51</f>
        <v>69300</v>
      </c>
      <c r="AQ51" s="486">
        <f>K51+Y51</f>
        <v>0</v>
      </c>
      <c r="AR51" s="480">
        <f>L51</f>
        <v>0</v>
      </c>
      <c r="AS51" s="486">
        <f t="shared" si="63"/>
        <v>23423</v>
      </c>
      <c r="AT51" s="486">
        <f t="shared" si="63"/>
        <v>1386</v>
      </c>
      <c r="AU51" s="486">
        <f>O51+AE51</f>
        <v>4200</v>
      </c>
      <c r="AV51" s="501">
        <f>P51+AN51</f>
        <v>0.28999999999999998</v>
      </c>
      <c r="AW51" s="501">
        <f t="shared" si="64"/>
        <v>0</v>
      </c>
      <c r="AX51" s="502">
        <f t="shared" si="64"/>
        <v>0.28999999999999998</v>
      </c>
    </row>
    <row r="52" spans="1:50" ht="12.95" customHeight="1" x14ac:dyDescent="0.25">
      <c r="A52" s="306">
        <v>10</v>
      </c>
      <c r="B52" s="128">
        <v>5458</v>
      </c>
      <c r="C52" s="128">
        <v>600099288</v>
      </c>
      <c r="D52" s="128">
        <v>856126</v>
      </c>
      <c r="E52" s="554" t="s">
        <v>507</v>
      </c>
      <c r="F52" s="128"/>
      <c r="G52" s="554"/>
      <c r="H52" s="371"/>
      <c r="I52" s="133">
        <v>43448784</v>
      </c>
      <c r="J52" s="239">
        <v>30787134</v>
      </c>
      <c r="K52" s="239">
        <v>266728</v>
      </c>
      <c r="L52" s="239">
        <v>86728</v>
      </c>
      <c r="M52" s="239">
        <v>10466891</v>
      </c>
      <c r="N52" s="239">
        <v>615743</v>
      </c>
      <c r="O52" s="239">
        <v>1312288</v>
      </c>
      <c r="P52" s="380">
        <v>62.001899999999999</v>
      </c>
      <c r="Q52" s="380">
        <v>43.126100000000001</v>
      </c>
      <c r="R52" s="396">
        <v>18.875799999999998</v>
      </c>
      <c r="S52" s="239">
        <f t="shared" ref="S52:AN52" si="65">SUM(S47:S51)</f>
        <v>0</v>
      </c>
      <c r="T52" s="169">
        <f t="shared" si="65"/>
        <v>0</v>
      </c>
      <c r="U52" s="169">
        <f t="shared" si="65"/>
        <v>0</v>
      </c>
      <c r="V52" s="169">
        <f t="shared" si="65"/>
        <v>0</v>
      </c>
      <c r="W52" s="169">
        <f t="shared" si="65"/>
        <v>0</v>
      </c>
      <c r="X52" s="169">
        <f t="shared" si="65"/>
        <v>0</v>
      </c>
      <c r="Y52" s="169">
        <f t="shared" si="65"/>
        <v>0</v>
      </c>
      <c r="Z52" s="169">
        <f t="shared" si="65"/>
        <v>0</v>
      </c>
      <c r="AA52" s="169">
        <f t="shared" si="65"/>
        <v>0</v>
      </c>
      <c r="AB52" s="169">
        <f t="shared" si="65"/>
        <v>0</v>
      </c>
      <c r="AC52" s="169">
        <f t="shared" si="65"/>
        <v>0</v>
      </c>
      <c r="AD52" s="169">
        <f t="shared" si="65"/>
        <v>0</v>
      </c>
      <c r="AE52" s="169">
        <f t="shared" si="65"/>
        <v>0</v>
      </c>
      <c r="AF52" s="169">
        <f t="shared" si="65"/>
        <v>0</v>
      </c>
      <c r="AG52" s="316">
        <f t="shared" si="65"/>
        <v>0</v>
      </c>
      <c r="AH52" s="316">
        <f t="shared" si="65"/>
        <v>0</v>
      </c>
      <c r="AI52" s="316">
        <f t="shared" si="65"/>
        <v>0</v>
      </c>
      <c r="AJ52" s="316">
        <f t="shared" si="65"/>
        <v>0</v>
      </c>
      <c r="AK52" s="316">
        <f t="shared" si="65"/>
        <v>0</v>
      </c>
      <c r="AL52" s="316">
        <f t="shared" si="65"/>
        <v>0</v>
      </c>
      <c r="AM52" s="316">
        <f t="shared" si="65"/>
        <v>0</v>
      </c>
      <c r="AN52" s="389">
        <f t="shared" si="65"/>
        <v>0</v>
      </c>
      <c r="AO52" s="133">
        <f t="shared" ref="AO52:AX52" si="66">SUM(AO47:AO51)</f>
        <v>43448784</v>
      </c>
      <c r="AP52" s="169">
        <f t="shared" si="66"/>
        <v>30787134</v>
      </c>
      <c r="AQ52" s="169">
        <f t="shared" si="66"/>
        <v>266728</v>
      </c>
      <c r="AR52" s="169">
        <f t="shared" si="66"/>
        <v>86728</v>
      </c>
      <c r="AS52" s="169">
        <f t="shared" si="66"/>
        <v>10466891</v>
      </c>
      <c r="AT52" s="169">
        <f t="shared" si="66"/>
        <v>615743</v>
      </c>
      <c r="AU52" s="169">
        <f t="shared" si="66"/>
        <v>1312288</v>
      </c>
      <c r="AV52" s="316">
        <f t="shared" si="66"/>
        <v>62.001899999999999</v>
      </c>
      <c r="AW52" s="316">
        <f t="shared" si="66"/>
        <v>43.126100000000001</v>
      </c>
      <c r="AX52" s="317">
        <f t="shared" si="66"/>
        <v>18.875799999999998</v>
      </c>
    </row>
    <row r="53" spans="1:50" ht="12.95" customHeight="1" x14ac:dyDescent="0.25">
      <c r="A53" s="305">
        <v>11</v>
      </c>
      <c r="B53" s="551">
        <v>5456</v>
      </c>
      <c r="C53" s="551">
        <v>600099369</v>
      </c>
      <c r="D53" s="551">
        <v>854794</v>
      </c>
      <c r="E53" s="552" t="s">
        <v>508</v>
      </c>
      <c r="F53" s="551">
        <v>3113</v>
      </c>
      <c r="G53" s="552" t="s">
        <v>335</v>
      </c>
      <c r="H53" s="494" t="s">
        <v>283</v>
      </c>
      <c r="I53" s="495">
        <v>41702055</v>
      </c>
      <c r="J53" s="496">
        <v>29171472</v>
      </c>
      <c r="K53" s="496">
        <v>586794</v>
      </c>
      <c r="L53" s="496">
        <v>275546</v>
      </c>
      <c r="M53" s="411">
        <v>9965159</v>
      </c>
      <c r="N53" s="411">
        <v>583430</v>
      </c>
      <c r="O53" s="496">
        <v>1395200</v>
      </c>
      <c r="P53" s="497">
        <v>56.5379</v>
      </c>
      <c r="Q53" s="412">
        <v>44.359099999999998</v>
      </c>
      <c r="R53" s="498">
        <v>12.178799999999999</v>
      </c>
      <c r="S53" s="499">
        <f t="shared" si="16"/>
        <v>0</v>
      </c>
      <c r="T53" s="486">
        <v>0</v>
      </c>
      <c r="U53" s="486">
        <v>-110457</v>
      </c>
      <c r="V53" s="486">
        <f>SUM(S53:U53)</f>
        <v>-110457</v>
      </c>
      <c r="W53" s="486">
        <v>0</v>
      </c>
      <c r="X53" s="486">
        <v>0</v>
      </c>
      <c r="Y53" s="486">
        <f>SUM(W53:X53)</f>
        <v>0</v>
      </c>
      <c r="Z53" s="486">
        <f>V53+Y53</f>
        <v>-110457</v>
      </c>
      <c r="AA53" s="319">
        <f>ROUND((V53+W53)*33.8%,0)</f>
        <v>-37334</v>
      </c>
      <c r="AB53" s="178">
        <f>ROUND(V53*2%,0)</f>
        <v>-2209</v>
      </c>
      <c r="AC53" s="486">
        <v>0</v>
      </c>
      <c r="AD53" s="486">
        <v>150000</v>
      </c>
      <c r="AE53" s="486">
        <f t="shared" si="5"/>
        <v>150000</v>
      </c>
      <c r="AF53" s="486">
        <f t="shared" si="14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ref="AL53:AL57" si="67">AG53+AI53+AJ53</f>
        <v>0</v>
      </c>
      <c r="AM53" s="501">
        <f t="shared" ref="AM53:AM57" si="68">AH53+AK53</f>
        <v>0</v>
      </c>
      <c r="AN53" s="529">
        <f t="shared" si="15"/>
        <v>0</v>
      </c>
      <c r="AO53" s="530">
        <f>I53+AF53</f>
        <v>41702055</v>
      </c>
      <c r="AP53" s="486">
        <f>J53+V53</f>
        <v>29061015</v>
      </c>
      <c r="AQ53" s="486">
        <f>K53+Y53</f>
        <v>586794</v>
      </c>
      <c r="AR53" s="480">
        <f>L53</f>
        <v>275546</v>
      </c>
      <c r="AS53" s="486">
        <f t="shared" ref="AS53:AT57" si="69">M53+AA53</f>
        <v>9927825</v>
      </c>
      <c r="AT53" s="486">
        <f t="shared" si="69"/>
        <v>581221</v>
      </c>
      <c r="AU53" s="486">
        <f>O53+AE53</f>
        <v>1545200</v>
      </c>
      <c r="AV53" s="501">
        <f>P53+AN53</f>
        <v>56.5379</v>
      </c>
      <c r="AW53" s="501">
        <f t="shared" ref="AW53:AX57" si="70">Q53+AL53</f>
        <v>44.359099999999998</v>
      </c>
      <c r="AX53" s="502">
        <f t="shared" si="70"/>
        <v>12.178799999999999</v>
      </c>
    </row>
    <row r="54" spans="1:50" ht="12.95" customHeight="1" x14ac:dyDescent="0.25">
      <c r="A54" s="305">
        <v>11</v>
      </c>
      <c r="B54" s="551">
        <v>5456</v>
      </c>
      <c r="C54" s="551">
        <v>600099369</v>
      </c>
      <c r="D54" s="551">
        <v>854794</v>
      </c>
      <c r="E54" s="556" t="s">
        <v>508</v>
      </c>
      <c r="F54" s="551">
        <v>3113</v>
      </c>
      <c r="G54" s="528" t="s">
        <v>318</v>
      </c>
      <c r="H54" s="494" t="s">
        <v>284</v>
      </c>
      <c r="I54" s="495">
        <v>4055425</v>
      </c>
      <c r="J54" s="496">
        <v>2986321</v>
      </c>
      <c r="K54" s="496">
        <v>0</v>
      </c>
      <c r="L54" s="496">
        <v>0</v>
      </c>
      <c r="M54" s="411">
        <v>1009377</v>
      </c>
      <c r="N54" s="411">
        <v>59727</v>
      </c>
      <c r="O54" s="496">
        <v>0</v>
      </c>
      <c r="P54" s="497">
        <v>8.1199999999999992</v>
      </c>
      <c r="Q54" s="412">
        <v>8.1199999999999992</v>
      </c>
      <c r="R54" s="498">
        <v>0</v>
      </c>
      <c r="S54" s="499">
        <f t="shared" si="16"/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486">
        <v>0</v>
      </c>
      <c r="Y54" s="486">
        <f>SUM(W54:X54)</f>
        <v>0</v>
      </c>
      <c r="Z54" s="486">
        <f>V54+Y54</f>
        <v>0</v>
      </c>
      <c r="AA54" s="319">
        <f>ROUND((V54+W54)*33.8%,0)</f>
        <v>0</v>
      </c>
      <c r="AB54" s="178">
        <f>ROUND(V54*2%,0)</f>
        <v>0</v>
      </c>
      <c r="AC54" s="486">
        <v>0</v>
      </c>
      <c r="AD54" s="486">
        <v>0</v>
      </c>
      <c r="AE54" s="486">
        <f t="shared" si="5"/>
        <v>0</v>
      </c>
      <c r="AF54" s="486">
        <f t="shared" si="14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67"/>
        <v>0</v>
      </c>
      <c r="AM54" s="501">
        <f t="shared" si="68"/>
        <v>0</v>
      </c>
      <c r="AN54" s="529">
        <f t="shared" si="15"/>
        <v>0</v>
      </c>
      <c r="AO54" s="530">
        <f>I54+AF54</f>
        <v>4055425</v>
      </c>
      <c r="AP54" s="486">
        <f>J54+V54</f>
        <v>2986321</v>
      </c>
      <c r="AQ54" s="486">
        <f>K54+Y54</f>
        <v>0</v>
      </c>
      <c r="AR54" s="480">
        <f>L54</f>
        <v>0</v>
      </c>
      <c r="AS54" s="486">
        <f t="shared" si="69"/>
        <v>1009377</v>
      </c>
      <c r="AT54" s="486">
        <f t="shared" si="69"/>
        <v>59727</v>
      </c>
      <c r="AU54" s="486">
        <f>O54+AE54</f>
        <v>0</v>
      </c>
      <c r="AV54" s="501">
        <f>P54+AN54</f>
        <v>8.1199999999999992</v>
      </c>
      <c r="AW54" s="501">
        <f t="shared" si="70"/>
        <v>8.1199999999999992</v>
      </c>
      <c r="AX54" s="502">
        <f t="shared" si="70"/>
        <v>0</v>
      </c>
    </row>
    <row r="55" spans="1:50" ht="12.95" customHeight="1" x14ac:dyDescent="0.25">
      <c r="A55" s="305">
        <v>11</v>
      </c>
      <c r="B55" s="551">
        <v>5456</v>
      </c>
      <c r="C55" s="551">
        <v>600099369</v>
      </c>
      <c r="D55" s="551">
        <v>854794</v>
      </c>
      <c r="E55" s="550" t="s">
        <v>508</v>
      </c>
      <c r="F55" s="561">
        <v>3141</v>
      </c>
      <c r="G55" s="553" t="s">
        <v>321</v>
      </c>
      <c r="H55" s="494" t="s">
        <v>284</v>
      </c>
      <c r="I55" s="495">
        <v>4741422</v>
      </c>
      <c r="J55" s="496">
        <v>3436206</v>
      </c>
      <c r="K55" s="496">
        <v>20000</v>
      </c>
      <c r="L55" s="496">
        <v>0</v>
      </c>
      <c r="M55" s="411">
        <v>1168198</v>
      </c>
      <c r="N55" s="411">
        <v>68724</v>
      </c>
      <c r="O55" s="496">
        <v>48294</v>
      </c>
      <c r="P55" s="497">
        <v>11.74</v>
      </c>
      <c r="Q55" s="412">
        <v>0</v>
      </c>
      <c r="R55" s="498">
        <v>11.74</v>
      </c>
      <c r="S55" s="499">
        <f t="shared" si="16"/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319">
        <f>ROUND((V55+W55)*33.8%,0)</f>
        <v>0</v>
      </c>
      <c r="AB55" s="178">
        <f>ROUND(V55*2%,0)</f>
        <v>0</v>
      </c>
      <c r="AC55" s="486">
        <v>0</v>
      </c>
      <c r="AD55" s="486">
        <v>0</v>
      </c>
      <c r="AE55" s="486">
        <f t="shared" si="5"/>
        <v>0</v>
      </c>
      <c r="AF55" s="486">
        <f t="shared" si="14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67"/>
        <v>0</v>
      </c>
      <c r="AM55" s="501">
        <f t="shared" si="68"/>
        <v>0</v>
      </c>
      <c r="AN55" s="529">
        <f t="shared" si="15"/>
        <v>0</v>
      </c>
      <c r="AO55" s="530">
        <f>I55+AF55</f>
        <v>4741422</v>
      </c>
      <c r="AP55" s="486">
        <f>J55+V55</f>
        <v>3436206</v>
      </c>
      <c r="AQ55" s="486">
        <f>K55+Y55</f>
        <v>20000</v>
      </c>
      <c r="AR55" s="480">
        <f>L55</f>
        <v>0</v>
      </c>
      <c r="AS55" s="486">
        <f t="shared" si="69"/>
        <v>1168198</v>
      </c>
      <c r="AT55" s="486">
        <f t="shared" si="69"/>
        <v>68724</v>
      </c>
      <c r="AU55" s="486">
        <f>O55+AE55</f>
        <v>48294</v>
      </c>
      <c r="AV55" s="501">
        <f>P55+AN55</f>
        <v>11.74</v>
      </c>
      <c r="AW55" s="501">
        <f t="shared" si="70"/>
        <v>0</v>
      </c>
      <c r="AX55" s="502">
        <f t="shared" si="70"/>
        <v>11.74</v>
      </c>
    </row>
    <row r="56" spans="1:50" ht="12.95" customHeight="1" x14ac:dyDescent="0.25">
      <c r="A56" s="305">
        <v>11</v>
      </c>
      <c r="B56" s="551">
        <v>5456</v>
      </c>
      <c r="C56" s="551">
        <v>600099369</v>
      </c>
      <c r="D56" s="551">
        <v>854794</v>
      </c>
      <c r="E56" s="556" t="s">
        <v>508</v>
      </c>
      <c r="F56" s="551">
        <v>3143</v>
      </c>
      <c r="G56" s="528" t="s">
        <v>634</v>
      </c>
      <c r="H56" s="494" t="s">
        <v>283</v>
      </c>
      <c r="I56" s="495">
        <v>2812281</v>
      </c>
      <c r="J56" s="496">
        <v>2061046</v>
      </c>
      <c r="K56" s="496">
        <v>10000</v>
      </c>
      <c r="L56" s="496">
        <v>0</v>
      </c>
      <c r="M56" s="411">
        <v>700014</v>
      </c>
      <c r="N56" s="411">
        <v>41221</v>
      </c>
      <c r="O56" s="496">
        <v>0</v>
      </c>
      <c r="P56" s="497">
        <v>4.3250000000000002</v>
      </c>
      <c r="Q56" s="412">
        <v>4.3250000000000002</v>
      </c>
      <c r="R56" s="498">
        <v>0</v>
      </c>
      <c r="S56" s="499">
        <f t="shared" si="16"/>
        <v>0</v>
      </c>
      <c r="T56" s="486">
        <v>0</v>
      </c>
      <c r="U56" s="486">
        <v>0</v>
      </c>
      <c r="V56" s="486">
        <f>SUM(S56:U56)</f>
        <v>0</v>
      </c>
      <c r="W56" s="486">
        <v>0</v>
      </c>
      <c r="X56" s="486">
        <v>0</v>
      </c>
      <c r="Y56" s="486">
        <f>SUM(W56:X56)</f>
        <v>0</v>
      </c>
      <c r="Z56" s="486">
        <f>V56+Y56</f>
        <v>0</v>
      </c>
      <c r="AA56" s="319">
        <f>ROUND((V56+W56)*33.8%,0)</f>
        <v>0</v>
      </c>
      <c r="AB56" s="178">
        <f>ROUND(V56*2%,0)</f>
        <v>0</v>
      </c>
      <c r="AC56" s="486">
        <v>0</v>
      </c>
      <c r="AD56" s="486">
        <v>0</v>
      </c>
      <c r="AE56" s="486">
        <f t="shared" si="5"/>
        <v>0</v>
      </c>
      <c r="AF56" s="486">
        <f t="shared" si="14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si="67"/>
        <v>0</v>
      </c>
      <c r="AM56" s="501">
        <f t="shared" si="68"/>
        <v>0</v>
      </c>
      <c r="AN56" s="529">
        <f t="shared" si="15"/>
        <v>0</v>
      </c>
      <c r="AO56" s="530">
        <f>I56+AF56</f>
        <v>2812281</v>
      </c>
      <c r="AP56" s="486">
        <f>J56+V56</f>
        <v>2061046</v>
      </c>
      <c r="AQ56" s="486">
        <f>K56+Y56</f>
        <v>10000</v>
      </c>
      <c r="AR56" s="480">
        <f>L56</f>
        <v>0</v>
      </c>
      <c r="AS56" s="486">
        <f t="shared" si="69"/>
        <v>700014</v>
      </c>
      <c r="AT56" s="486">
        <f t="shared" si="69"/>
        <v>41221</v>
      </c>
      <c r="AU56" s="486">
        <f>O56+AE56</f>
        <v>0</v>
      </c>
      <c r="AV56" s="501">
        <f>P56+AN56</f>
        <v>4.3250000000000002</v>
      </c>
      <c r="AW56" s="501">
        <f t="shared" si="70"/>
        <v>4.3250000000000002</v>
      </c>
      <c r="AX56" s="502">
        <f t="shared" si="70"/>
        <v>0</v>
      </c>
    </row>
    <row r="57" spans="1:50" ht="12.95" customHeight="1" x14ac:dyDescent="0.25">
      <c r="A57" s="305">
        <v>11</v>
      </c>
      <c r="B57" s="551">
        <v>5456</v>
      </c>
      <c r="C57" s="551">
        <v>600099369</v>
      </c>
      <c r="D57" s="551">
        <v>854794</v>
      </c>
      <c r="E57" s="556" t="s">
        <v>508</v>
      </c>
      <c r="F57" s="551">
        <v>3143</v>
      </c>
      <c r="G57" s="528" t="s">
        <v>635</v>
      </c>
      <c r="H57" s="494" t="s">
        <v>284</v>
      </c>
      <c r="I57" s="495">
        <v>104629</v>
      </c>
      <c r="J57" s="496">
        <v>73755</v>
      </c>
      <c r="K57" s="496">
        <v>0</v>
      </c>
      <c r="L57" s="496">
        <v>0</v>
      </c>
      <c r="M57" s="411">
        <v>24929</v>
      </c>
      <c r="N57" s="411">
        <v>1475</v>
      </c>
      <c r="O57" s="496">
        <v>4470</v>
      </c>
      <c r="P57" s="497">
        <v>0.31</v>
      </c>
      <c r="Q57" s="412">
        <v>0</v>
      </c>
      <c r="R57" s="498">
        <v>0.31</v>
      </c>
      <c r="S57" s="499">
        <f t="shared" si="16"/>
        <v>0</v>
      </c>
      <c r="T57" s="486">
        <v>0</v>
      </c>
      <c r="U57" s="486">
        <v>0</v>
      </c>
      <c r="V57" s="486">
        <f>SUM(S57:U57)</f>
        <v>0</v>
      </c>
      <c r="W57" s="486">
        <v>0</v>
      </c>
      <c r="X57" s="486">
        <v>0</v>
      </c>
      <c r="Y57" s="486">
        <f>SUM(W57:X57)</f>
        <v>0</v>
      </c>
      <c r="Z57" s="486">
        <f>V57+Y57</f>
        <v>0</v>
      </c>
      <c r="AA57" s="319">
        <f>ROUND((V57+W57)*33.8%,0)</f>
        <v>0</v>
      </c>
      <c r="AB57" s="178">
        <f>ROUND(V57*2%,0)</f>
        <v>0</v>
      </c>
      <c r="AC57" s="486">
        <v>0</v>
      </c>
      <c r="AD57" s="486">
        <v>0</v>
      </c>
      <c r="AE57" s="486">
        <f t="shared" si="5"/>
        <v>0</v>
      </c>
      <c r="AF57" s="486">
        <f t="shared" si="14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si="67"/>
        <v>0</v>
      </c>
      <c r="AM57" s="501">
        <f t="shared" si="68"/>
        <v>0</v>
      </c>
      <c r="AN57" s="529">
        <f t="shared" si="15"/>
        <v>0</v>
      </c>
      <c r="AO57" s="530">
        <f>I57+AF57</f>
        <v>104629</v>
      </c>
      <c r="AP57" s="486">
        <f>J57+V57</f>
        <v>73755</v>
      </c>
      <c r="AQ57" s="486">
        <f>K57+Y57</f>
        <v>0</v>
      </c>
      <c r="AR57" s="480">
        <f>L57</f>
        <v>0</v>
      </c>
      <c r="AS57" s="486">
        <f t="shared" si="69"/>
        <v>24929</v>
      </c>
      <c r="AT57" s="486">
        <f t="shared" si="69"/>
        <v>1475</v>
      </c>
      <c r="AU57" s="486">
        <f>O57+AE57</f>
        <v>4470</v>
      </c>
      <c r="AV57" s="501">
        <f>P57+AN57</f>
        <v>0.31</v>
      </c>
      <c r="AW57" s="501">
        <f t="shared" si="70"/>
        <v>0</v>
      </c>
      <c r="AX57" s="502">
        <f t="shared" si="70"/>
        <v>0.31</v>
      </c>
    </row>
    <row r="58" spans="1:50" ht="12.95" customHeight="1" x14ac:dyDescent="0.25">
      <c r="A58" s="306">
        <v>11</v>
      </c>
      <c r="B58" s="135">
        <v>5456</v>
      </c>
      <c r="C58" s="135">
        <v>600099369</v>
      </c>
      <c r="D58" s="135">
        <v>854794</v>
      </c>
      <c r="E58" s="554" t="s">
        <v>509</v>
      </c>
      <c r="F58" s="135"/>
      <c r="G58" s="564"/>
      <c r="H58" s="375"/>
      <c r="I58" s="130">
        <v>53415812</v>
      </c>
      <c r="J58" s="141">
        <v>37728800</v>
      </c>
      <c r="K58" s="141">
        <v>616794</v>
      </c>
      <c r="L58" s="141">
        <v>275546</v>
      </c>
      <c r="M58" s="141">
        <v>12867677</v>
      </c>
      <c r="N58" s="141">
        <v>754577</v>
      </c>
      <c r="O58" s="141">
        <v>1447964</v>
      </c>
      <c r="P58" s="379">
        <v>81.032899999999998</v>
      </c>
      <c r="Q58" s="379">
        <v>56.804099999999998</v>
      </c>
      <c r="R58" s="395">
        <v>24.228799999999996</v>
      </c>
      <c r="S58" s="141">
        <f t="shared" ref="S58:AN58" si="71">SUM(S53:S57)</f>
        <v>0</v>
      </c>
      <c r="T58" s="87">
        <f t="shared" si="71"/>
        <v>0</v>
      </c>
      <c r="U58" s="87">
        <f t="shared" si="71"/>
        <v>-110457</v>
      </c>
      <c r="V58" s="87">
        <f t="shared" si="71"/>
        <v>-110457</v>
      </c>
      <c r="W58" s="87">
        <f t="shared" si="71"/>
        <v>0</v>
      </c>
      <c r="X58" s="87">
        <f t="shared" si="71"/>
        <v>0</v>
      </c>
      <c r="Y58" s="87">
        <f t="shared" si="71"/>
        <v>0</v>
      </c>
      <c r="Z58" s="87">
        <f t="shared" si="71"/>
        <v>-110457</v>
      </c>
      <c r="AA58" s="87">
        <f t="shared" si="71"/>
        <v>-37334</v>
      </c>
      <c r="AB58" s="87">
        <f t="shared" si="71"/>
        <v>-2209</v>
      </c>
      <c r="AC58" s="87">
        <f t="shared" si="71"/>
        <v>0</v>
      </c>
      <c r="AD58" s="87">
        <f t="shared" si="71"/>
        <v>150000</v>
      </c>
      <c r="AE58" s="87">
        <f t="shared" si="71"/>
        <v>150000</v>
      </c>
      <c r="AF58" s="87">
        <f t="shared" si="71"/>
        <v>0</v>
      </c>
      <c r="AG58" s="88">
        <f t="shared" si="71"/>
        <v>0</v>
      </c>
      <c r="AH58" s="88">
        <f t="shared" si="71"/>
        <v>0</v>
      </c>
      <c r="AI58" s="88">
        <f t="shared" si="71"/>
        <v>0</v>
      </c>
      <c r="AJ58" s="88">
        <f t="shared" si="71"/>
        <v>0</v>
      </c>
      <c r="AK58" s="88">
        <f t="shared" si="71"/>
        <v>0</v>
      </c>
      <c r="AL58" s="88">
        <f t="shared" si="71"/>
        <v>0</v>
      </c>
      <c r="AM58" s="88">
        <f t="shared" si="71"/>
        <v>0</v>
      </c>
      <c r="AN58" s="388">
        <f t="shared" si="71"/>
        <v>0</v>
      </c>
      <c r="AO58" s="130">
        <f t="shared" ref="AO58:AX58" si="72">SUM(AO53:AO57)</f>
        <v>53415812</v>
      </c>
      <c r="AP58" s="87">
        <f t="shared" si="72"/>
        <v>37618343</v>
      </c>
      <c r="AQ58" s="87">
        <f t="shared" si="72"/>
        <v>616794</v>
      </c>
      <c r="AR58" s="87">
        <f t="shared" si="72"/>
        <v>275546</v>
      </c>
      <c r="AS58" s="87">
        <f t="shared" si="72"/>
        <v>12830343</v>
      </c>
      <c r="AT58" s="87">
        <f t="shared" si="72"/>
        <v>752368</v>
      </c>
      <c r="AU58" s="87">
        <f t="shared" si="72"/>
        <v>1597964</v>
      </c>
      <c r="AV58" s="88">
        <f t="shared" si="72"/>
        <v>81.032899999999998</v>
      </c>
      <c r="AW58" s="88">
        <f t="shared" si="72"/>
        <v>56.804099999999998</v>
      </c>
      <c r="AX58" s="274">
        <f t="shared" si="72"/>
        <v>24.228799999999996</v>
      </c>
    </row>
    <row r="59" spans="1:50" ht="12.95" customHeight="1" x14ac:dyDescent="0.25">
      <c r="A59" s="305">
        <v>12</v>
      </c>
      <c r="B59" s="551">
        <v>5481</v>
      </c>
      <c r="C59" s="551">
        <v>600099075</v>
      </c>
      <c r="D59" s="551">
        <v>72742739</v>
      </c>
      <c r="E59" s="552" t="s">
        <v>510</v>
      </c>
      <c r="F59" s="551">
        <v>3117</v>
      </c>
      <c r="G59" s="552" t="s">
        <v>335</v>
      </c>
      <c r="H59" s="494" t="s">
        <v>283</v>
      </c>
      <c r="I59" s="495">
        <v>6110831</v>
      </c>
      <c r="J59" s="496">
        <v>4186927</v>
      </c>
      <c r="K59" s="496">
        <v>136836</v>
      </c>
      <c r="L59" s="496">
        <v>12136</v>
      </c>
      <c r="M59" s="411">
        <v>1457330</v>
      </c>
      <c r="N59" s="411">
        <v>83738</v>
      </c>
      <c r="O59" s="496">
        <v>246000</v>
      </c>
      <c r="P59" s="497">
        <v>7.8887000000000009</v>
      </c>
      <c r="Q59" s="412">
        <v>5.5910000000000002</v>
      </c>
      <c r="R59" s="498">
        <v>2.2976999999999999</v>
      </c>
      <c r="S59" s="499">
        <f t="shared" si="16"/>
        <v>0</v>
      </c>
      <c r="T59" s="486">
        <v>0</v>
      </c>
      <c r="U59" s="486">
        <v>0</v>
      </c>
      <c r="V59" s="486">
        <f>SUM(S59:U59)</f>
        <v>0</v>
      </c>
      <c r="W59" s="486">
        <v>0</v>
      </c>
      <c r="X59" s="486">
        <v>0</v>
      </c>
      <c r="Y59" s="486">
        <f>SUM(W59:X59)</f>
        <v>0</v>
      </c>
      <c r="Z59" s="486">
        <f>V59+Y59</f>
        <v>0</v>
      </c>
      <c r="AA59" s="319">
        <f>ROUND((V59+W59)*33.8%,0)</f>
        <v>0</v>
      </c>
      <c r="AB59" s="178">
        <f>ROUND(V59*2%,0)</f>
        <v>0</v>
      </c>
      <c r="AC59" s="486">
        <v>0</v>
      </c>
      <c r="AD59" s="486">
        <v>0</v>
      </c>
      <c r="AE59" s="486">
        <f t="shared" si="5"/>
        <v>0</v>
      </c>
      <c r="AF59" s="486">
        <f t="shared" si="14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ref="AL59:AL63" si="73">AG59+AI59+AJ59</f>
        <v>0</v>
      </c>
      <c r="AM59" s="501">
        <f t="shared" ref="AM59:AM63" si="74">AH59+AK59</f>
        <v>0</v>
      </c>
      <c r="AN59" s="529">
        <f t="shared" si="15"/>
        <v>0</v>
      </c>
      <c r="AO59" s="530">
        <f>I59+AF59</f>
        <v>6110831</v>
      </c>
      <c r="AP59" s="486">
        <f>J59+V59</f>
        <v>4186927</v>
      </c>
      <c r="AQ59" s="486">
        <f>K59+Y59</f>
        <v>136836</v>
      </c>
      <c r="AR59" s="480">
        <f>L59</f>
        <v>12136</v>
      </c>
      <c r="AS59" s="486">
        <f t="shared" ref="AS59:AT63" si="75">M59+AA59</f>
        <v>1457330</v>
      </c>
      <c r="AT59" s="486">
        <f t="shared" si="75"/>
        <v>83738</v>
      </c>
      <c r="AU59" s="486">
        <f>O59+AE59</f>
        <v>246000</v>
      </c>
      <c r="AV59" s="501">
        <f>P59+AN59</f>
        <v>7.8887000000000009</v>
      </c>
      <c r="AW59" s="501">
        <f t="shared" ref="AW59:AX63" si="76">Q59+AL59</f>
        <v>5.5910000000000002</v>
      </c>
      <c r="AX59" s="502">
        <f t="shared" si="76"/>
        <v>2.2976999999999999</v>
      </c>
    </row>
    <row r="60" spans="1:50" ht="12.95" customHeight="1" x14ac:dyDescent="0.25">
      <c r="A60" s="305">
        <v>12</v>
      </c>
      <c r="B60" s="551">
        <v>5481</v>
      </c>
      <c r="C60" s="551">
        <v>600099075</v>
      </c>
      <c r="D60" s="551">
        <v>72742739</v>
      </c>
      <c r="E60" s="556" t="s">
        <v>510</v>
      </c>
      <c r="F60" s="551">
        <v>3117</v>
      </c>
      <c r="G60" s="528" t="s">
        <v>318</v>
      </c>
      <c r="H60" s="494" t="s">
        <v>284</v>
      </c>
      <c r="I60" s="495">
        <v>99963</v>
      </c>
      <c r="J60" s="496">
        <v>73610</v>
      </c>
      <c r="K60" s="496">
        <v>0</v>
      </c>
      <c r="L60" s="496">
        <v>0</v>
      </c>
      <c r="M60" s="411">
        <v>24881</v>
      </c>
      <c r="N60" s="411">
        <v>1472</v>
      </c>
      <c r="O60" s="496">
        <v>0</v>
      </c>
      <c r="P60" s="497">
        <v>0.2</v>
      </c>
      <c r="Q60" s="412">
        <v>0.2</v>
      </c>
      <c r="R60" s="498">
        <v>0</v>
      </c>
      <c r="S60" s="499">
        <f t="shared" si="16"/>
        <v>0</v>
      </c>
      <c r="T60" s="486">
        <v>0</v>
      </c>
      <c r="U60" s="486">
        <v>0</v>
      </c>
      <c r="V60" s="486">
        <f>SUM(S60:U60)</f>
        <v>0</v>
      </c>
      <c r="W60" s="486">
        <v>0</v>
      </c>
      <c r="X60" s="486">
        <v>0</v>
      </c>
      <c r="Y60" s="486">
        <f>SUM(W60:X60)</f>
        <v>0</v>
      </c>
      <c r="Z60" s="486">
        <f>V60+Y60</f>
        <v>0</v>
      </c>
      <c r="AA60" s="319">
        <f>ROUND((V60+W60)*33.8%,0)</f>
        <v>0</v>
      </c>
      <c r="AB60" s="178">
        <f>ROUND(V60*2%,0)</f>
        <v>0</v>
      </c>
      <c r="AC60" s="486">
        <v>0</v>
      </c>
      <c r="AD60" s="486">
        <v>0</v>
      </c>
      <c r="AE60" s="486">
        <f t="shared" si="5"/>
        <v>0</v>
      </c>
      <c r="AF60" s="486">
        <f t="shared" si="14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73"/>
        <v>0</v>
      </c>
      <c r="AM60" s="501">
        <f t="shared" si="74"/>
        <v>0</v>
      </c>
      <c r="AN60" s="529">
        <f t="shared" si="15"/>
        <v>0</v>
      </c>
      <c r="AO60" s="530">
        <f>I60+AF60</f>
        <v>99963</v>
      </c>
      <c r="AP60" s="486">
        <f>J60+V60</f>
        <v>73610</v>
      </c>
      <c r="AQ60" s="486">
        <f>K60+Y60</f>
        <v>0</v>
      </c>
      <c r="AR60" s="480">
        <f>L60</f>
        <v>0</v>
      </c>
      <c r="AS60" s="486">
        <f t="shared" si="75"/>
        <v>24881</v>
      </c>
      <c r="AT60" s="486">
        <f t="shared" si="75"/>
        <v>1472</v>
      </c>
      <c r="AU60" s="486">
        <f>O60+AE60</f>
        <v>0</v>
      </c>
      <c r="AV60" s="501">
        <f>P60+AN60</f>
        <v>0.2</v>
      </c>
      <c r="AW60" s="501">
        <f t="shared" si="76"/>
        <v>0.2</v>
      </c>
      <c r="AX60" s="502">
        <f t="shared" si="76"/>
        <v>0</v>
      </c>
    </row>
    <row r="61" spans="1:50" ht="12.95" customHeight="1" x14ac:dyDescent="0.25">
      <c r="A61" s="305">
        <v>12</v>
      </c>
      <c r="B61" s="551">
        <v>5481</v>
      </c>
      <c r="C61" s="551">
        <v>600099075</v>
      </c>
      <c r="D61" s="551">
        <v>72742739</v>
      </c>
      <c r="E61" s="556" t="s">
        <v>510</v>
      </c>
      <c r="F61" s="551">
        <v>3141</v>
      </c>
      <c r="G61" s="528" t="s">
        <v>321</v>
      </c>
      <c r="H61" s="494" t="s">
        <v>284</v>
      </c>
      <c r="I61" s="495">
        <v>67936</v>
      </c>
      <c r="J61" s="496">
        <v>50026</v>
      </c>
      <c r="K61" s="496">
        <v>0</v>
      </c>
      <c r="L61" s="496">
        <v>0</v>
      </c>
      <c r="M61" s="411">
        <v>16909</v>
      </c>
      <c r="N61" s="411">
        <v>1001</v>
      </c>
      <c r="O61" s="496">
        <v>0</v>
      </c>
      <c r="P61" s="497">
        <v>0.17</v>
      </c>
      <c r="Q61" s="412">
        <v>0</v>
      </c>
      <c r="R61" s="498">
        <v>0.17</v>
      </c>
      <c r="S61" s="499">
        <f t="shared" si="16"/>
        <v>0</v>
      </c>
      <c r="T61" s="486">
        <v>0</v>
      </c>
      <c r="U61" s="486">
        <v>0</v>
      </c>
      <c r="V61" s="486">
        <f>SUM(S61:U61)</f>
        <v>0</v>
      </c>
      <c r="W61" s="486">
        <v>0</v>
      </c>
      <c r="X61" s="486">
        <v>0</v>
      </c>
      <c r="Y61" s="486">
        <f>SUM(W61:X61)</f>
        <v>0</v>
      </c>
      <c r="Z61" s="486">
        <f>V61+Y61</f>
        <v>0</v>
      </c>
      <c r="AA61" s="319">
        <f>ROUND((V61+W61)*33.8%,0)</f>
        <v>0</v>
      </c>
      <c r="AB61" s="178">
        <f>ROUND(V61*2%,0)</f>
        <v>0</v>
      </c>
      <c r="AC61" s="486">
        <v>0</v>
      </c>
      <c r="AD61" s="486">
        <v>0</v>
      </c>
      <c r="AE61" s="486">
        <f t="shared" si="5"/>
        <v>0</v>
      </c>
      <c r="AF61" s="486">
        <f t="shared" si="14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73"/>
        <v>0</v>
      </c>
      <c r="AM61" s="501">
        <f t="shared" si="74"/>
        <v>0</v>
      </c>
      <c r="AN61" s="529">
        <f t="shared" ref="AN61" si="77">SUM(AL61:AM61)</f>
        <v>0</v>
      </c>
      <c r="AO61" s="530">
        <f>I61+AF61</f>
        <v>67936</v>
      </c>
      <c r="AP61" s="486">
        <f>J61+V61</f>
        <v>50026</v>
      </c>
      <c r="AQ61" s="486">
        <f>K61+Y61</f>
        <v>0</v>
      </c>
      <c r="AR61" s="480">
        <f>L61</f>
        <v>0</v>
      </c>
      <c r="AS61" s="486">
        <f t="shared" si="75"/>
        <v>16909</v>
      </c>
      <c r="AT61" s="486">
        <f t="shared" si="75"/>
        <v>1001</v>
      </c>
      <c r="AU61" s="486">
        <f>O61+AE61</f>
        <v>0</v>
      </c>
      <c r="AV61" s="501">
        <f>P61+AN61</f>
        <v>0.17</v>
      </c>
      <c r="AW61" s="501">
        <f t="shared" si="76"/>
        <v>0</v>
      </c>
      <c r="AX61" s="502">
        <f t="shared" si="76"/>
        <v>0.17</v>
      </c>
    </row>
    <row r="62" spans="1:50" ht="12.95" customHeight="1" x14ac:dyDescent="0.25">
      <c r="A62" s="305">
        <v>12</v>
      </c>
      <c r="B62" s="551">
        <v>5481</v>
      </c>
      <c r="C62" s="551">
        <v>600099075</v>
      </c>
      <c r="D62" s="551">
        <v>72742739</v>
      </c>
      <c r="E62" s="556" t="s">
        <v>510</v>
      </c>
      <c r="F62" s="551">
        <v>3143</v>
      </c>
      <c r="G62" s="528" t="s">
        <v>634</v>
      </c>
      <c r="H62" s="494" t="s">
        <v>283</v>
      </c>
      <c r="I62" s="495">
        <v>983702</v>
      </c>
      <c r="J62" s="496">
        <v>724375</v>
      </c>
      <c r="K62" s="496">
        <v>0</v>
      </c>
      <c r="L62" s="496">
        <v>0</v>
      </c>
      <c r="M62" s="411">
        <v>244839</v>
      </c>
      <c r="N62" s="411">
        <v>14488</v>
      </c>
      <c r="O62" s="496">
        <v>0</v>
      </c>
      <c r="P62" s="497">
        <v>1.5</v>
      </c>
      <c r="Q62" s="412">
        <v>1.5</v>
      </c>
      <c r="R62" s="498">
        <v>0</v>
      </c>
      <c r="S62" s="499">
        <f t="shared" si="16"/>
        <v>0</v>
      </c>
      <c r="T62" s="486">
        <v>0</v>
      </c>
      <c r="U62" s="486">
        <v>0</v>
      </c>
      <c r="V62" s="486">
        <f>SUM(S62:U62)</f>
        <v>0</v>
      </c>
      <c r="W62" s="486">
        <v>0</v>
      </c>
      <c r="X62" s="486">
        <v>0</v>
      </c>
      <c r="Y62" s="486">
        <f>SUM(W62:X62)</f>
        <v>0</v>
      </c>
      <c r="Z62" s="486">
        <f>V62+Y62</f>
        <v>0</v>
      </c>
      <c r="AA62" s="319">
        <f>ROUND((V62+W62)*33.8%,0)</f>
        <v>0</v>
      </c>
      <c r="AB62" s="178">
        <f>ROUND(V62*2%,0)</f>
        <v>0</v>
      </c>
      <c r="AC62" s="486">
        <v>0</v>
      </c>
      <c r="AD62" s="486">
        <v>0</v>
      </c>
      <c r="AE62" s="486">
        <f t="shared" si="5"/>
        <v>0</v>
      </c>
      <c r="AF62" s="486">
        <f t="shared" si="14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73"/>
        <v>0</v>
      </c>
      <c r="AM62" s="501">
        <f t="shared" si="74"/>
        <v>0</v>
      </c>
      <c r="AN62" s="529">
        <f t="shared" si="15"/>
        <v>0</v>
      </c>
      <c r="AO62" s="530">
        <f>I62+AF62</f>
        <v>983702</v>
      </c>
      <c r="AP62" s="486">
        <f>J62+V62</f>
        <v>724375</v>
      </c>
      <c r="AQ62" s="486">
        <f>K62+Y62</f>
        <v>0</v>
      </c>
      <c r="AR62" s="480">
        <f>L62</f>
        <v>0</v>
      </c>
      <c r="AS62" s="486">
        <f t="shared" si="75"/>
        <v>244839</v>
      </c>
      <c r="AT62" s="486">
        <f t="shared" si="75"/>
        <v>14488</v>
      </c>
      <c r="AU62" s="486">
        <f>O62+AE62</f>
        <v>0</v>
      </c>
      <c r="AV62" s="501">
        <f>P62+AN62</f>
        <v>1.5</v>
      </c>
      <c r="AW62" s="501">
        <f t="shared" si="76"/>
        <v>1.5</v>
      </c>
      <c r="AX62" s="502">
        <f t="shared" si="76"/>
        <v>0</v>
      </c>
    </row>
    <row r="63" spans="1:50" ht="12.95" customHeight="1" x14ac:dyDescent="0.25">
      <c r="A63" s="305">
        <v>12</v>
      </c>
      <c r="B63" s="551">
        <v>5481</v>
      </c>
      <c r="C63" s="551">
        <v>600099075</v>
      </c>
      <c r="D63" s="551">
        <v>72742739</v>
      </c>
      <c r="E63" s="556" t="s">
        <v>510</v>
      </c>
      <c r="F63" s="551">
        <v>3143</v>
      </c>
      <c r="G63" s="528" t="s">
        <v>635</v>
      </c>
      <c r="H63" s="494" t="s">
        <v>284</v>
      </c>
      <c r="I63" s="495">
        <v>39323</v>
      </c>
      <c r="J63" s="496">
        <v>27720</v>
      </c>
      <c r="K63" s="496">
        <v>0</v>
      </c>
      <c r="L63" s="496">
        <v>0</v>
      </c>
      <c r="M63" s="411">
        <v>9369</v>
      </c>
      <c r="N63" s="411">
        <v>554</v>
      </c>
      <c r="O63" s="496">
        <v>1680</v>
      </c>
      <c r="P63" s="497">
        <v>0.12</v>
      </c>
      <c r="Q63" s="412">
        <v>0</v>
      </c>
      <c r="R63" s="498">
        <v>0.12</v>
      </c>
      <c r="S63" s="499">
        <f t="shared" si="16"/>
        <v>0</v>
      </c>
      <c r="T63" s="486">
        <v>0</v>
      </c>
      <c r="U63" s="486">
        <v>0</v>
      </c>
      <c r="V63" s="486">
        <f>SUM(S63:U63)</f>
        <v>0</v>
      </c>
      <c r="W63" s="486">
        <v>0</v>
      </c>
      <c r="X63" s="486">
        <v>0</v>
      </c>
      <c r="Y63" s="486">
        <f>SUM(W63:X63)</f>
        <v>0</v>
      </c>
      <c r="Z63" s="486">
        <f>V63+Y63</f>
        <v>0</v>
      </c>
      <c r="AA63" s="319">
        <f>ROUND((V63+W63)*33.8%,0)</f>
        <v>0</v>
      </c>
      <c r="AB63" s="178">
        <f>ROUND(V63*2%,0)</f>
        <v>0</v>
      </c>
      <c r="AC63" s="486">
        <v>0</v>
      </c>
      <c r="AD63" s="486">
        <v>0</v>
      </c>
      <c r="AE63" s="486">
        <f t="shared" si="5"/>
        <v>0</v>
      </c>
      <c r="AF63" s="486">
        <f t="shared" si="14"/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si="73"/>
        <v>0</v>
      </c>
      <c r="AM63" s="501">
        <f t="shared" si="74"/>
        <v>0</v>
      </c>
      <c r="AN63" s="529">
        <f t="shared" si="15"/>
        <v>0</v>
      </c>
      <c r="AO63" s="530">
        <f>I63+AF63</f>
        <v>39323</v>
      </c>
      <c r="AP63" s="486">
        <f>J63+V63</f>
        <v>27720</v>
      </c>
      <c r="AQ63" s="486">
        <f>K63+Y63</f>
        <v>0</v>
      </c>
      <c r="AR63" s="480">
        <f>L63</f>
        <v>0</v>
      </c>
      <c r="AS63" s="486">
        <f t="shared" si="75"/>
        <v>9369</v>
      </c>
      <c r="AT63" s="486">
        <f t="shared" si="75"/>
        <v>554</v>
      </c>
      <c r="AU63" s="486">
        <f>O63+AE63</f>
        <v>1680</v>
      </c>
      <c r="AV63" s="501">
        <f>P63+AN63</f>
        <v>0.12</v>
      </c>
      <c r="AW63" s="501">
        <f t="shared" si="76"/>
        <v>0</v>
      </c>
      <c r="AX63" s="502">
        <f t="shared" si="76"/>
        <v>0.12</v>
      </c>
    </row>
    <row r="64" spans="1:50" ht="12.95" customHeight="1" x14ac:dyDescent="0.25">
      <c r="A64" s="306">
        <v>12</v>
      </c>
      <c r="B64" s="128">
        <v>5481</v>
      </c>
      <c r="C64" s="128">
        <v>600099075</v>
      </c>
      <c r="D64" s="128">
        <v>72742739</v>
      </c>
      <c r="E64" s="554" t="s">
        <v>511</v>
      </c>
      <c r="F64" s="128"/>
      <c r="G64" s="554"/>
      <c r="H64" s="371"/>
      <c r="I64" s="136">
        <v>7301755</v>
      </c>
      <c r="J64" s="240">
        <v>5062658</v>
      </c>
      <c r="K64" s="240">
        <v>136836</v>
      </c>
      <c r="L64" s="240">
        <v>12136</v>
      </c>
      <c r="M64" s="240">
        <v>1753328</v>
      </c>
      <c r="N64" s="240">
        <v>101253</v>
      </c>
      <c r="O64" s="240">
        <v>247680</v>
      </c>
      <c r="P64" s="381">
        <v>9.8787000000000003</v>
      </c>
      <c r="Q64" s="381">
        <v>7.2910000000000004</v>
      </c>
      <c r="R64" s="397">
        <v>2.5876999999999999</v>
      </c>
      <c r="S64" s="240">
        <f t="shared" ref="S64:AN64" si="78">SUM(S59:S63)</f>
        <v>0</v>
      </c>
      <c r="T64" s="116">
        <f t="shared" si="78"/>
        <v>0</v>
      </c>
      <c r="U64" s="116">
        <f t="shared" si="78"/>
        <v>0</v>
      </c>
      <c r="V64" s="116">
        <f t="shared" si="78"/>
        <v>0</v>
      </c>
      <c r="W64" s="116">
        <f t="shared" si="78"/>
        <v>0</v>
      </c>
      <c r="X64" s="116">
        <f t="shared" si="78"/>
        <v>0</v>
      </c>
      <c r="Y64" s="116">
        <f t="shared" si="78"/>
        <v>0</v>
      </c>
      <c r="Z64" s="116">
        <f t="shared" si="78"/>
        <v>0</v>
      </c>
      <c r="AA64" s="116">
        <f t="shared" si="78"/>
        <v>0</v>
      </c>
      <c r="AB64" s="116">
        <f t="shared" si="78"/>
        <v>0</v>
      </c>
      <c r="AC64" s="116">
        <f t="shared" si="78"/>
        <v>0</v>
      </c>
      <c r="AD64" s="116">
        <f t="shared" si="78"/>
        <v>0</v>
      </c>
      <c r="AE64" s="116">
        <f t="shared" si="78"/>
        <v>0</v>
      </c>
      <c r="AF64" s="116">
        <f t="shared" si="78"/>
        <v>0</v>
      </c>
      <c r="AG64" s="303">
        <f t="shared" si="78"/>
        <v>0</v>
      </c>
      <c r="AH64" s="303">
        <f t="shared" si="78"/>
        <v>0</v>
      </c>
      <c r="AI64" s="303">
        <f t="shared" si="78"/>
        <v>0</v>
      </c>
      <c r="AJ64" s="303">
        <f t="shared" si="78"/>
        <v>0</v>
      </c>
      <c r="AK64" s="303">
        <f t="shared" si="78"/>
        <v>0</v>
      </c>
      <c r="AL64" s="303">
        <f t="shared" si="78"/>
        <v>0</v>
      </c>
      <c r="AM64" s="303">
        <f t="shared" si="78"/>
        <v>0</v>
      </c>
      <c r="AN64" s="390">
        <f t="shared" si="78"/>
        <v>0</v>
      </c>
      <c r="AO64" s="136">
        <f t="shared" ref="AO64:AX64" si="79">SUM(AO59:AO63)</f>
        <v>7301755</v>
      </c>
      <c r="AP64" s="116">
        <f t="shared" si="79"/>
        <v>5062658</v>
      </c>
      <c r="AQ64" s="116">
        <f t="shared" si="79"/>
        <v>136836</v>
      </c>
      <c r="AR64" s="116">
        <f t="shared" si="79"/>
        <v>12136</v>
      </c>
      <c r="AS64" s="116">
        <f t="shared" si="79"/>
        <v>1753328</v>
      </c>
      <c r="AT64" s="116">
        <f t="shared" si="79"/>
        <v>101253</v>
      </c>
      <c r="AU64" s="116">
        <f t="shared" si="79"/>
        <v>247680</v>
      </c>
      <c r="AV64" s="303">
        <f t="shared" si="79"/>
        <v>9.8787000000000003</v>
      </c>
      <c r="AW64" s="303">
        <f t="shared" si="79"/>
        <v>7.2910000000000004</v>
      </c>
      <c r="AX64" s="304">
        <f t="shared" si="79"/>
        <v>2.5876999999999999</v>
      </c>
    </row>
    <row r="65" spans="1:50" ht="12.95" customHeight="1" x14ac:dyDescent="0.25">
      <c r="A65" s="305">
        <v>13</v>
      </c>
      <c r="B65" s="551">
        <v>5492</v>
      </c>
      <c r="C65" s="551">
        <v>691007322</v>
      </c>
      <c r="D65" s="551">
        <v>71294180</v>
      </c>
      <c r="E65" s="556" t="s">
        <v>512</v>
      </c>
      <c r="F65" s="551">
        <v>3114</v>
      </c>
      <c r="G65" s="531" t="s">
        <v>564</v>
      </c>
      <c r="H65" s="494" t="s">
        <v>283</v>
      </c>
      <c r="I65" s="495">
        <v>9937973</v>
      </c>
      <c r="J65" s="496">
        <v>6975065</v>
      </c>
      <c r="K65" s="496">
        <v>229436</v>
      </c>
      <c r="L65" s="496">
        <v>8436</v>
      </c>
      <c r="M65" s="411">
        <v>2432270</v>
      </c>
      <c r="N65" s="411">
        <v>139502</v>
      </c>
      <c r="O65" s="496">
        <v>161700</v>
      </c>
      <c r="P65" s="497">
        <v>12.1027</v>
      </c>
      <c r="Q65" s="412">
        <v>9.09</v>
      </c>
      <c r="R65" s="498">
        <v>3.0126999999999997</v>
      </c>
      <c r="S65" s="499">
        <f t="shared" si="16"/>
        <v>0</v>
      </c>
      <c r="T65" s="486">
        <v>0</v>
      </c>
      <c r="U65" s="486">
        <v>0</v>
      </c>
      <c r="V65" s="486">
        <f>SUM(S65:U65)</f>
        <v>0</v>
      </c>
      <c r="W65" s="486">
        <v>0</v>
      </c>
      <c r="X65" s="486">
        <v>0</v>
      </c>
      <c r="Y65" s="486">
        <f>SUM(W65:X65)</f>
        <v>0</v>
      </c>
      <c r="Z65" s="486">
        <f>V65+Y65</f>
        <v>0</v>
      </c>
      <c r="AA65" s="319">
        <f>ROUND((V65+W65)*33.8%,0)</f>
        <v>0</v>
      </c>
      <c r="AB65" s="178">
        <f>ROUND(V65*2%,0)</f>
        <v>0</v>
      </c>
      <c r="AC65" s="486">
        <v>0</v>
      </c>
      <c r="AD65" s="486">
        <v>0</v>
      </c>
      <c r="AE65" s="486">
        <f t="shared" si="5"/>
        <v>0</v>
      </c>
      <c r="AF65" s="486">
        <f t="shared" si="14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ref="AL65:AL68" si="80">AG65+AI65+AJ65</f>
        <v>0</v>
      </c>
      <c r="AM65" s="501">
        <f t="shared" ref="AM65:AM68" si="81">AH65+AK65</f>
        <v>0</v>
      </c>
      <c r="AN65" s="529">
        <f t="shared" si="15"/>
        <v>0</v>
      </c>
      <c r="AO65" s="530">
        <f>I65+AF65</f>
        <v>9937973</v>
      </c>
      <c r="AP65" s="486">
        <f>J65+V65</f>
        <v>6975065</v>
      </c>
      <c r="AQ65" s="486">
        <f>K65+Y65</f>
        <v>229436</v>
      </c>
      <c r="AR65" s="480">
        <f>L65</f>
        <v>8436</v>
      </c>
      <c r="AS65" s="486">
        <f t="shared" ref="AS65:AT68" si="82">M65+AA65</f>
        <v>2432270</v>
      </c>
      <c r="AT65" s="486">
        <f t="shared" si="82"/>
        <v>139502</v>
      </c>
      <c r="AU65" s="486">
        <f>O65+AE65</f>
        <v>161700</v>
      </c>
      <c r="AV65" s="501">
        <f>P65+AN65</f>
        <v>12.1027</v>
      </c>
      <c r="AW65" s="501">
        <f t="shared" ref="AW65:AX68" si="83">Q65+AL65</f>
        <v>9.09</v>
      </c>
      <c r="AX65" s="502">
        <f t="shared" si="83"/>
        <v>3.0126999999999997</v>
      </c>
    </row>
    <row r="66" spans="1:50" ht="12.95" customHeight="1" x14ac:dyDescent="0.25">
      <c r="A66" s="305">
        <v>13</v>
      </c>
      <c r="B66" s="551">
        <v>5492</v>
      </c>
      <c r="C66" s="551">
        <v>691007322</v>
      </c>
      <c r="D66" s="551">
        <v>71294180</v>
      </c>
      <c r="E66" s="556" t="s">
        <v>512</v>
      </c>
      <c r="F66" s="551">
        <v>3114</v>
      </c>
      <c r="G66" s="531" t="s">
        <v>319</v>
      </c>
      <c r="H66" s="494" t="s">
        <v>283</v>
      </c>
      <c r="I66" s="495">
        <v>1319976</v>
      </c>
      <c r="J66" s="496">
        <v>972000</v>
      </c>
      <c r="K66" s="496">
        <v>0</v>
      </c>
      <c r="L66" s="496">
        <v>0</v>
      </c>
      <c r="M66" s="411">
        <v>328536</v>
      </c>
      <c r="N66" s="411">
        <v>19440</v>
      </c>
      <c r="O66" s="496">
        <v>0</v>
      </c>
      <c r="P66" s="497">
        <v>2.5</v>
      </c>
      <c r="Q66" s="412">
        <v>2.5</v>
      </c>
      <c r="R66" s="498">
        <v>0</v>
      </c>
      <c r="S66" s="499">
        <f t="shared" si="16"/>
        <v>0</v>
      </c>
      <c r="T66" s="486">
        <v>0</v>
      </c>
      <c r="U66" s="486">
        <v>0</v>
      </c>
      <c r="V66" s="486">
        <f>SUM(S66:U66)</f>
        <v>0</v>
      </c>
      <c r="W66" s="486">
        <v>0</v>
      </c>
      <c r="X66" s="486">
        <v>0</v>
      </c>
      <c r="Y66" s="486">
        <f>SUM(W66:X66)</f>
        <v>0</v>
      </c>
      <c r="Z66" s="486">
        <f>V66+Y66</f>
        <v>0</v>
      </c>
      <c r="AA66" s="319">
        <f>ROUND((V66+W66)*33.8%,0)</f>
        <v>0</v>
      </c>
      <c r="AB66" s="178">
        <f>ROUND(V66*2%,0)</f>
        <v>0</v>
      </c>
      <c r="AC66" s="486">
        <v>0</v>
      </c>
      <c r="AD66" s="486">
        <v>0</v>
      </c>
      <c r="AE66" s="486">
        <f t="shared" si="5"/>
        <v>0</v>
      </c>
      <c r="AF66" s="486">
        <f t="shared" si="14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80"/>
        <v>0</v>
      </c>
      <c r="AM66" s="501">
        <f t="shared" si="81"/>
        <v>0</v>
      </c>
      <c r="AN66" s="529">
        <f t="shared" si="15"/>
        <v>0</v>
      </c>
      <c r="AO66" s="530">
        <f>I66+AF66</f>
        <v>1319976</v>
      </c>
      <c r="AP66" s="486">
        <f>J66+V66</f>
        <v>972000</v>
      </c>
      <c r="AQ66" s="486">
        <f>K66+Y66</f>
        <v>0</v>
      </c>
      <c r="AR66" s="480">
        <f>L66</f>
        <v>0</v>
      </c>
      <c r="AS66" s="486">
        <f t="shared" si="82"/>
        <v>328536</v>
      </c>
      <c r="AT66" s="486">
        <f t="shared" si="82"/>
        <v>19440</v>
      </c>
      <c r="AU66" s="486">
        <f>O66+AE66</f>
        <v>0</v>
      </c>
      <c r="AV66" s="501">
        <f>P66+AN66</f>
        <v>2.5</v>
      </c>
      <c r="AW66" s="501">
        <f t="shared" si="83"/>
        <v>2.5</v>
      </c>
      <c r="AX66" s="502">
        <f t="shared" si="83"/>
        <v>0</v>
      </c>
    </row>
    <row r="67" spans="1:50" ht="12.95" customHeight="1" x14ac:dyDescent="0.25">
      <c r="A67" s="305">
        <v>13</v>
      </c>
      <c r="B67" s="551">
        <v>5492</v>
      </c>
      <c r="C67" s="551">
        <v>691007322</v>
      </c>
      <c r="D67" s="551">
        <v>71294180</v>
      </c>
      <c r="E67" s="552" t="s">
        <v>512</v>
      </c>
      <c r="F67" s="551">
        <v>3143</v>
      </c>
      <c r="G67" s="528" t="s">
        <v>634</v>
      </c>
      <c r="H67" s="494" t="s">
        <v>283</v>
      </c>
      <c r="I67" s="495">
        <v>510969</v>
      </c>
      <c r="J67" s="496">
        <v>376266</v>
      </c>
      <c r="K67" s="496">
        <v>0</v>
      </c>
      <c r="L67" s="496">
        <v>0</v>
      </c>
      <c r="M67" s="411">
        <v>127178</v>
      </c>
      <c r="N67" s="411">
        <v>7525</v>
      </c>
      <c r="O67" s="496">
        <v>0</v>
      </c>
      <c r="P67" s="497">
        <v>0.77049999999999996</v>
      </c>
      <c r="Q67" s="412">
        <v>0.77049999999999996</v>
      </c>
      <c r="R67" s="498">
        <v>0</v>
      </c>
      <c r="S67" s="499">
        <f t="shared" si="16"/>
        <v>0</v>
      </c>
      <c r="T67" s="486">
        <v>0</v>
      </c>
      <c r="U67" s="486">
        <v>0</v>
      </c>
      <c r="V67" s="486">
        <f>SUM(S67:U67)</f>
        <v>0</v>
      </c>
      <c r="W67" s="486">
        <v>0</v>
      </c>
      <c r="X67" s="486">
        <v>0</v>
      </c>
      <c r="Y67" s="486">
        <f>SUM(W67:X67)</f>
        <v>0</v>
      </c>
      <c r="Z67" s="486">
        <f>V67+Y67</f>
        <v>0</v>
      </c>
      <c r="AA67" s="319">
        <f>ROUND((V67+W67)*33.8%,0)</f>
        <v>0</v>
      </c>
      <c r="AB67" s="178">
        <f>ROUND(V67*2%,0)</f>
        <v>0</v>
      </c>
      <c r="AC67" s="486">
        <v>0</v>
      </c>
      <c r="AD67" s="486">
        <v>0</v>
      </c>
      <c r="AE67" s="486">
        <f t="shared" si="5"/>
        <v>0</v>
      </c>
      <c r="AF67" s="486">
        <f t="shared" si="14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80"/>
        <v>0</v>
      </c>
      <c r="AM67" s="501">
        <f t="shared" si="81"/>
        <v>0</v>
      </c>
      <c r="AN67" s="529">
        <f t="shared" si="15"/>
        <v>0</v>
      </c>
      <c r="AO67" s="530">
        <f>I67+AF67</f>
        <v>510969</v>
      </c>
      <c r="AP67" s="486">
        <f>J67+V67</f>
        <v>376266</v>
      </c>
      <c r="AQ67" s="486">
        <f>K67+Y67</f>
        <v>0</v>
      </c>
      <c r="AR67" s="480">
        <f>L67</f>
        <v>0</v>
      </c>
      <c r="AS67" s="486">
        <f t="shared" si="82"/>
        <v>127178</v>
      </c>
      <c r="AT67" s="486">
        <f t="shared" si="82"/>
        <v>7525</v>
      </c>
      <c r="AU67" s="486">
        <f>O67+AE67</f>
        <v>0</v>
      </c>
      <c r="AV67" s="501">
        <f>P67+AN67</f>
        <v>0.77049999999999996</v>
      </c>
      <c r="AW67" s="501">
        <f t="shared" si="83"/>
        <v>0.77049999999999996</v>
      </c>
      <c r="AX67" s="502">
        <f t="shared" si="83"/>
        <v>0</v>
      </c>
    </row>
    <row r="68" spans="1:50" ht="12.95" customHeight="1" x14ac:dyDescent="0.25">
      <c r="A68" s="305">
        <v>13</v>
      </c>
      <c r="B68" s="551">
        <v>5492</v>
      </c>
      <c r="C68" s="551">
        <v>691007322</v>
      </c>
      <c r="D68" s="551">
        <v>71294180</v>
      </c>
      <c r="E68" s="552" t="s">
        <v>512</v>
      </c>
      <c r="F68" s="551">
        <v>3143</v>
      </c>
      <c r="G68" s="528" t="s">
        <v>635</v>
      </c>
      <c r="H68" s="494" t="s">
        <v>284</v>
      </c>
      <c r="I68" s="495">
        <v>10534</v>
      </c>
      <c r="J68" s="496">
        <v>7425</v>
      </c>
      <c r="K68" s="496">
        <v>0</v>
      </c>
      <c r="L68" s="496">
        <v>0</v>
      </c>
      <c r="M68" s="411">
        <v>2510</v>
      </c>
      <c r="N68" s="411">
        <v>149</v>
      </c>
      <c r="O68" s="496">
        <v>450</v>
      </c>
      <c r="P68" s="497">
        <v>0.03</v>
      </c>
      <c r="Q68" s="412">
        <v>0</v>
      </c>
      <c r="R68" s="498">
        <v>0.03</v>
      </c>
      <c r="S68" s="499">
        <f t="shared" si="16"/>
        <v>0</v>
      </c>
      <c r="T68" s="486">
        <v>0</v>
      </c>
      <c r="U68" s="486">
        <v>0</v>
      </c>
      <c r="V68" s="486">
        <f>SUM(S68:U68)</f>
        <v>0</v>
      </c>
      <c r="W68" s="486">
        <v>0</v>
      </c>
      <c r="X68" s="486">
        <v>0</v>
      </c>
      <c r="Y68" s="486">
        <f>SUM(W68:X68)</f>
        <v>0</v>
      </c>
      <c r="Z68" s="486">
        <f>V68+Y68</f>
        <v>0</v>
      </c>
      <c r="AA68" s="319">
        <f>ROUND((V68+W68)*33.8%,0)</f>
        <v>0</v>
      </c>
      <c r="AB68" s="178">
        <f>ROUND(V68*2%,0)</f>
        <v>0</v>
      </c>
      <c r="AC68" s="486">
        <v>0</v>
      </c>
      <c r="AD68" s="486">
        <v>0</v>
      </c>
      <c r="AE68" s="486">
        <f t="shared" si="5"/>
        <v>0</v>
      </c>
      <c r="AF68" s="486">
        <f t="shared" si="14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80"/>
        <v>0</v>
      </c>
      <c r="AM68" s="501">
        <f t="shared" si="81"/>
        <v>0</v>
      </c>
      <c r="AN68" s="529">
        <f t="shared" si="15"/>
        <v>0</v>
      </c>
      <c r="AO68" s="530">
        <f>I68+AF68</f>
        <v>10534</v>
      </c>
      <c r="AP68" s="486">
        <f>J68+V68</f>
        <v>7425</v>
      </c>
      <c r="AQ68" s="486">
        <f>K68+Y68</f>
        <v>0</v>
      </c>
      <c r="AR68" s="480">
        <f>L68</f>
        <v>0</v>
      </c>
      <c r="AS68" s="486">
        <f t="shared" si="82"/>
        <v>2510</v>
      </c>
      <c r="AT68" s="486">
        <f t="shared" si="82"/>
        <v>149</v>
      </c>
      <c r="AU68" s="486">
        <f>O68+AE68</f>
        <v>450</v>
      </c>
      <c r="AV68" s="501">
        <f>P68+AN68</f>
        <v>0.03</v>
      </c>
      <c r="AW68" s="501">
        <f t="shared" si="83"/>
        <v>0</v>
      </c>
      <c r="AX68" s="502">
        <f t="shared" si="83"/>
        <v>0.03</v>
      </c>
    </row>
    <row r="69" spans="1:50" ht="12.95" customHeight="1" x14ac:dyDescent="0.25">
      <c r="A69" s="306">
        <v>13</v>
      </c>
      <c r="B69" s="128">
        <v>5492</v>
      </c>
      <c r="C69" s="128">
        <v>691007322</v>
      </c>
      <c r="D69" s="128">
        <v>71294180</v>
      </c>
      <c r="E69" s="554" t="s">
        <v>513</v>
      </c>
      <c r="F69" s="128"/>
      <c r="G69" s="554"/>
      <c r="H69" s="371"/>
      <c r="I69" s="136">
        <v>11779452</v>
      </c>
      <c r="J69" s="240">
        <v>8330756</v>
      </c>
      <c r="K69" s="240">
        <v>229436</v>
      </c>
      <c r="L69" s="240">
        <v>8436</v>
      </c>
      <c r="M69" s="240">
        <v>2890494</v>
      </c>
      <c r="N69" s="240">
        <v>166616</v>
      </c>
      <c r="O69" s="240">
        <v>162150</v>
      </c>
      <c r="P69" s="381">
        <v>15.4032</v>
      </c>
      <c r="Q69" s="381">
        <v>12.3605</v>
      </c>
      <c r="R69" s="397">
        <v>3.0426999999999995</v>
      </c>
      <c r="S69" s="240">
        <f t="shared" ref="S69:AN69" si="84">SUM(S65:S68)</f>
        <v>0</v>
      </c>
      <c r="T69" s="116">
        <f t="shared" si="84"/>
        <v>0</v>
      </c>
      <c r="U69" s="116">
        <f t="shared" si="84"/>
        <v>0</v>
      </c>
      <c r="V69" s="116">
        <f t="shared" si="84"/>
        <v>0</v>
      </c>
      <c r="W69" s="116">
        <f t="shared" si="84"/>
        <v>0</v>
      </c>
      <c r="X69" s="116">
        <f t="shared" si="84"/>
        <v>0</v>
      </c>
      <c r="Y69" s="116">
        <f t="shared" si="84"/>
        <v>0</v>
      </c>
      <c r="Z69" s="116">
        <f t="shared" si="84"/>
        <v>0</v>
      </c>
      <c r="AA69" s="116">
        <f t="shared" si="84"/>
        <v>0</v>
      </c>
      <c r="AB69" s="116">
        <f t="shared" si="84"/>
        <v>0</v>
      </c>
      <c r="AC69" s="116">
        <f t="shared" si="84"/>
        <v>0</v>
      </c>
      <c r="AD69" s="116">
        <f t="shared" si="84"/>
        <v>0</v>
      </c>
      <c r="AE69" s="116">
        <f t="shared" si="84"/>
        <v>0</v>
      </c>
      <c r="AF69" s="116">
        <f t="shared" si="84"/>
        <v>0</v>
      </c>
      <c r="AG69" s="303">
        <f t="shared" si="84"/>
        <v>0</v>
      </c>
      <c r="AH69" s="303">
        <f t="shared" si="84"/>
        <v>0</v>
      </c>
      <c r="AI69" s="303">
        <f t="shared" si="84"/>
        <v>0</v>
      </c>
      <c r="AJ69" s="303">
        <f t="shared" si="84"/>
        <v>0</v>
      </c>
      <c r="AK69" s="303">
        <f t="shared" si="84"/>
        <v>0</v>
      </c>
      <c r="AL69" s="303">
        <f t="shared" si="84"/>
        <v>0</v>
      </c>
      <c r="AM69" s="303">
        <f t="shared" si="84"/>
        <v>0</v>
      </c>
      <c r="AN69" s="390">
        <f t="shared" si="84"/>
        <v>0</v>
      </c>
      <c r="AO69" s="136">
        <f t="shared" ref="AO69:AX69" si="85">SUM(AO65:AO68)</f>
        <v>11779452</v>
      </c>
      <c r="AP69" s="116">
        <f t="shared" si="85"/>
        <v>8330756</v>
      </c>
      <c r="AQ69" s="116">
        <f t="shared" si="85"/>
        <v>229436</v>
      </c>
      <c r="AR69" s="116">
        <f t="shared" si="85"/>
        <v>8436</v>
      </c>
      <c r="AS69" s="116">
        <f t="shared" si="85"/>
        <v>2890494</v>
      </c>
      <c r="AT69" s="116">
        <f t="shared" si="85"/>
        <v>166616</v>
      </c>
      <c r="AU69" s="116">
        <f t="shared" si="85"/>
        <v>162150</v>
      </c>
      <c r="AV69" s="303">
        <f t="shared" si="85"/>
        <v>15.4032</v>
      </c>
      <c r="AW69" s="303">
        <f t="shared" si="85"/>
        <v>12.3605</v>
      </c>
      <c r="AX69" s="304">
        <f t="shared" si="85"/>
        <v>3.0426999999999995</v>
      </c>
    </row>
    <row r="70" spans="1:50" ht="12.95" customHeight="1" x14ac:dyDescent="0.25">
      <c r="A70" s="305">
        <v>14</v>
      </c>
      <c r="B70" s="551">
        <v>5457</v>
      </c>
      <c r="C70" s="551">
        <v>600099377</v>
      </c>
      <c r="D70" s="551">
        <v>855049</v>
      </c>
      <c r="E70" s="552" t="s">
        <v>514</v>
      </c>
      <c r="F70" s="551">
        <v>3113</v>
      </c>
      <c r="G70" s="552" t="s">
        <v>335</v>
      </c>
      <c r="H70" s="494" t="s">
        <v>283</v>
      </c>
      <c r="I70" s="495">
        <v>34842792</v>
      </c>
      <c r="J70" s="496">
        <v>24628487</v>
      </c>
      <c r="K70" s="496">
        <v>176898</v>
      </c>
      <c r="L70" s="496">
        <v>83028</v>
      </c>
      <c r="M70" s="411">
        <v>8308837</v>
      </c>
      <c r="N70" s="411">
        <v>492570</v>
      </c>
      <c r="O70" s="496">
        <v>1236000</v>
      </c>
      <c r="P70" s="497">
        <v>45.926200000000001</v>
      </c>
      <c r="Q70" s="412">
        <v>36.083100000000002</v>
      </c>
      <c r="R70" s="498">
        <v>9.8430999999999997</v>
      </c>
      <c r="S70" s="499">
        <f t="shared" si="16"/>
        <v>0</v>
      </c>
      <c r="T70" s="486">
        <v>0</v>
      </c>
      <c r="U70" s="486">
        <v>0</v>
      </c>
      <c r="V70" s="486">
        <f t="shared" ref="V70:V75" si="86">SUM(S70:U70)</f>
        <v>0</v>
      </c>
      <c r="W70" s="486">
        <v>0</v>
      </c>
      <c r="X70" s="486">
        <v>0</v>
      </c>
      <c r="Y70" s="486">
        <f t="shared" ref="Y70:Y75" si="87">SUM(W70:X70)</f>
        <v>0</v>
      </c>
      <c r="Z70" s="486">
        <f t="shared" ref="Z70:Z75" si="88">V70+Y70</f>
        <v>0</v>
      </c>
      <c r="AA70" s="319">
        <f t="shared" ref="AA70:AA75" si="89">ROUND((V70+W70)*33.8%,0)</f>
        <v>0</v>
      </c>
      <c r="AB70" s="178">
        <f t="shared" ref="AB70:AB75" si="90">ROUND(V70*2%,0)</f>
        <v>0</v>
      </c>
      <c r="AC70" s="486">
        <v>0</v>
      </c>
      <c r="AD70" s="486">
        <v>0</v>
      </c>
      <c r="AE70" s="486">
        <f t="shared" si="5"/>
        <v>0</v>
      </c>
      <c r="AF70" s="486">
        <f t="shared" si="14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ref="AL70:AL75" si="91">AG70+AI70+AJ70</f>
        <v>0</v>
      </c>
      <c r="AM70" s="501">
        <f t="shared" ref="AM70:AM75" si="92">AH70+AK70</f>
        <v>0</v>
      </c>
      <c r="AN70" s="529">
        <f t="shared" si="15"/>
        <v>0</v>
      </c>
      <c r="AO70" s="530">
        <f t="shared" ref="AO70:AO75" si="93">I70+AF70</f>
        <v>34842792</v>
      </c>
      <c r="AP70" s="486">
        <f t="shared" ref="AP70:AP75" si="94">J70+V70</f>
        <v>24628487</v>
      </c>
      <c r="AQ70" s="486">
        <f t="shared" ref="AQ70:AQ75" si="95">K70+Y70</f>
        <v>176898</v>
      </c>
      <c r="AR70" s="480">
        <f t="shared" ref="AR70:AR75" si="96">L70</f>
        <v>83028</v>
      </c>
      <c r="AS70" s="486">
        <f t="shared" ref="AS70:AT75" si="97">M70+AA70</f>
        <v>8308837</v>
      </c>
      <c r="AT70" s="486">
        <f t="shared" si="97"/>
        <v>492570</v>
      </c>
      <c r="AU70" s="486">
        <f t="shared" ref="AU70:AU75" si="98">O70+AE70</f>
        <v>1236000</v>
      </c>
      <c r="AV70" s="501">
        <f t="shared" ref="AV70:AV75" si="99">P70+AN70</f>
        <v>45.926200000000001</v>
      </c>
      <c r="AW70" s="501">
        <f t="shared" ref="AW70:AX75" si="100">Q70+AL70</f>
        <v>36.083100000000002</v>
      </c>
      <c r="AX70" s="502">
        <f t="shared" si="100"/>
        <v>9.8430999999999997</v>
      </c>
    </row>
    <row r="71" spans="1:50" ht="12.95" customHeight="1" x14ac:dyDescent="0.25">
      <c r="A71" s="305">
        <v>14</v>
      </c>
      <c r="B71" s="551">
        <v>5457</v>
      </c>
      <c r="C71" s="551">
        <v>600099377</v>
      </c>
      <c r="D71" s="551">
        <v>855049</v>
      </c>
      <c r="E71" s="556" t="s">
        <v>514</v>
      </c>
      <c r="F71" s="551">
        <v>3113</v>
      </c>
      <c r="G71" s="528" t="s">
        <v>318</v>
      </c>
      <c r="H71" s="494" t="s">
        <v>284</v>
      </c>
      <c r="I71" s="495">
        <v>2582932</v>
      </c>
      <c r="J71" s="496">
        <v>1901276</v>
      </c>
      <c r="K71" s="496">
        <v>0</v>
      </c>
      <c r="L71" s="496">
        <v>0</v>
      </c>
      <c r="M71" s="411">
        <v>642630</v>
      </c>
      <c r="N71" s="411">
        <v>38026</v>
      </c>
      <c r="O71" s="496">
        <v>1000</v>
      </c>
      <c r="P71" s="497">
        <v>4.74</v>
      </c>
      <c r="Q71" s="412">
        <v>4.74</v>
      </c>
      <c r="R71" s="498">
        <v>0</v>
      </c>
      <c r="S71" s="499">
        <f t="shared" si="16"/>
        <v>0</v>
      </c>
      <c r="T71" s="486">
        <v>-1890</v>
      </c>
      <c r="U71" s="486">
        <v>0</v>
      </c>
      <c r="V71" s="486">
        <f t="shared" si="86"/>
        <v>-1890</v>
      </c>
      <c r="W71" s="486">
        <v>0</v>
      </c>
      <c r="X71" s="486">
        <v>0</v>
      </c>
      <c r="Y71" s="486">
        <f t="shared" si="87"/>
        <v>0</v>
      </c>
      <c r="Z71" s="486">
        <f t="shared" si="88"/>
        <v>-1890</v>
      </c>
      <c r="AA71" s="319">
        <f t="shared" si="89"/>
        <v>-639</v>
      </c>
      <c r="AB71" s="178">
        <f t="shared" si="90"/>
        <v>-38</v>
      </c>
      <c r="AC71" s="486">
        <v>0</v>
      </c>
      <c r="AD71" s="486">
        <v>0</v>
      </c>
      <c r="AE71" s="486">
        <f t="shared" si="5"/>
        <v>0</v>
      </c>
      <c r="AF71" s="486">
        <f t="shared" si="14"/>
        <v>-2567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91"/>
        <v>0</v>
      </c>
      <c r="AM71" s="501">
        <f t="shared" si="92"/>
        <v>0</v>
      </c>
      <c r="AN71" s="529">
        <f t="shared" si="15"/>
        <v>0</v>
      </c>
      <c r="AO71" s="530">
        <f t="shared" si="93"/>
        <v>2580365</v>
      </c>
      <c r="AP71" s="486">
        <f t="shared" si="94"/>
        <v>1899386</v>
      </c>
      <c r="AQ71" s="486">
        <f t="shared" si="95"/>
        <v>0</v>
      </c>
      <c r="AR71" s="480">
        <f t="shared" si="96"/>
        <v>0</v>
      </c>
      <c r="AS71" s="486">
        <f t="shared" si="97"/>
        <v>641991</v>
      </c>
      <c r="AT71" s="486">
        <f t="shared" si="97"/>
        <v>37988</v>
      </c>
      <c r="AU71" s="486">
        <f t="shared" si="98"/>
        <v>1000</v>
      </c>
      <c r="AV71" s="501">
        <f t="shared" si="99"/>
        <v>4.74</v>
      </c>
      <c r="AW71" s="501">
        <f t="shared" si="100"/>
        <v>4.74</v>
      </c>
      <c r="AX71" s="502">
        <f t="shared" si="100"/>
        <v>0</v>
      </c>
    </row>
    <row r="72" spans="1:50" ht="12.95" customHeight="1" x14ac:dyDescent="0.25">
      <c r="A72" s="305">
        <v>14</v>
      </c>
      <c r="B72" s="549">
        <v>5457</v>
      </c>
      <c r="C72" s="549">
        <v>600099377</v>
      </c>
      <c r="D72" s="549">
        <v>855049</v>
      </c>
      <c r="E72" s="550" t="s">
        <v>514</v>
      </c>
      <c r="F72" s="549">
        <v>3141</v>
      </c>
      <c r="G72" s="553" t="s">
        <v>321</v>
      </c>
      <c r="H72" s="494" t="s">
        <v>284</v>
      </c>
      <c r="I72" s="495">
        <v>1162018</v>
      </c>
      <c r="J72" s="496">
        <v>841972</v>
      </c>
      <c r="K72" s="496">
        <v>0</v>
      </c>
      <c r="L72" s="496">
        <v>0</v>
      </c>
      <c r="M72" s="411">
        <v>284587</v>
      </c>
      <c r="N72" s="411">
        <v>16839</v>
      </c>
      <c r="O72" s="496">
        <v>18620</v>
      </c>
      <c r="P72" s="497">
        <v>2.86</v>
      </c>
      <c r="Q72" s="412">
        <v>0</v>
      </c>
      <c r="R72" s="498">
        <v>2.86</v>
      </c>
      <c r="S72" s="499">
        <f t="shared" si="16"/>
        <v>0</v>
      </c>
      <c r="T72" s="486">
        <v>0</v>
      </c>
      <c r="U72" s="486">
        <v>0</v>
      </c>
      <c r="V72" s="486">
        <f t="shared" si="86"/>
        <v>0</v>
      </c>
      <c r="W72" s="486">
        <v>0</v>
      </c>
      <c r="X72" s="486">
        <v>0</v>
      </c>
      <c r="Y72" s="486">
        <f t="shared" si="87"/>
        <v>0</v>
      </c>
      <c r="Z72" s="486">
        <f t="shared" si="88"/>
        <v>0</v>
      </c>
      <c r="AA72" s="319">
        <f t="shared" si="89"/>
        <v>0</v>
      </c>
      <c r="AB72" s="178">
        <f t="shared" si="90"/>
        <v>0</v>
      </c>
      <c r="AC72" s="486">
        <v>0</v>
      </c>
      <c r="AD72" s="486">
        <v>0</v>
      </c>
      <c r="AE72" s="486">
        <f t="shared" si="5"/>
        <v>0</v>
      </c>
      <c r="AF72" s="486">
        <f t="shared" si="14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91"/>
        <v>0</v>
      </c>
      <c r="AM72" s="501">
        <f t="shared" si="92"/>
        <v>0</v>
      </c>
      <c r="AN72" s="529">
        <f t="shared" si="15"/>
        <v>0</v>
      </c>
      <c r="AO72" s="530">
        <f t="shared" si="93"/>
        <v>1162018</v>
      </c>
      <c r="AP72" s="486">
        <f t="shared" si="94"/>
        <v>841972</v>
      </c>
      <c r="AQ72" s="486">
        <f t="shared" si="95"/>
        <v>0</v>
      </c>
      <c r="AR72" s="480">
        <f t="shared" si="96"/>
        <v>0</v>
      </c>
      <c r="AS72" s="486">
        <f t="shared" si="97"/>
        <v>284587</v>
      </c>
      <c r="AT72" s="486">
        <f t="shared" si="97"/>
        <v>16839</v>
      </c>
      <c r="AU72" s="486">
        <f t="shared" si="98"/>
        <v>18620</v>
      </c>
      <c r="AV72" s="501">
        <f t="shared" si="99"/>
        <v>2.86</v>
      </c>
      <c r="AW72" s="501">
        <f t="shared" si="100"/>
        <v>0</v>
      </c>
      <c r="AX72" s="502">
        <f t="shared" si="100"/>
        <v>2.86</v>
      </c>
    </row>
    <row r="73" spans="1:50" ht="12.95" customHeight="1" x14ac:dyDescent="0.25">
      <c r="A73" s="305">
        <v>14</v>
      </c>
      <c r="B73" s="551">
        <v>5457</v>
      </c>
      <c r="C73" s="551">
        <v>600099377</v>
      </c>
      <c r="D73" s="551">
        <v>855049</v>
      </c>
      <c r="E73" s="552" t="s">
        <v>514</v>
      </c>
      <c r="F73" s="551">
        <v>3143</v>
      </c>
      <c r="G73" s="528" t="s">
        <v>634</v>
      </c>
      <c r="H73" s="494" t="s">
        <v>283</v>
      </c>
      <c r="I73" s="495">
        <v>3043021</v>
      </c>
      <c r="J73" s="496">
        <v>2240811</v>
      </c>
      <c r="K73" s="496">
        <v>0</v>
      </c>
      <c r="L73" s="496">
        <v>0</v>
      </c>
      <c r="M73" s="411">
        <v>757394</v>
      </c>
      <c r="N73" s="411">
        <v>44816</v>
      </c>
      <c r="O73" s="496">
        <v>0</v>
      </c>
      <c r="P73" s="497">
        <v>4.8882000000000003</v>
      </c>
      <c r="Q73" s="412">
        <v>4.8882000000000003</v>
      </c>
      <c r="R73" s="498">
        <v>0</v>
      </c>
      <c r="S73" s="499">
        <f t="shared" si="16"/>
        <v>0</v>
      </c>
      <c r="T73" s="486">
        <v>0</v>
      </c>
      <c r="U73" s="486">
        <v>0</v>
      </c>
      <c r="V73" s="486">
        <f t="shared" si="86"/>
        <v>0</v>
      </c>
      <c r="W73" s="486">
        <v>0</v>
      </c>
      <c r="X73" s="486">
        <v>0</v>
      </c>
      <c r="Y73" s="486">
        <f t="shared" si="87"/>
        <v>0</v>
      </c>
      <c r="Z73" s="486">
        <f t="shared" si="88"/>
        <v>0</v>
      </c>
      <c r="AA73" s="319">
        <f t="shared" si="89"/>
        <v>0</v>
      </c>
      <c r="AB73" s="178">
        <f t="shared" si="90"/>
        <v>0</v>
      </c>
      <c r="AC73" s="486">
        <v>0</v>
      </c>
      <c r="AD73" s="486">
        <v>0</v>
      </c>
      <c r="AE73" s="486">
        <f t="shared" si="5"/>
        <v>0</v>
      </c>
      <c r="AF73" s="486">
        <f t="shared" si="14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91"/>
        <v>0</v>
      </c>
      <c r="AM73" s="501">
        <f t="shared" si="92"/>
        <v>0</v>
      </c>
      <c r="AN73" s="529">
        <f t="shared" si="15"/>
        <v>0</v>
      </c>
      <c r="AO73" s="530">
        <f t="shared" si="93"/>
        <v>3043021</v>
      </c>
      <c r="AP73" s="486">
        <f t="shared" si="94"/>
        <v>2240811</v>
      </c>
      <c r="AQ73" s="486">
        <f t="shared" si="95"/>
        <v>0</v>
      </c>
      <c r="AR73" s="480">
        <f t="shared" si="96"/>
        <v>0</v>
      </c>
      <c r="AS73" s="486">
        <f t="shared" si="97"/>
        <v>757394</v>
      </c>
      <c r="AT73" s="486">
        <f t="shared" si="97"/>
        <v>44816</v>
      </c>
      <c r="AU73" s="486">
        <f t="shared" si="98"/>
        <v>0</v>
      </c>
      <c r="AV73" s="501">
        <f t="shared" si="99"/>
        <v>4.8882000000000003</v>
      </c>
      <c r="AW73" s="501">
        <f t="shared" si="100"/>
        <v>4.8882000000000003</v>
      </c>
      <c r="AX73" s="502">
        <f t="shared" si="100"/>
        <v>0</v>
      </c>
    </row>
    <row r="74" spans="1:50" ht="12.95" customHeight="1" x14ac:dyDescent="0.25">
      <c r="A74" s="305">
        <v>14</v>
      </c>
      <c r="B74" s="551">
        <v>5457</v>
      </c>
      <c r="C74" s="551">
        <v>600099377</v>
      </c>
      <c r="D74" s="551">
        <v>855049</v>
      </c>
      <c r="E74" s="552" t="s">
        <v>514</v>
      </c>
      <c r="F74" s="551">
        <v>3143</v>
      </c>
      <c r="G74" s="528" t="s">
        <v>635</v>
      </c>
      <c r="H74" s="494" t="s">
        <v>284</v>
      </c>
      <c r="I74" s="495">
        <v>101119</v>
      </c>
      <c r="J74" s="496">
        <v>71280</v>
      </c>
      <c r="K74" s="496">
        <v>0</v>
      </c>
      <c r="L74" s="496">
        <v>0</v>
      </c>
      <c r="M74" s="411">
        <v>24093</v>
      </c>
      <c r="N74" s="411">
        <v>1426</v>
      </c>
      <c r="O74" s="496">
        <v>4320</v>
      </c>
      <c r="P74" s="497">
        <v>0.3</v>
      </c>
      <c r="Q74" s="412">
        <v>0</v>
      </c>
      <c r="R74" s="498">
        <v>0.3</v>
      </c>
      <c r="S74" s="499">
        <f t="shared" si="16"/>
        <v>0</v>
      </c>
      <c r="T74" s="486">
        <v>0</v>
      </c>
      <c r="U74" s="486">
        <v>0</v>
      </c>
      <c r="V74" s="486">
        <f t="shared" si="86"/>
        <v>0</v>
      </c>
      <c r="W74" s="486">
        <v>0</v>
      </c>
      <c r="X74" s="486">
        <v>0</v>
      </c>
      <c r="Y74" s="486">
        <f t="shared" si="87"/>
        <v>0</v>
      </c>
      <c r="Z74" s="486">
        <f t="shared" si="88"/>
        <v>0</v>
      </c>
      <c r="AA74" s="319">
        <f t="shared" si="89"/>
        <v>0</v>
      </c>
      <c r="AB74" s="178">
        <f t="shared" si="90"/>
        <v>0</v>
      </c>
      <c r="AC74" s="486">
        <v>0</v>
      </c>
      <c r="AD74" s="486">
        <v>0</v>
      </c>
      <c r="AE74" s="486">
        <f t="shared" si="5"/>
        <v>0</v>
      </c>
      <c r="AF74" s="486">
        <f t="shared" si="14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91"/>
        <v>0</v>
      </c>
      <c r="AM74" s="501">
        <f t="shared" si="92"/>
        <v>0</v>
      </c>
      <c r="AN74" s="529">
        <f t="shared" si="15"/>
        <v>0</v>
      </c>
      <c r="AO74" s="530">
        <f t="shared" si="93"/>
        <v>101119</v>
      </c>
      <c r="AP74" s="486">
        <f t="shared" si="94"/>
        <v>71280</v>
      </c>
      <c r="AQ74" s="486">
        <f t="shared" si="95"/>
        <v>0</v>
      </c>
      <c r="AR74" s="480">
        <f t="shared" si="96"/>
        <v>0</v>
      </c>
      <c r="AS74" s="486">
        <f t="shared" si="97"/>
        <v>24093</v>
      </c>
      <c r="AT74" s="486">
        <f t="shared" si="97"/>
        <v>1426</v>
      </c>
      <c r="AU74" s="486">
        <f t="shared" si="98"/>
        <v>4320</v>
      </c>
      <c r="AV74" s="501">
        <f t="shared" si="99"/>
        <v>0.3</v>
      </c>
      <c r="AW74" s="501">
        <f t="shared" si="100"/>
        <v>0</v>
      </c>
      <c r="AX74" s="502">
        <f t="shared" si="100"/>
        <v>0.3</v>
      </c>
    </row>
    <row r="75" spans="1:50" ht="12.95" customHeight="1" x14ac:dyDescent="0.25">
      <c r="A75" s="305">
        <v>14</v>
      </c>
      <c r="B75" s="551">
        <v>5457</v>
      </c>
      <c r="C75" s="551">
        <v>600099377</v>
      </c>
      <c r="D75" s="551">
        <v>855049</v>
      </c>
      <c r="E75" s="556" t="s">
        <v>514</v>
      </c>
      <c r="F75" s="551">
        <v>3143</v>
      </c>
      <c r="G75" s="528" t="s">
        <v>323</v>
      </c>
      <c r="H75" s="494" t="s">
        <v>284</v>
      </c>
      <c r="I75" s="495">
        <v>583196</v>
      </c>
      <c r="J75" s="496">
        <v>426801</v>
      </c>
      <c r="K75" s="496">
        <v>0</v>
      </c>
      <c r="L75" s="496">
        <v>0</v>
      </c>
      <c r="M75" s="411">
        <v>144259</v>
      </c>
      <c r="N75" s="411">
        <v>8536</v>
      </c>
      <c r="O75" s="496">
        <v>3600</v>
      </c>
      <c r="P75" s="497">
        <v>1.04</v>
      </c>
      <c r="Q75" s="412">
        <v>0.79</v>
      </c>
      <c r="R75" s="498">
        <v>0.25</v>
      </c>
      <c r="S75" s="499">
        <f t="shared" si="16"/>
        <v>0</v>
      </c>
      <c r="T75" s="486">
        <v>0</v>
      </c>
      <c r="U75" s="486">
        <v>0</v>
      </c>
      <c r="V75" s="486">
        <f t="shared" si="86"/>
        <v>0</v>
      </c>
      <c r="W75" s="486">
        <v>0</v>
      </c>
      <c r="X75" s="486">
        <v>0</v>
      </c>
      <c r="Y75" s="486">
        <f t="shared" si="87"/>
        <v>0</v>
      </c>
      <c r="Z75" s="486">
        <f t="shared" si="88"/>
        <v>0</v>
      </c>
      <c r="AA75" s="319">
        <f t="shared" si="89"/>
        <v>0</v>
      </c>
      <c r="AB75" s="178">
        <f t="shared" si="90"/>
        <v>0</v>
      </c>
      <c r="AC75" s="486">
        <v>0</v>
      </c>
      <c r="AD75" s="486">
        <v>0</v>
      </c>
      <c r="AE75" s="486">
        <f t="shared" si="5"/>
        <v>0</v>
      </c>
      <c r="AF75" s="486">
        <f t="shared" si="14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91"/>
        <v>0</v>
      </c>
      <c r="AM75" s="501">
        <f t="shared" si="92"/>
        <v>0</v>
      </c>
      <c r="AN75" s="529">
        <f t="shared" si="15"/>
        <v>0</v>
      </c>
      <c r="AO75" s="530">
        <f t="shared" si="93"/>
        <v>583196</v>
      </c>
      <c r="AP75" s="486">
        <f t="shared" si="94"/>
        <v>426801</v>
      </c>
      <c r="AQ75" s="486">
        <f t="shared" si="95"/>
        <v>0</v>
      </c>
      <c r="AR75" s="480">
        <f t="shared" si="96"/>
        <v>0</v>
      </c>
      <c r="AS75" s="486">
        <f t="shared" si="97"/>
        <v>144259</v>
      </c>
      <c r="AT75" s="486">
        <f t="shared" si="97"/>
        <v>8536</v>
      </c>
      <c r="AU75" s="486">
        <f t="shared" si="98"/>
        <v>3600</v>
      </c>
      <c r="AV75" s="501">
        <f t="shared" si="99"/>
        <v>1.04</v>
      </c>
      <c r="AW75" s="501">
        <f t="shared" si="100"/>
        <v>0.79</v>
      </c>
      <c r="AX75" s="502">
        <f t="shared" si="100"/>
        <v>0.25</v>
      </c>
    </row>
    <row r="76" spans="1:50" ht="12.95" customHeight="1" x14ac:dyDescent="0.25">
      <c r="A76" s="306">
        <v>14</v>
      </c>
      <c r="B76" s="135">
        <v>5457</v>
      </c>
      <c r="C76" s="135">
        <v>600099377</v>
      </c>
      <c r="D76" s="135">
        <v>855049</v>
      </c>
      <c r="E76" s="554" t="s">
        <v>515</v>
      </c>
      <c r="F76" s="135"/>
      <c r="G76" s="564"/>
      <c r="H76" s="375"/>
      <c r="I76" s="129">
        <v>42315078</v>
      </c>
      <c r="J76" s="238">
        <v>30110627</v>
      </c>
      <c r="K76" s="238">
        <v>176898</v>
      </c>
      <c r="L76" s="238">
        <v>83028</v>
      </c>
      <c r="M76" s="238">
        <v>10161800</v>
      </c>
      <c r="N76" s="238">
        <v>602213</v>
      </c>
      <c r="O76" s="238">
        <v>1263540</v>
      </c>
      <c r="P76" s="378">
        <v>59.754399999999997</v>
      </c>
      <c r="Q76" s="378">
        <v>46.501300000000001</v>
      </c>
      <c r="R76" s="394">
        <v>13.2531</v>
      </c>
      <c r="S76" s="238">
        <f t="shared" ref="S76:AN76" si="101">SUM(S70:S75)</f>
        <v>0</v>
      </c>
      <c r="T76" s="168">
        <f t="shared" si="101"/>
        <v>-1890</v>
      </c>
      <c r="U76" s="168">
        <f t="shared" si="101"/>
        <v>0</v>
      </c>
      <c r="V76" s="168">
        <f t="shared" si="101"/>
        <v>-1890</v>
      </c>
      <c r="W76" s="168">
        <f t="shared" si="101"/>
        <v>0</v>
      </c>
      <c r="X76" s="168">
        <f t="shared" si="101"/>
        <v>0</v>
      </c>
      <c r="Y76" s="168">
        <f t="shared" si="101"/>
        <v>0</v>
      </c>
      <c r="Z76" s="168">
        <f t="shared" si="101"/>
        <v>-1890</v>
      </c>
      <c r="AA76" s="168">
        <f t="shared" si="101"/>
        <v>-639</v>
      </c>
      <c r="AB76" s="168">
        <f t="shared" si="101"/>
        <v>-38</v>
      </c>
      <c r="AC76" s="168">
        <f t="shared" si="101"/>
        <v>0</v>
      </c>
      <c r="AD76" s="168">
        <f t="shared" si="101"/>
        <v>0</v>
      </c>
      <c r="AE76" s="168">
        <f t="shared" si="101"/>
        <v>0</v>
      </c>
      <c r="AF76" s="168">
        <f t="shared" si="101"/>
        <v>-2567</v>
      </c>
      <c r="AG76" s="314">
        <f t="shared" si="101"/>
        <v>0</v>
      </c>
      <c r="AH76" s="314">
        <f t="shared" si="101"/>
        <v>0</v>
      </c>
      <c r="AI76" s="314">
        <f t="shared" si="101"/>
        <v>0</v>
      </c>
      <c r="AJ76" s="314">
        <f t="shared" si="101"/>
        <v>0</v>
      </c>
      <c r="AK76" s="314">
        <f t="shared" si="101"/>
        <v>0</v>
      </c>
      <c r="AL76" s="314">
        <f t="shared" si="101"/>
        <v>0</v>
      </c>
      <c r="AM76" s="314">
        <f t="shared" si="101"/>
        <v>0</v>
      </c>
      <c r="AN76" s="387">
        <f t="shared" si="101"/>
        <v>0</v>
      </c>
      <c r="AO76" s="129">
        <f t="shared" ref="AO76:AX76" si="102">SUM(AO70:AO75)</f>
        <v>42312511</v>
      </c>
      <c r="AP76" s="168">
        <f t="shared" si="102"/>
        <v>30108737</v>
      </c>
      <c r="AQ76" s="168">
        <f t="shared" si="102"/>
        <v>176898</v>
      </c>
      <c r="AR76" s="168">
        <f t="shared" si="102"/>
        <v>83028</v>
      </c>
      <c r="AS76" s="168">
        <f t="shared" si="102"/>
        <v>10161161</v>
      </c>
      <c r="AT76" s="168">
        <f t="shared" si="102"/>
        <v>602175</v>
      </c>
      <c r="AU76" s="168">
        <f t="shared" si="102"/>
        <v>1263540</v>
      </c>
      <c r="AV76" s="314">
        <f t="shared" si="102"/>
        <v>59.754399999999997</v>
      </c>
      <c r="AW76" s="314">
        <f t="shared" si="102"/>
        <v>46.501300000000001</v>
      </c>
      <c r="AX76" s="315">
        <f t="shared" si="102"/>
        <v>13.2531</v>
      </c>
    </row>
    <row r="77" spans="1:50" ht="12.95" customHeight="1" x14ac:dyDescent="0.25">
      <c r="A77" s="305">
        <v>15</v>
      </c>
      <c r="B77" s="551">
        <v>5459</v>
      </c>
      <c r="C77" s="551">
        <v>600099415</v>
      </c>
      <c r="D77" s="551">
        <v>70946086</v>
      </c>
      <c r="E77" s="552" t="s">
        <v>516</v>
      </c>
      <c r="F77" s="551">
        <v>3231</v>
      </c>
      <c r="G77" s="552" t="s">
        <v>516</v>
      </c>
      <c r="H77" s="494" t="s">
        <v>283</v>
      </c>
      <c r="I77" s="495">
        <v>20040698</v>
      </c>
      <c r="J77" s="496">
        <v>14698600</v>
      </c>
      <c r="K77" s="496">
        <v>0</v>
      </c>
      <c r="L77" s="496">
        <v>0</v>
      </c>
      <c r="M77" s="411">
        <v>4968127</v>
      </c>
      <c r="N77" s="411">
        <v>293972</v>
      </c>
      <c r="O77" s="496">
        <v>79999</v>
      </c>
      <c r="P77" s="497">
        <v>28.902799999999999</v>
      </c>
      <c r="Q77" s="412">
        <v>25.6968</v>
      </c>
      <c r="R77" s="498">
        <v>3.206</v>
      </c>
      <c r="S77" s="499">
        <f t="shared" si="16"/>
        <v>0</v>
      </c>
      <c r="T77" s="486">
        <v>0</v>
      </c>
      <c r="U77" s="486">
        <v>-14727</v>
      </c>
      <c r="V77" s="486">
        <f>SUM(S77:U77)</f>
        <v>-14727</v>
      </c>
      <c r="W77" s="486">
        <v>0</v>
      </c>
      <c r="X77" s="486">
        <v>0</v>
      </c>
      <c r="Y77" s="486">
        <f>SUM(W77:X77)</f>
        <v>0</v>
      </c>
      <c r="Z77" s="486">
        <f>V77+Y77</f>
        <v>-14727</v>
      </c>
      <c r="AA77" s="319">
        <f>ROUND((V77+W77)*33.8%,0)</f>
        <v>-4978</v>
      </c>
      <c r="AB77" s="178">
        <f>ROUND(V77*2%,0)</f>
        <v>-295</v>
      </c>
      <c r="AC77" s="486">
        <v>0</v>
      </c>
      <c r="AD77" s="486">
        <v>20000</v>
      </c>
      <c r="AE77" s="486">
        <f t="shared" si="5"/>
        <v>20000</v>
      </c>
      <c r="AF77" s="486">
        <f t="shared" si="14"/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>AG77+AI77+AJ77</f>
        <v>0</v>
      </c>
      <c r="AM77" s="501">
        <f>AH77+AK77</f>
        <v>0</v>
      </c>
      <c r="AN77" s="529">
        <f t="shared" si="15"/>
        <v>0</v>
      </c>
      <c r="AO77" s="530">
        <f>I77+AF77</f>
        <v>20040698</v>
      </c>
      <c r="AP77" s="486">
        <f>J77+V77</f>
        <v>14683873</v>
      </c>
      <c r="AQ77" s="486">
        <f>K77+Y77</f>
        <v>0</v>
      </c>
      <c r="AR77" s="480">
        <f>L77</f>
        <v>0</v>
      </c>
      <c r="AS77" s="486">
        <f>M77+AA77</f>
        <v>4963149</v>
      </c>
      <c r="AT77" s="486">
        <f>N77+AB77</f>
        <v>293677</v>
      </c>
      <c r="AU77" s="486">
        <f>O77+AE77</f>
        <v>99999</v>
      </c>
      <c r="AV77" s="501">
        <f>P77+AN77</f>
        <v>28.902799999999999</v>
      </c>
      <c r="AW77" s="501">
        <f>Q77+AL77</f>
        <v>25.6968</v>
      </c>
      <c r="AX77" s="502">
        <f>R77+AM77</f>
        <v>3.206</v>
      </c>
    </row>
    <row r="78" spans="1:50" ht="12.95" customHeight="1" x14ac:dyDescent="0.25">
      <c r="A78" s="306">
        <v>15</v>
      </c>
      <c r="B78" s="128">
        <v>5459</v>
      </c>
      <c r="C78" s="128">
        <v>600099415</v>
      </c>
      <c r="D78" s="128">
        <v>70946086</v>
      </c>
      <c r="E78" s="554" t="s">
        <v>517</v>
      </c>
      <c r="F78" s="128"/>
      <c r="G78" s="554"/>
      <c r="H78" s="371"/>
      <c r="I78" s="130">
        <v>20040698</v>
      </c>
      <c r="J78" s="141">
        <v>14698600</v>
      </c>
      <c r="K78" s="141">
        <v>0</v>
      </c>
      <c r="L78" s="141">
        <v>0</v>
      </c>
      <c r="M78" s="141">
        <v>4968127</v>
      </c>
      <c r="N78" s="141">
        <v>293972</v>
      </c>
      <c r="O78" s="141">
        <v>79999</v>
      </c>
      <c r="P78" s="379">
        <v>28.902799999999999</v>
      </c>
      <c r="Q78" s="379">
        <v>25.6968</v>
      </c>
      <c r="R78" s="395">
        <v>3.206</v>
      </c>
      <c r="S78" s="141">
        <f t="shared" ref="S78:AN78" si="103">SUM(S77)</f>
        <v>0</v>
      </c>
      <c r="T78" s="87">
        <f t="shared" si="103"/>
        <v>0</v>
      </c>
      <c r="U78" s="87">
        <f t="shared" si="103"/>
        <v>-14727</v>
      </c>
      <c r="V78" s="87">
        <f t="shared" si="103"/>
        <v>-14727</v>
      </c>
      <c r="W78" s="87">
        <f t="shared" si="103"/>
        <v>0</v>
      </c>
      <c r="X78" s="87">
        <f t="shared" si="103"/>
        <v>0</v>
      </c>
      <c r="Y78" s="87">
        <f t="shared" si="103"/>
        <v>0</v>
      </c>
      <c r="Z78" s="87">
        <f t="shared" si="103"/>
        <v>-14727</v>
      </c>
      <c r="AA78" s="87">
        <f t="shared" si="103"/>
        <v>-4978</v>
      </c>
      <c r="AB78" s="87">
        <f t="shared" si="103"/>
        <v>-295</v>
      </c>
      <c r="AC78" s="87">
        <f t="shared" si="103"/>
        <v>0</v>
      </c>
      <c r="AD78" s="87">
        <f t="shared" si="103"/>
        <v>20000</v>
      </c>
      <c r="AE78" s="87">
        <f t="shared" si="103"/>
        <v>20000</v>
      </c>
      <c r="AF78" s="87">
        <f t="shared" si="103"/>
        <v>0</v>
      </c>
      <c r="AG78" s="88">
        <f t="shared" si="103"/>
        <v>0</v>
      </c>
      <c r="AH78" s="88">
        <f t="shared" si="103"/>
        <v>0</v>
      </c>
      <c r="AI78" s="88">
        <f t="shared" si="103"/>
        <v>0</v>
      </c>
      <c r="AJ78" s="88">
        <f t="shared" si="103"/>
        <v>0</v>
      </c>
      <c r="AK78" s="88">
        <f t="shared" si="103"/>
        <v>0</v>
      </c>
      <c r="AL78" s="88">
        <f t="shared" si="103"/>
        <v>0</v>
      </c>
      <c r="AM78" s="88">
        <f t="shared" si="103"/>
        <v>0</v>
      </c>
      <c r="AN78" s="388">
        <f t="shared" si="103"/>
        <v>0</v>
      </c>
      <c r="AO78" s="130">
        <f t="shared" ref="AO78:AX78" si="104">SUM(AO77)</f>
        <v>20040698</v>
      </c>
      <c r="AP78" s="87">
        <f t="shared" si="104"/>
        <v>14683873</v>
      </c>
      <c r="AQ78" s="87">
        <f t="shared" si="104"/>
        <v>0</v>
      </c>
      <c r="AR78" s="87">
        <f t="shared" si="104"/>
        <v>0</v>
      </c>
      <c r="AS78" s="87">
        <f t="shared" si="104"/>
        <v>4963149</v>
      </c>
      <c r="AT78" s="87">
        <f t="shared" si="104"/>
        <v>293677</v>
      </c>
      <c r="AU78" s="87">
        <f t="shared" si="104"/>
        <v>99999</v>
      </c>
      <c r="AV78" s="88">
        <f t="shared" si="104"/>
        <v>28.902799999999999</v>
      </c>
      <c r="AW78" s="88">
        <f t="shared" si="104"/>
        <v>25.6968</v>
      </c>
      <c r="AX78" s="274">
        <f t="shared" si="104"/>
        <v>3.206</v>
      </c>
    </row>
    <row r="79" spans="1:50" ht="12.95" customHeight="1" x14ac:dyDescent="0.25">
      <c r="A79" s="305">
        <v>16</v>
      </c>
      <c r="B79" s="555">
        <v>5482</v>
      </c>
      <c r="C79" s="555">
        <v>600098982</v>
      </c>
      <c r="D79" s="555">
        <v>71006923</v>
      </c>
      <c r="E79" s="552" t="s">
        <v>518</v>
      </c>
      <c r="F79" s="551">
        <v>3111</v>
      </c>
      <c r="G79" s="553" t="s">
        <v>331</v>
      </c>
      <c r="H79" s="494" t="s">
        <v>283</v>
      </c>
      <c r="I79" s="495">
        <v>1519818</v>
      </c>
      <c r="J79" s="496">
        <v>1078953</v>
      </c>
      <c r="K79" s="496">
        <v>0</v>
      </c>
      <c r="L79" s="496">
        <v>0</v>
      </c>
      <c r="M79" s="411">
        <v>364686</v>
      </c>
      <c r="N79" s="411">
        <v>21580</v>
      </c>
      <c r="O79" s="496">
        <v>54599</v>
      </c>
      <c r="P79" s="497">
        <v>2.4464000000000001</v>
      </c>
      <c r="Q79" s="412">
        <v>1.9355</v>
      </c>
      <c r="R79" s="498">
        <v>0.51090000000000002</v>
      </c>
      <c r="S79" s="499">
        <f t="shared" si="16"/>
        <v>0</v>
      </c>
      <c r="T79" s="486">
        <v>0</v>
      </c>
      <c r="U79" s="486">
        <v>0</v>
      </c>
      <c r="V79" s="486">
        <f t="shared" ref="V79:V84" si="105">SUM(S79:U79)</f>
        <v>0</v>
      </c>
      <c r="W79" s="486">
        <v>0</v>
      </c>
      <c r="X79" s="486">
        <v>0</v>
      </c>
      <c r="Y79" s="486">
        <f t="shared" ref="Y79:Y84" si="106">SUM(W79:X79)</f>
        <v>0</v>
      </c>
      <c r="Z79" s="486">
        <f t="shared" ref="Z79:Z84" si="107">V79+Y79</f>
        <v>0</v>
      </c>
      <c r="AA79" s="319">
        <f t="shared" ref="AA79:AA84" si="108">ROUND((V79+W79)*33.8%,0)</f>
        <v>0</v>
      </c>
      <c r="AB79" s="178">
        <f t="shared" ref="AB79:AB84" si="109">ROUND(V79*2%,0)</f>
        <v>0</v>
      </c>
      <c r="AC79" s="486">
        <v>0</v>
      </c>
      <c r="AD79" s="486">
        <v>0</v>
      </c>
      <c r="AE79" s="486">
        <f t="shared" ref="AE79:AE142" si="110">SUM(AC79:AD79)</f>
        <v>0</v>
      </c>
      <c r="AF79" s="486">
        <f t="shared" ref="AF79:AF142" si="111">Z79+AA79+AB79+AE79</f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ref="AL79:AL84" si="112">AG79+AI79+AJ79</f>
        <v>0</v>
      </c>
      <c r="AM79" s="501">
        <f t="shared" ref="AM79:AM84" si="113">AH79+AK79</f>
        <v>0</v>
      </c>
      <c r="AN79" s="529">
        <f t="shared" ref="AN79:AN142" si="114">SUM(AL79:AM79)</f>
        <v>0</v>
      </c>
      <c r="AO79" s="530">
        <f t="shared" ref="AO79:AO84" si="115">I79+AF79</f>
        <v>1519818</v>
      </c>
      <c r="AP79" s="486">
        <f t="shared" ref="AP79:AP84" si="116">J79+V79</f>
        <v>1078953</v>
      </c>
      <c r="AQ79" s="486">
        <f t="shared" ref="AQ79:AQ84" si="117">K79+Y79</f>
        <v>0</v>
      </c>
      <c r="AR79" s="480">
        <f t="shared" ref="AR79:AR84" si="118">L79</f>
        <v>0</v>
      </c>
      <c r="AS79" s="486">
        <f t="shared" ref="AS79:AT84" si="119">M79+AA79</f>
        <v>364686</v>
      </c>
      <c r="AT79" s="486">
        <f t="shared" si="119"/>
        <v>21580</v>
      </c>
      <c r="AU79" s="486">
        <f t="shared" ref="AU79:AU84" si="120">O79+AE79</f>
        <v>54599</v>
      </c>
      <c r="AV79" s="501">
        <f t="shared" ref="AV79:AV84" si="121">P79+AN79</f>
        <v>2.4464000000000001</v>
      </c>
      <c r="AW79" s="501">
        <f t="shared" ref="AW79:AX84" si="122">Q79+AL79</f>
        <v>1.9355</v>
      </c>
      <c r="AX79" s="502">
        <f t="shared" si="122"/>
        <v>0.51090000000000002</v>
      </c>
    </row>
    <row r="80" spans="1:50" ht="12.95" customHeight="1" x14ac:dyDescent="0.25">
      <c r="A80" s="305">
        <v>16</v>
      </c>
      <c r="B80" s="551">
        <v>5482</v>
      </c>
      <c r="C80" s="551">
        <v>600098982</v>
      </c>
      <c r="D80" s="551">
        <v>71006923</v>
      </c>
      <c r="E80" s="552" t="s">
        <v>518</v>
      </c>
      <c r="F80" s="551">
        <v>3117</v>
      </c>
      <c r="G80" s="552" t="s">
        <v>335</v>
      </c>
      <c r="H80" s="494" t="s">
        <v>283</v>
      </c>
      <c r="I80" s="495">
        <v>3680521</v>
      </c>
      <c r="J80" s="496">
        <v>2619845</v>
      </c>
      <c r="K80" s="496">
        <v>5772</v>
      </c>
      <c r="L80" s="496">
        <v>5772</v>
      </c>
      <c r="M80" s="411">
        <v>885508</v>
      </c>
      <c r="N80" s="411">
        <v>52396</v>
      </c>
      <c r="O80" s="496">
        <v>117000</v>
      </c>
      <c r="P80" s="497">
        <v>4.9872000000000005</v>
      </c>
      <c r="Q80" s="412">
        <v>3.3572000000000002</v>
      </c>
      <c r="R80" s="498">
        <v>1.6300000000000001</v>
      </c>
      <c r="S80" s="499">
        <f t="shared" ref="S80:S84" si="123">W80*-1</f>
        <v>0</v>
      </c>
      <c r="T80" s="486">
        <v>0</v>
      </c>
      <c r="U80" s="486">
        <v>0</v>
      </c>
      <c r="V80" s="486">
        <f t="shared" si="105"/>
        <v>0</v>
      </c>
      <c r="W80" s="486">
        <v>0</v>
      </c>
      <c r="X80" s="486">
        <v>0</v>
      </c>
      <c r="Y80" s="486">
        <f t="shared" si="106"/>
        <v>0</v>
      </c>
      <c r="Z80" s="486">
        <f t="shared" si="107"/>
        <v>0</v>
      </c>
      <c r="AA80" s="319">
        <f t="shared" si="108"/>
        <v>0</v>
      </c>
      <c r="AB80" s="178">
        <f t="shared" si="109"/>
        <v>0</v>
      </c>
      <c r="AC80" s="486">
        <v>0</v>
      </c>
      <c r="AD80" s="486">
        <v>0</v>
      </c>
      <c r="AE80" s="486">
        <f t="shared" si="110"/>
        <v>0</v>
      </c>
      <c r="AF80" s="486">
        <f t="shared" si="111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12"/>
        <v>0</v>
      </c>
      <c r="AM80" s="501">
        <f t="shared" si="113"/>
        <v>0</v>
      </c>
      <c r="AN80" s="529">
        <f t="shared" si="114"/>
        <v>0</v>
      </c>
      <c r="AO80" s="530">
        <f t="shared" si="115"/>
        <v>3680521</v>
      </c>
      <c r="AP80" s="486">
        <f t="shared" si="116"/>
        <v>2619845</v>
      </c>
      <c r="AQ80" s="486">
        <f t="shared" si="117"/>
        <v>5772</v>
      </c>
      <c r="AR80" s="480">
        <f t="shared" si="118"/>
        <v>5772</v>
      </c>
      <c r="AS80" s="486">
        <f t="shared" si="119"/>
        <v>885508</v>
      </c>
      <c r="AT80" s="486">
        <f t="shared" si="119"/>
        <v>52396</v>
      </c>
      <c r="AU80" s="486">
        <f t="shared" si="120"/>
        <v>117000</v>
      </c>
      <c r="AV80" s="501">
        <f t="shared" si="121"/>
        <v>4.9872000000000005</v>
      </c>
      <c r="AW80" s="501">
        <f t="shared" si="122"/>
        <v>3.3572000000000002</v>
      </c>
      <c r="AX80" s="502">
        <f t="shared" si="122"/>
        <v>1.6300000000000001</v>
      </c>
    </row>
    <row r="81" spans="1:50" ht="12.95" customHeight="1" x14ac:dyDescent="0.25">
      <c r="A81" s="305">
        <v>16</v>
      </c>
      <c r="B81" s="551">
        <v>5482</v>
      </c>
      <c r="C81" s="551">
        <v>600098982</v>
      </c>
      <c r="D81" s="551">
        <v>71006923</v>
      </c>
      <c r="E81" s="552" t="s">
        <v>518</v>
      </c>
      <c r="F81" s="551">
        <v>3117</v>
      </c>
      <c r="G81" s="528" t="s">
        <v>318</v>
      </c>
      <c r="H81" s="494" t="s">
        <v>284</v>
      </c>
      <c r="I81" s="495">
        <v>0</v>
      </c>
      <c r="J81" s="496">
        <v>0</v>
      </c>
      <c r="K81" s="496">
        <v>0</v>
      </c>
      <c r="L81" s="496">
        <v>0</v>
      </c>
      <c r="M81" s="411">
        <v>0</v>
      </c>
      <c r="N81" s="411">
        <v>0</v>
      </c>
      <c r="O81" s="496">
        <v>0</v>
      </c>
      <c r="P81" s="497">
        <v>0</v>
      </c>
      <c r="Q81" s="412">
        <v>0</v>
      </c>
      <c r="R81" s="498">
        <v>0</v>
      </c>
      <c r="S81" s="499">
        <f t="shared" si="123"/>
        <v>0</v>
      </c>
      <c r="T81" s="486">
        <v>0</v>
      </c>
      <c r="U81" s="486">
        <v>0</v>
      </c>
      <c r="V81" s="486">
        <f t="shared" si="105"/>
        <v>0</v>
      </c>
      <c r="W81" s="486">
        <v>0</v>
      </c>
      <c r="X81" s="486">
        <v>0</v>
      </c>
      <c r="Y81" s="486">
        <f t="shared" si="106"/>
        <v>0</v>
      </c>
      <c r="Z81" s="486">
        <f t="shared" si="107"/>
        <v>0</v>
      </c>
      <c r="AA81" s="319">
        <f t="shared" si="108"/>
        <v>0</v>
      </c>
      <c r="AB81" s="178">
        <f t="shared" si="109"/>
        <v>0</v>
      </c>
      <c r="AC81" s="486">
        <v>0</v>
      </c>
      <c r="AD81" s="486">
        <v>0</v>
      </c>
      <c r="AE81" s="486">
        <f t="shared" si="110"/>
        <v>0</v>
      </c>
      <c r="AF81" s="486">
        <f t="shared" si="111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112"/>
        <v>0</v>
      </c>
      <c r="AM81" s="501">
        <f t="shared" si="113"/>
        <v>0</v>
      </c>
      <c r="AN81" s="529">
        <f t="shared" si="114"/>
        <v>0</v>
      </c>
      <c r="AO81" s="530">
        <f t="shared" si="115"/>
        <v>0</v>
      </c>
      <c r="AP81" s="486">
        <f t="shared" si="116"/>
        <v>0</v>
      </c>
      <c r="AQ81" s="486">
        <f t="shared" si="117"/>
        <v>0</v>
      </c>
      <c r="AR81" s="480">
        <f t="shared" si="118"/>
        <v>0</v>
      </c>
      <c r="AS81" s="486">
        <f t="shared" si="119"/>
        <v>0</v>
      </c>
      <c r="AT81" s="486">
        <f t="shared" si="119"/>
        <v>0</v>
      </c>
      <c r="AU81" s="486">
        <f t="shared" si="120"/>
        <v>0</v>
      </c>
      <c r="AV81" s="501">
        <f t="shared" si="121"/>
        <v>0</v>
      </c>
      <c r="AW81" s="501">
        <f t="shared" si="122"/>
        <v>0</v>
      </c>
      <c r="AX81" s="502">
        <f t="shared" si="122"/>
        <v>0</v>
      </c>
    </row>
    <row r="82" spans="1:50" ht="12.95" customHeight="1" x14ac:dyDescent="0.25">
      <c r="A82" s="305">
        <v>16</v>
      </c>
      <c r="B82" s="555">
        <v>5482</v>
      </c>
      <c r="C82" s="555">
        <v>600098982</v>
      </c>
      <c r="D82" s="555">
        <v>71006923</v>
      </c>
      <c r="E82" s="552" t="s">
        <v>518</v>
      </c>
      <c r="F82" s="551">
        <v>3141</v>
      </c>
      <c r="G82" s="553" t="s">
        <v>321</v>
      </c>
      <c r="H82" s="494" t="s">
        <v>284</v>
      </c>
      <c r="I82" s="495">
        <v>834235</v>
      </c>
      <c r="J82" s="496">
        <v>611450</v>
      </c>
      <c r="K82" s="496">
        <v>0</v>
      </c>
      <c r="L82" s="496">
        <v>0</v>
      </c>
      <c r="M82" s="411">
        <v>206670</v>
      </c>
      <c r="N82" s="411">
        <v>12229</v>
      </c>
      <c r="O82" s="496">
        <v>3886</v>
      </c>
      <c r="P82" s="497">
        <v>2.0799999999999996</v>
      </c>
      <c r="Q82" s="412">
        <v>0</v>
      </c>
      <c r="R82" s="498">
        <v>2.0799999999999996</v>
      </c>
      <c r="S82" s="499">
        <f t="shared" si="123"/>
        <v>0</v>
      </c>
      <c r="T82" s="486">
        <v>0</v>
      </c>
      <c r="U82" s="486">
        <v>0</v>
      </c>
      <c r="V82" s="486">
        <f t="shared" si="105"/>
        <v>0</v>
      </c>
      <c r="W82" s="486">
        <v>0</v>
      </c>
      <c r="X82" s="486">
        <v>0</v>
      </c>
      <c r="Y82" s="486">
        <f t="shared" si="106"/>
        <v>0</v>
      </c>
      <c r="Z82" s="486">
        <f t="shared" si="107"/>
        <v>0</v>
      </c>
      <c r="AA82" s="319">
        <f t="shared" si="108"/>
        <v>0</v>
      </c>
      <c r="AB82" s="178">
        <f t="shared" si="109"/>
        <v>0</v>
      </c>
      <c r="AC82" s="486">
        <v>0</v>
      </c>
      <c r="AD82" s="486">
        <v>0</v>
      </c>
      <c r="AE82" s="486">
        <f t="shared" si="110"/>
        <v>0</v>
      </c>
      <c r="AF82" s="486">
        <f t="shared" si="111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112"/>
        <v>0</v>
      </c>
      <c r="AM82" s="501">
        <f t="shared" si="113"/>
        <v>0</v>
      </c>
      <c r="AN82" s="529">
        <f t="shared" si="114"/>
        <v>0</v>
      </c>
      <c r="AO82" s="530">
        <f t="shared" si="115"/>
        <v>834235</v>
      </c>
      <c r="AP82" s="486">
        <f t="shared" si="116"/>
        <v>611450</v>
      </c>
      <c r="AQ82" s="486">
        <f t="shared" si="117"/>
        <v>0</v>
      </c>
      <c r="AR82" s="480">
        <f t="shared" si="118"/>
        <v>0</v>
      </c>
      <c r="AS82" s="486">
        <f t="shared" si="119"/>
        <v>206670</v>
      </c>
      <c r="AT82" s="486">
        <f t="shared" si="119"/>
        <v>12229</v>
      </c>
      <c r="AU82" s="486">
        <f t="shared" si="120"/>
        <v>3886</v>
      </c>
      <c r="AV82" s="501">
        <f t="shared" si="121"/>
        <v>2.0799999999999996</v>
      </c>
      <c r="AW82" s="501">
        <f t="shared" si="122"/>
        <v>0</v>
      </c>
      <c r="AX82" s="502">
        <f t="shared" si="122"/>
        <v>2.0799999999999996</v>
      </c>
    </row>
    <row r="83" spans="1:50" ht="12.95" customHeight="1" x14ac:dyDescent="0.25">
      <c r="A83" s="305">
        <v>16</v>
      </c>
      <c r="B83" s="551">
        <v>5482</v>
      </c>
      <c r="C83" s="551">
        <v>600098982</v>
      </c>
      <c r="D83" s="551">
        <v>71006923</v>
      </c>
      <c r="E83" s="552" t="s">
        <v>518</v>
      </c>
      <c r="F83" s="551">
        <v>3143</v>
      </c>
      <c r="G83" s="528" t="s">
        <v>634</v>
      </c>
      <c r="H83" s="494" t="s">
        <v>283</v>
      </c>
      <c r="I83" s="495">
        <v>506578</v>
      </c>
      <c r="J83" s="496">
        <v>373032</v>
      </c>
      <c r="K83" s="496">
        <v>0</v>
      </c>
      <c r="L83" s="496">
        <v>0</v>
      </c>
      <c r="M83" s="411">
        <v>126085</v>
      </c>
      <c r="N83" s="411">
        <v>7461</v>
      </c>
      <c r="O83" s="496">
        <v>0</v>
      </c>
      <c r="P83" s="497">
        <v>0.71430000000000005</v>
      </c>
      <c r="Q83" s="412">
        <v>0.71430000000000005</v>
      </c>
      <c r="R83" s="498">
        <v>0</v>
      </c>
      <c r="S83" s="499">
        <f t="shared" si="123"/>
        <v>0</v>
      </c>
      <c r="T83" s="486">
        <v>0</v>
      </c>
      <c r="U83" s="486">
        <v>0</v>
      </c>
      <c r="V83" s="486">
        <f t="shared" si="105"/>
        <v>0</v>
      </c>
      <c r="W83" s="486">
        <v>0</v>
      </c>
      <c r="X83" s="486">
        <v>0</v>
      </c>
      <c r="Y83" s="486">
        <f t="shared" si="106"/>
        <v>0</v>
      </c>
      <c r="Z83" s="486">
        <f t="shared" si="107"/>
        <v>0</v>
      </c>
      <c r="AA83" s="319">
        <f t="shared" si="108"/>
        <v>0</v>
      </c>
      <c r="AB83" s="178">
        <f t="shared" si="109"/>
        <v>0</v>
      </c>
      <c r="AC83" s="486">
        <v>0</v>
      </c>
      <c r="AD83" s="486">
        <v>0</v>
      </c>
      <c r="AE83" s="486">
        <f t="shared" si="110"/>
        <v>0</v>
      </c>
      <c r="AF83" s="486">
        <f t="shared" si="111"/>
        <v>0</v>
      </c>
      <c r="AG83" s="501">
        <v>0</v>
      </c>
      <c r="AH83" s="501">
        <v>0</v>
      </c>
      <c r="AI83" s="501">
        <v>0</v>
      </c>
      <c r="AJ83" s="501">
        <v>0</v>
      </c>
      <c r="AK83" s="501">
        <v>0</v>
      </c>
      <c r="AL83" s="501">
        <f t="shared" si="112"/>
        <v>0</v>
      </c>
      <c r="AM83" s="501">
        <f t="shared" si="113"/>
        <v>0</v>
      </c>
      <c r="AN83" s="529">
        <f t="shared" si="114"/>
        <v>0</v>
      </c>
      <c r="AO83" s="530">
        <f t="shared" si="115"/>
        <v>506578</v>
      </c>
      <c r="AP83" s="486">
        <f t="shared" si="116"/>
        <v>373032</v>
      </c>
      <c r="AQ83" s="486">
        <f t="shared" si="117"/>
        <v>0</v>
      </c>
      <c r="AR83" s="480">
        <f t="shared" si="118"/>
        <v>0</v>
      </c>
      <c r="AS83" s="486">
        <f t="shared" si="119"/>
        <v>126085</v>
      </c>
      <c r="AT83" s="486">
        <f t="shared" si="119"/>
        <v>7461</v>
      </c>
      <c r="AU83" s="486">
        <f t="shared" si="120"/>
        <v>0</v>
      </c>
      <c r="AV83" s="501">
        <f t="shared" si="121"/>
        <v>0.71430000000000005</v>
      </c>
      <c r="AW83" s="501">
        <f t="shared" si="122"/>
        <v>0.71430000000000005</v>
      </c>
      <c r="AX83" s="502">
        <f t="shared" si="122"/>
        <v>0</v>
      </c>
    </row>
    <row r="84" spans="1:50" ht="12.95" customHeight="1" x14ac:dyDescent="0.25">
      <c r="A84" s="305">
        <v>16</v>
      </c>
      <c r="B84" s="551">
        <v>5482</v>
      </c>
      <c r="C84" s="551">
        <v>600098982</v>
      </c>
      <c r="D84" s="551">
        <v>71006923</v>
      </c>
      <c r="E84" s="552" t="s">
        <v>518</v>
      </c>
      <c r="F84" s="551">
        <v>3143</v>
      </c>
      <c r="G84" s="528" t="s">
        <v>635</v>
      </c>
      <c r="H84" s="494" t="s">
        <v>284</v>
      </c>
      <c r="I84" s="495">
        <v>21066</v>
      </c>
      <c r="J84" s="496">
        <v>14850</v>
      </c>
      <c r="K84" s="496">
        <v>0</v>
      </c>
      <c r="L84" s="496">
        <v>0</v>
      </c>
      <c r="M84" s="411">
        <v>5019</v>
      </c>
      <c r="N84" s="411">
        <v>297</v>
      </c>
      <c r="O84" s="496">
        <v>900</v>
      </c>
      <c r="P84" s="497">
        <v>0.06</v>
      </c>
      <c r="Q84" s="412">
        <v>0</v>
      </c>
      <c r="R84" s="498">
        <v>0.06</v>
      </c>
      <c r="S84" s="499">
        <f t="shared" si="123"/>
        <v>0</v>
      </c>
      <c r="T84" s="486">
        <v>0</v>
      </c>
      <c r="U84" s="486">
        <v>0</v>
      </c>
      <c r="V84" s="486">
        <f t="shared" si="105"/>
        <v>0</v>
      </c>
      <c r="W84" s="486">
        <v>0</v>
      </c>
      <c r="X84" s="486">
        <v>0</v>
      </c>
      <c r="Y84" s="486">
        <f t="shared" si="106"/>
        <v>0</v>
      </c>
      <c r="Z84" s="486">
        <f t="shared" si="107"/>
        <v>0</v>
      </c>
      <c r="AA84" s="319">
        <f t="shared" si="108"/>
        <v>0</v>
      </c>
      <c r="AB84" s="178">
        <f t="shared" si="109"/>
        <v>0</v>
      </c>
      <c r="AC84" s="486">
        <v>0</v>
      </c>
      <c r="AD84" s="486">
        <v>0</v>
      </c>
      <c r="AE84" s="486">
        <f t="shared" si="110"/>
        <v>0</v>
      </c>
      <c r="AF84" s="486">
        <f t="shared" si="111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si="112"/>
        <v>0</v>
      </c>
      <c r="AM84" s="501">
        <f t="shared" si="113"/>
        <v>0</v>
      </c>
      <c r="AN84" s="529">
        <f t="shared" si="114"/>
        <v>0</v>
      </c>
      <c r="AO84" s="530">
        <f t="shared" si="115"/>
        <v>21066</v>
      </c>
      <c r="AP84" s="486">
        <f t="shared" si="116"/>
        <v>14850</v>
      </c>
      <c r="AQ84" s="486">
        <f t="shared" si="117"/>
        <v>0</v>
      </c>
      <c r="AR84" s="480">
        <f t="shared" si="118"/>
        <v>0</v>
      </c>
      <c r="AS84" s="486">
        <f t="shared" si="119"/>
        <v>5019</v>
      </c>
      <c r="AT84" s="486">
        <f t="shared" si="119"/>
        <v>297</v>
      </c>
      <c r="AU84" s="486">
        <f t="shared" si="120"/>
        <v>900</v>
      </c>
      <c r="AV84" s="501">
        <f t="shared" si="121"/>
        <v>0.06</v>
      </c>
      <c r="AW84" s="501">
        <f t="shared" si="122"/>
        <v>0</v>
      </c>
      <c r="AX84" s="502">
        <f t="shared" si="122"/>
        <v>0.06</v>
      </c>
    </row>
    <row r="85" spans="1:50" ht="12.95" customHeight="1" x14ac:dyDescent="0.25">
      <c r="A85" s="306">
        <v>16</v>
      </c>
      <c r="B85" s="128">
        <v>5482</v>
      </c>
      <c r="C85" s="128">
        <v>600098982</v>
      </c>
      <c r="D85" s="128">
        <v>71006923</v>
      </c>
      <c r="E85" s="554" t="s">
        <v>519</v>
      </c>
      <c r="F85" s="128"/>
      <c r="G85" s="554"/>
      <c r="H85" s="371"/>
      <c r="I85" s="130">
        <v>6562218</v>
      </c>
      <c r="J85" s="141">
        <v>4698130</v>
      </c>
      <c r="K85" s="141">
        <v>5772</v>
      </c>
      <c r="L85" s="141">
        <v>5772</v>
      </c>
      <c r="M85" s="141">
        <v>1587968</v>
      </c>
      <c r="N85" s="141">
        <v>93963</v>
      </c>
      <c r="O85" s="141">
        <v>176385</v>
      </c>
      <c r="P85" s="379">
        <v>10.2879</v>
      </c>
      <c r="Q85" s="379">
        <v>6.0069999999999997</v>
      </c>
      <c r="R85" s="395">
        <v>4.2808999999999999</v>
      </c>
      <c r="S85" s="141">
        <f t="shared" ref="S85:AN85" si="124">SUM(S79:S84)</f>
        <v>0</v>
      </c>
      <c r="T85" s="87">
        <f t="shared" si="124"/>
        <v>0</v>
      </c>
      <c r="U85" s="87">
        <f t="shared" si="124"/>
        <v>0</v>
      </c>
      <c r="V85" s="87">
        <f t="shared" si="124"/>
        <v>0</v>
      </c>
      <c r="W85" s="87">
        <f t="shared" si="124"/>
        <v>0</v>
      </c>
      <c r="X85" s="87">
        <f t="shared" si="124"/>
        <v>0</v>
      </c>
      <c r="Y85" s="87">
        <f t="shared" si="124"/>
        <v>0</v>
      </c>
      <c r="Z85" s="87">
        <f t="shared" si="124"/>
        <v>0</v>
      </c>
      <c r="AA85" s="87">
        <f t="shared" si="124"/>
        <v>0</v>
      </c>
      <c r="AB85" s="87">
        <f t="shared" si="124"/>
        <v>0</v>
      </c>
      <c r="AC85" s="87">
        <f t="shared" si="124"/>
        <v>0</v>
      </c>
      <c r="AD85" s="87">
        <f t="shared" si="124"/>
        <v>0</v>
      </c>
      <c r="AE85" s="87">
        <f t="shared" si="124"/>
        <v>0</v>
      </c>
      <c r="AF85" s="87">
        <f t="shared" si="124"/>
        <v>0</v>
      </c>
      <c r="AG85" s="88">
        <f t="shared" si="124"/>
        <v>0</v>
      </c>
      <c r="AH85" s="88">
        <f t="shared" si="124"/>
        <v>0</v>
      </c>
      <c r="AI85" s="88">
        <f t="shared" si="124"/>
        <v>0</v>
      </c>
      <c r="AJ85" s="88">
        <f t="shared" si="124"/>
        <v>0</v>
      </c>
      <c r="AK85" s="88">
        <f t="shared" si="124"/>
        <v>0</v>
      </c>
      <c r="AL85" s="88">
        <f t="shared" si="124"/>
        <v>0</v>
      </c>
      <c r="AM85" s="88">
        <f t="shared" si="124"/>
        <v>0</v>
      </c>
      <c r="AN85" s="388">
        <f t="shared" si="124"/>
        <v>0</v>
      </c>
      <c r="AO85" s="130">
        <f t="shared" ref="AO85:AX85" si="125">SUM(AO79:AO84)</f>
        <v>6562218</v>
      </c>
      <c r="AP85" s="87">
        <f t="shared" si="125"/>
        <v>4698130</v>
      </c>
      <c r="AQ85" s="87">
        <f t="shared" si="125"/>
        <v>5772</v>
      </c>
      <c r="AR85" s="87">
        <f t="shared" si="125"/>
        <v>5772</v>
      </c>
      <c r="AS85" s="87">
        <f t="shared" si="125"/>
        <v>1587968</v>
      </c>
      <c r="AT85" s="87">
        <f t="shared" si="125"/>
        <v>93963</v>
      </c>
      <c r="AU85" s="87">
        <f t="shared" si="125"/>
        <v>176385</v>
      </c>
      <c r="AV85" s="88">
        <f t="shared" si="125"/>
        <v>10.2879</v>
      </c>
      <c r="AW85" s="88">
        <f t="shared" si="125"/>
        <v>6.0069999999999997</v>
      </c>
      <c r="AX85" s="274">
        <f t="shared" si="125"/>
        <v>4.2808999999999999</v>
      </c>
    </row>
    <row r="86" spans="1:50" ht="12.95" customHeight="1" x14ac:dyDescent="0.25">
      <c r="A86" s="305">
        <v>17</v>
      </c>
      <c r="B86" s="560">
        <v>3421</v>
      </c>
      <c r="C86" s="560">
        <v>600077985</v>
      </c>
      <c r="D86" s="83">
        <v>72741651</v>
      </c>
      <c r="E86" s="559" t="s">
        <v>520</v>
      </c>
      <c r="F86" s="560">
        <v>3111</v>
      </c>
      <c r="G86" s="553" t="s">
        <v>331</v>
      </c>
      <c r="H86" s="494" t="s">
        <v>283</v>
      </c>
      <c r="I86" s="495">
        <v>5006377</v>
      </c>
      <c r="J86" s="496">
        <v>3632339</v>
      </c>
      <c r="K86" s="496">
        <v>20000</v>
      </c>
      <c r="L86" s="496">
        <v>0</v>
      </c>
      <c r="M86" s="411">
        <v>1234491</v>
      </c>
      <c r="N86" s="411">
        <v>72647</v>
      </c>
      <c r="O86" s="496">
        <v>46900</v>
      </c>
      <c r="P86" s="497">
        <v>8.6441999999999997</v>
      </c>
      <c r="Q86" s="412">
        <v>6.6</v>
      </c>
      <c r="R86" s="498">
        <v>2.0442</v>
      </c>
      <c r="S86" s="499">
        <f t="shared" ref="S86:S88" si="126">W86*-1</f>
        <v>0</v>
      </c>
      <c r="T86" s="486">
        <v>0</v>
      </c>
      <c r="U86" s="486">
        <v>0</v>
      </c>
      <c r="V86" s="486">
        <f>SUM(S86:U86)</f>
        <v>0</v>
      </c>
      <c r="W86" s="486">
        <v>0</v>
      </c>
      <c r="X86" s="486">
        <v>0</v>
      </c>
      <c r="Y86" s="486">
        <f>SUM(W86:X86)</f>
        <v>0</v>
      </c>
      <c r="Z86" s="486">
        <f>V86+Y86</f>
        <v>0</v>
      </c>
      <c r="AA86" s="319">
        <f>ROUND((V86+W86)*33.8%,0)</f>
        <v>0</v>
      </c>
      <c r="AB86" s="178">
        <f>ROUND(V86*2%,0)</f>
        <v>0</v>
      </c>
      <c r="AC86" s="486">
        <v>0</v>
      </c>
      <c r="AD86" s="486">
        <v>0</v>
      </c>
      <c r="AE86" s="486">
        <f t="shared" si="110"/>
        <v>0</v>
      </c>
      <c r="AF86" s="486">
        <f t="shared" si="111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ref="AL86:AL88" si="127">AG86+AI86+AJ86</f>
        <v>0</v>
      </c>
      <c r="AM86" s="501">
        <f t="shared" ref="AM86:AM88" si="128">AH86+AK86</f>
        <v>0</v>
      </c>
      <c r="AN86" s="529">
        <f t="shared" si="114"/>
        <v>0</v>
      </c>
      <c r="AO86" s="530">
        <f>I86+AF86</f>
        <v>5006377</v>
      </c>
      <c r="AP86" s="486">
        <f>J86+V86</f>
        <v>3632339</v>
      </c>
      <c r="AQ86" s="486">
        <f>K86+Y86</f>
        <v>20000</v>
      </c>
      <c r="AR86" s="480">
        <f>L86</f>
        <v>0</v>
      </c>
      <c r="AS86" s="486">
        <f t="shared" ref="AS86:AT88" si="129">M86+AA86</f>
        <v>1234491</v>
      </c>
      <c r="AT86" s="486">
        <f t="shared" si="129"/>
        <v>72647</v>
      </c>
      <c r="AU86" s="486">
        <f>O86+AE86</f>
        <v>46900</v>
      </c>
      <c r="AV86" s="501">
        <f>P86+AN86</f>
        <v>8.6441999999999997</v>
      </c>
      <c r="AW86" s="501">
        <f t="shared" ref="AW86:AX88" si="130">Q86+AL86</f>
        <v>6.6</v>
      </c>
      <c r="AX86" s="502">
        <f t="shared" si="130"/>
        <v>2.0442</v>
      </c>
    </row>
    <row r="87" spans="1:50" ht="12.95" customHeight="1" x14ac:dyDescent="0.25">
      <c r="A87" s="305">
        <v>17</v>
      </c>
      <c r="B87" s="551">
        <v>3421</v>
      </c>
      <c r="C87" s="551">
        <v>600077985</v>
      </c>
      <c r="D87" s="83">
        <v>72741651</v>
      </c>
      <c r="E87" s="556" t="s">
        <v>520</v>
      </c>
      <c r="F87" s="560">
        <v>3111</v>
      </c>
      <c r="G87" s="528" t="s">
        <v>318</v>
      </c>
      <c r="H87" s="494" t="s">
        <v>284</v>
      </c>
      <c r="I87" s="495">
        <v>0</v>
      </c>
      <c r="J87" s="496">
        <v>0</v>
      </c>
      <c r="K87" s="496">
        <v>0</v>
      </c>
      <c r="L87" s="496">
        <v>0</v>
      </c>
      <c r="M87" s="411">
        <v>0</v>
      </c>
      <c r="N87" s="411">
        <v>0</v>
      </c>
      <c r="O87" s="496">
        <v>0</v>
      </c>
      <c r="P87" s="497">
        <v>0</v>
      </c>
      <c r="Q87" s="412">
        <v>0</v>
      </c>
      <c r="R87" s="498">
        <v>0</v>
      </c>
      <c r="S87" s="499">
        <f t="shared" si="126"/>
        <v>0</v>
      </c>
      <c r="T87" s="486">
        <v>0</v>
      </c>
      <c r="U87" s="486">
        <v>0</v>
      </c>
      <c r="V87" s="486">
        <f>SUM(S87:U87)</f>
        <v>0</v>
      </c>
      <c r="W87" s="486">
        <v>0</v>
      </c>
      <c r="X87" s="486">
        <v>0</v>
      </c>
      <c r="Y87" s="486">
        <f>SUM(W87:X87)</f>
        <v>0</v>
      </c>
      <c r="Z87" s="486">
        <f>V87+Y87</f>
        <v>0</v>
      </c>
      <c r="AA87" s="319">
        <f>ROUND((V87+W87)*33.8%,0)</f>
        <v>0</v>
      </c>
      <c r="AB87" s="178">
        <f>ROUND(V87*2%,0)</f>
        <v>0</v>
      </c>
      <c r="AC87" s="486">
        <v>0</v>
      </c>
      <c r="AD87" s="486">
        <v>0</v>
      </c>
      <c r="AE87" s="486">
        <f t="shared" si="110"/>
        <v>0</v>
      </c>
      <c r="AF87" s="486">
        <f t="shared" si="111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27"/>
        <v>0</v>
      </c>
      <c r="AM87" s="501">
        <f t="shared" si="128"/>
        <v>0</v>
      </c>
      <c r="AN87" s="529">
        <f t="shared" si="114"/>
        <v>0</v>
      </c>
      <c r="AO87" s="530">
        <f>I87+AF87</f>
        <v>0</v>
      </c>
      <c r="AP87" s="486">
        <f>J87+V87</f>
        <v>0</v>
      </c>
      <c r="AQ87" s="486">
        <f>K87+Y87</f>
        <v>0</v>
      </c>
      <c r="AR87" s="480">
        <f>L87</f>
        <v>0</v>
      </c>
      <c r="AS87" s="486">
        <f t="shared" si="129"/>
        <v>0</v>
      </c>
      <c r="AT87" s="486">
        <f t="shared" si="129"/>
        <v>0</v>
      </c>
      <c r="AU87" s="486">
        <f>O87+AE87</f>
        <v>0</v>
      </c>
      <c r="AV87" s="501">
        <f>P87+AN87</f>
        <v>0</v>
      </c>
      <c r="AW87" s="501">
        <f t="shared" si="130"/>
        <v>0</v>
      </c>
      <c r="AX87" s="502">
        <f t="shared" si="130"/>
        <v>0</v>
      </c>
    </row>
    <row r="88" spans="1:50" ht="12.95" customHeight="1" x14ac:dyDescent="0.25">
      <c r="A88" s="305">
        <v>17</v>
      </c>
      <c r="B88" s="551">
        <v>3421</v>
      </c>
      <c r="C88" s="551">
        <v>600077985</v>
      </c>
      <c r="D88" s="83">
        <v>72741651</v>
      </c>
      <c r="E88" s="556" t="s">
        <v>520</v>
      </c>
      <c r="F88" s="551">
        <v>3141</v>
      </c>
      <c r="G88" s="553" t="s">
        <v>321</v>
      </c>
      <c r="H88" s="494" t="s">
        <v>284</v>
      </c>
      <c r="I88" s="495">
        <v>829098</v>
      </c>
      <c r="J88" s="496">
        <v>607667</v>
      </c>
      <c r="K88" s="496">
        <v>0</v>
      </c>
      <c r="L88" s="496">
        <v>0</v>
      </c>
      <c r="M88" s="411">
        <v>205392</v>
      </c>
      <c r="N88" s="411">
        <v>12153</v>
      </c>
      <c r="O88" s="496">
        <v>3886</v>
      </c>
      <c r="P88" s="497">
        <v>2.0699999999999998</v>
      </c>
      <c r="Q88" s="412">
        <v>0</v>
      </c>
      <c r="R88" s="498">
        <v>2.0699999999999998</v>
      </c>
      <c r="S88" s="499">
        <f t="shared" si="126"/>
        <v>0</v>
      </c>
      <c r="T88" s="486">
        <v>0</v>
      </c>
      <c r="U88" s="486">
        <v>0</v>
      </c>
      <c r="V88" s="486">
        <f>SUM(S88:U88)</f>
        <v>0</v>
      </c>
      <c r="W88" s="486">
        <v>0</v>
      </c>
      <c r="X88" s="486">
        <v>0</v>
      </c>
      <c r="Y88" s="486">
        <f>SUM(W88:X88)</f>
        <v>0</v>
      </c>
      <c r="Z88" s="486">
        <f>V88+Y88</f>
        <v>0</v>
      </c>
      <c r="AA88" s="319">
        <f>ROUND((V88+W88)*33.8%,0)</f>
        <v>0</v>
      </c>
      <c r="AB88" s="178">
        <f>ROUND(V88*2%,0)</f>
        <v>0</v>
      </c>
      <c r="AC88" s="486">
        <v>0</v>
      </c>
      <c r="AD88" s="486">
        <v>0</v>
      </c>
      <c r="AE88" s="486">
        <f t="shared" si="110"/>
        <v>0</v>
      </c>
      <c r="AF88" s="486">
        <f t="shared" si="111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27"/>
        <v>0</v>
      </c>
      <c r="AM88" s="501">
        <f t="shared" si="128"/>
        <v>0</v>
      </c>
      <c r="AN88" s="529">
        <f t="shared" si="114"/>
        <v>0</v>
      </c>
      <c r="AO88" s="530">
        <f>I88+AF88</f>
        <v>829098</v>
      </c>
      <c r="AP88" s="486">
        <f>J88+V88</f>
        <v>607667</v>
      </c>
      <c r="AQ88" s="486">
        <f>K88+Y88</f>
        <v>0</v>
      </c>
      <c r="AR88" s="480">
        <f>L88</f>
        <v>0</v>
      </c>
      <c r="AS88" s="486">
        <f t="shared" si="129"/>
        <v>205392</v>
      </c>
      <c r="AT88" s="486">
        <f t="shared" si="129"/>
        <v>12153</v>
      </c>
      <c r="AU88" s="486">
        <f>O88+AE88</f>
        <v>3886</v>
      </c>
      <c r="AV88" s="501">
        <f>P88+AN88</f>
        <v>2.0699999999999998</v>
      </c>
      <c r="AW88" s="501">
        <f t="shared" si="130"/>
        <v>0</v>
      </c>
      <c r="AX88" s="502">
        <f t="shared" si="130"/>
        <v>2.0699999999999998</v>
      </c>
    </row>
    <row r="89" spans="1:50" ht="12.95" customHeight="1" x14ac:dyDescent="0.25">
      <c r="A89" s="307">
        <v>17</v>
      </c>
      <c r="B89" s="131">
        <v>3421</v>
      </c>
      <c r="C89" s="131">
        <v>600077985</v>
      </c>
      <c r="D89" s="135">
        <v>72741651</v>
      </c>
      <c r="E89" s="554" t="s">
        <v>521</v>
      </c>
      <c r="F89" s="135"/>
      <c r="G89" s="564"/>
      <c r="H89" s="375"/>
      <c r="I89" s="136">
        <v>5835475</v>
      </c>
      <c r="J89" s="240">
        <v>4240006</v>
      </c>
      <c r="K89" s="240">
        <v>20000</v>
      </c>
      <c r="L89" s="240">
        <v>0</v>
      </c>
      <c r="M89" s="240">
        <v>1439883</v>
      </c>
      <c r="N89" s="240">
        <v>84800</v>
      </c>
      <c r="O89" s="240">
        <v>50786</v>
      </c>
      <c r="P89" s="381">
        <v>10.7142</v>
      </c>
      <c r="Q89" s="381">
        <v>6.6</v>
      </c>
      <c r="R89" s="397">
        <v>4.1142000000000003</v>
      </c>
      <c r="S89" s="240">
        <f t="shared" ref="S89:AN89" si="131">SUM(S86:S88)</f>
        <v>0</v>
      </c>
      <c r="T89" s="116">
        <f t="shared" si="131"/>
        <v>0</v>
      </c>
      <c r="U89" s="116">
        <f t="shared" si="131"/>
        <v>0</v>
      </c>
      <c r="V89" s="116">
        <f t="shared" si="131"/>
        <v>0</v>
      </c>
      <c r="W89" s="116">
        <f t="shared" si="131"/>
        <v>0</v>
      </c>
      <c r="X89" s="116">
        <f t="shared" si="131"/>
        <v>0</v>
      </c>
      <c r="Y89" s="116">
        <f t="shared" si="131"/>
        <v>0</v>
      </c>
      <c r="Z89" s="116">
        <f t="shared" si="131"/>
        <v>0</v>
      </c>
      <c r="AA89" s="116">
        <f t="shared" si="131"/>
        <v>0</v>
      </c>
      <c r="AB89" s="116">
        <f t="shared" si="131"/>
        <v>0</v>
      </c>
      <c r="AC89" s="116">
        <f t="shared" si="131"/>
        <v>0</v>
      </c>
      <c r="AD89" s="116">
        <f t="shared" si="131"/>
        <v>0</v>
      </c>
      <c r="AE89" s="116">
        <f t="shared" si="131"/>
        <v>0</v>
      </c>
      <c r="AF89" s="116">
        <f t="shared" si="131"/>
        <v>0</v>
      </c>
      <c r="AG89" s="303">
        <f t="shared" si="131"/>
        <v>0</v>
      </c>
      <c r="AH89" s="303">
        <f t="shared" si="131"/>
        <v>0</v>
      </c>
      <c r="AI89" s="303">
        <f t="shared" si="131"/>
        <v>0</v>
      </c>
      <c r="AJ89" s="303">
        <f t="shared" si="131"/>
        <v>0</v>
      </c>
      <c r="AK89" s="303">
        <f t="shared" si="131"/>
        <v>0</v>
      </c>
      <c r="AL89" s="303">
        <f t="shared" si="131"/>
        <v>0</v>
      </c>
      <c r="AM89" s="303">
        <f t="shared" si="131"/>
        <v>0</v>
      </c>
      <c r="AN89" s="390">
        <f t="shared" si="131"/>
        <v>0</v>
      </c>
      <c r="AO89" s="136">
        <f t="shared" ref="AO89:AX89" si="132">SUM(AO86:AO88)</f>
        <v>5835475</v>
      </c>
      <c r="AP89" s="116">
        <f t="shared" si="132"/>
        <v>4240006</v>
      </c>
      <c r="AQ89" s="116">
        <f t="shared" si="132"/>
        <v>20000</v>
      </c>
      <c r="AR89" s="116">
        <f t="shared" si="132"/>
        <v>0</v>
      </c>
      <c r="AS89" s="116">
        <f t="shared" si="132"/>
        <v>1439883</v>
      </c>
      <c r="AT89" s="116">
        <f t="shared" si="132"/>
        <v>84800</v>
      </c>
      <c r="AU89" s="116">
        <f t="shared" si="132"/>
        <v>50786</v>
      </c>
      <c r="AV89" s="303">
        <f t="shared" si="132"/>
        <v>10.7142</v>
      </c>
      <c r="AW89" s="303">
        <f t="shared" si="132"/>
        <v>6.6</v>
      </c>
      <c r="AX89" s="304">
        <f t="shared" si="132"/>
        <v>4.1142000000000003</v>
      </c>
    </row>
    <row r="90" spans="1:50" ht="12.95" customHeight="1" x14ac:dyDescent="0.25">
      <c r="A90" s="305">
        <v>18</v>
      </c>
      <c r="B90" s="551">
        <v>3420</v>
      </c>
      <c r="C90" s="551">
        <v>600078442</v>
      </c>
      <c r="D90" s="83">
        <v>72741571</v>
      </c>
      <c r="E90" s="552" t="s">
        <v>522</v>
      </c>
      <c r="F90" s="551">
        <v>3113</v>
      </c>
      <c r="G90" s="552" t="s">
        <v>335</v>
      </c>
      <c r="H90" s="494" t="s">
        <v>283</v>
      </c>
      <c r="I90" s="495">
        <v>12917559</v>
      </c>
      <c r="J90" s="496">
        <v>9081780</v>
      </c>
      <c r="K90" s="496">
        <v>112972</v>
      </c>
      <c r="L90" s="496">
        <v>27972</v>
      </c>
      <c r="M90" s="411">
        <v>3098372</v>
      </c>
      <c r="N90" s="411">
        <v>181635</v>
      </c>
      <c r="O90" s="496">
        <v>442800</v>
      </c>
      <c r="P90" s="497">
        <v>17.666699999999999</v>
      </c>
      <c r="Q90" s="412">
        <v>12.7591</v>
      </c>
      <c r="R90" s="498">
        <v>4.9076000000000004</v>
      </c>
      <c r="S90" s="499">
        <f t="shared" ref="S90:S94" si="133">W90*-1</f>
        <v>0</v>
      </c>
      <c r="T90" s="486">
        <v>0</v>
      </c>
      <c r="U90" s="486">
        <v>0</v>
      </c>
      <c r="V90" s="486">
        <f>SUM(S90:U90)</f>
        <v>0</v>
      </c>
      <c r="W90" s="486">
        <v>0</v>
      </c>
      <c r="X90" s="486">
        <v>0</v>
      </c>
      <c r="Y90" s="486">
        <f>SUM(W90:X90)</f>
        <v>0</v>
      </c>
      <c r="Z90" s="486">
        <f>V90+Y90</f>
        <v>0</v>
      </c>
      <c r="AA90" s="319">
        <f>ROUND((V90+W90)*33.8%,0)</f>
        <v>0</v>
      </c>
      <c r="AB90" s="178">
        <f>ROUND(V90*2%,0)</f>
        <v>0</v>
      </c>
      <c r="AC90" s="486">
        <v>0</v>
      </c>
      <c r="AD90" s="486">
        <v>0</v>
      </c>
      <c r="AE90" s="486">
        <f t="shared" si="110"/>
        <v>0</v>
      </c>
      <c r="AF90" s="486">
        <f t="shared" si="111"/>
        <v>0</v>
      </c>
      <c r="AG90" s="501">
        <v>0</v>
      </c>
      <c r="AH90" s="501">
        <v>0</v>
      </c>
      <c r="AI90" s="501">
        <v>0</v>
      </c>
      <c r="AJ90" s="501">
        <v>0</v>
      </c>
      <c r="AK90" s="501">
        <v>0</v>
      </c>
      <c r="AL90" s="501">
        <f t="shared" ref="AL90:AL94" si="134">AG90+AI90+AJ90</f>
        <v>0</v>
      </c>
      <c r="AM90" s="501">
        <f t="shared" ref="AM90:AM94" si="135">AH90+AK90</f>
        <v>0</v>
      </c>
      <c r="AN90" s="529">
        <f t="shared" si="114"/>
        <v>0</v>
      </c>
      <c r="AO90" s="530">
        <f>I90+AF90</f>
        <v>12917559</v>
      </c>
      <c r="AP90" s="486">
        <f>J90+V90</f>
        <v>9081780</v>
      </c>
      <c r="AQ90" s="486">
        <f>K90+Y90</f>
        <v>112972</v>
      </c>
      <c r="AR90" s="480">
        <f>L90</f>
        <v>27972</v>
      </c>
      <c r="AS90" s="486">
        <f t="shared" ref="AS90:AT94" si="136">M90+AA90</f>
        <v>3098372</v>
      </c>
      <c r="AT90" s="486">
        <f t="shared" si="136"/>
        <v>181635</v>
      </c>
      <c r="AU90" s="486">
        <f>O90+AE90</f>
        <v>442800</v>
      </c>
      <c r="AV90" s="501">
        <f>P90+AN90</f>
        <v>17.666699999999999</v>
      </c>
      <c r="AW90" s="501">
        <f t="shared" ref="AW90:AX94" si="137">Q90+AL90</f>
        <v>12.7591</v>
      </c>
      <c r="AX90" s="502">
        <f t="shared" si="137"/>
        <v>4.9076000000000004</v>
      </c>
    </row>
    <row r="91" spans="1:50" ht="12.95" customHeight="1" x14ac:dyDescent="0.25">
      <c r="A91" s="305">
        <v>18</v>
      </c>
      <c r="B91" s="555">
        <v>3420</v>
      </c>
      <c r="C91" s="555">
        <v>600078442</v>
      </c>
      <c r="D91" s="83">
        <v>72741571</v>
      </c>
      <c r="E91" s="552" t="s">
        <v>522</v>
      </c>
      <c r="F91" s="551">
        <v>3113</v>
      </c>
      <c r="G91" s="528" t="s">
        <v>318</v>
      </c>
      <c r="H91" s="494" t="s">
        <v>284</v>
      </c>
      <c r="I91" s="495">
        <v>713553</v>
      </c>
      <c r="J91" s="496">
        <v>525444</v>
      </c>
      <c r="K91" s="496">
        <v>0</v>
      </c>
      <c r="L91" s="496">
        <v>0</v>
      </c>
      <c r="M91" s="411">
        <v>177600</v>
      </c>
      <c r="N91" s="411">
        <v>10509</v>
      </c>
      <c r="O91" s="496">
        <v>0</v>
      </c>
      <c r="P91" s="497">
        <v>1.54</v>
      </c>
      <c r="Q91" s="412">
        <v>1.54</v>
      </c>
      <c r="R91" s="498">
        <v>0</v>
      </c>
      <c r="S91" s="499">
        <f t="shared" si="133"/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319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 t="shared" si="110"/>
        <v>0</v>
      </c>
      <c r="AF91" s="486">
        <f t="shared" si="111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si="134"/>
        <v>0</v>
      </c>
      <c r="AM91" s="501">
        <f t="shared" si="135"/>
        <v>0</v>
      </c>
      <c r="AN91" s="529">
        <f t="shared" si="114"/>
        <v>0</v>
      </c>
      <c r="AO91" s="530">
        <f>I91+AF91</f>
        <v>713553</v>
      </c>
      <c r="AP91" s="486">
        <f>J91+V91</f>
        <v>525444</v>
      </c>
      <c r="AQ91" s="486">
        <f>K91+Y91</f>
        <v>0</v>
      </c>
      <c r="AR91" s="480">
        <f>L91</f>
        <v>0</v>
      </c>
      <c r="AS91" s="486">
        <f t="shared" si="136"/>
        <v>177600</v>
      </c>
      <c r="AT91" s="486">
        <f t="shared" si="136"/>
        <v>10509</v>
      </c>
      <c r="AU91" s="486">
        <f>O91+AE91</f>
        <v>0</v>
      </c>
      <c r="AV91" s="501">
        <f>P91+AN91</f>
        <v>1.54</v>
      </c>
      <c r="AW91" s="501">
        <f t="shared" si="137"/>
        <v>1.54</v>
      </c>
      <c r="AX91" s="502">
        <f t="shared" si="137"/>
        <v>0</v>
      </c>
    </row>
    <row r="92" spans="1:50" ht="12.95" customHeight="1" x14ac:dyDescent="0.25">
      <c r="A92" s="305">
        <v>18</v>
      </c>
      <c r="B92" s="551">
        <v>3420</v>
      </c>
      <c r="C92" s="551">
        <v>600078442</v>
      </c>
      <c r="D92" s="83">
        <v>72741571</v>
      </c>
      <c r="E92" s="556" t="s">
        <v>522</v>
      </c>
      <c r="F92" s="551">
        <v>3141</v>
      </c>
      <c r="G92" s="553" t="s">
        <v>321</v>
      </c>
      <c r="H92" s="494" t="s">
        <v>284</v>
      </c>
      <c r="I92" s="495">
        <v>1315414</v>
      </c>
      <c r="J92" s="496">
        <v>931138</v>
      </c>
      <c r="K92" s="496">
        <v>30000</v>
      </c>
      <c r="L92" s="496">
        <v>0</v>
      </c>
      <c r="M92" s="411">
        <v>324865</v>
      </c>
      <c r="N92" s="411">
        <v>18623</v>
      </c>
      <c r="O92" s="496">
        <v>10788</v>
      </c>
      <c r="P92" s="497">
        <v>3.2600000000000002</v>
      </c>
      <c r="Q92" s="412">
        <v>0</v>
      </c>
      <c r="R92" s="498">
        <v>3.2600000000000002</v>
      </c>
      <c r="S92" s="499">
        <f t="shared" si="133"/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319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 t="shared" si="110"/>
        <v>0</v>
      </c>
      <c r="AF92" s="486">
        <f t="shared" si="111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34"/>
        <v>0</v>
      </c>
      <c r="AM92" s="501">
        <f t="shared" si="135"/>
        <v>0</v>
      </c>
      <c r="AN92" s="529">
        <f t="shared" si="114"/>
        <v>0</v>
      </c>
      <c r="AO92" s="530">
        <f>I92+AF92</f>
        <v>1315414</v>
      </c>
      <c r="AP92" s="486">
        <f>J92+V92</f>
        <v>931138</v>
      </c>
      <c r="AQ92" s="486">
        <f>K92+Y92</f>
        <v>30000</v>
      </c>
      <c r="AR92" s="480">
        <f>L92</f>
        <v>0</v>
      </c>
      <c r="AS92" s="486">
        <f t="shared" si="136"/>
        <v>324865</v>
      </c>
      <c r="AT92" s="486">
        <f t="shared" si="136"/>
        <v>18623</v>
      </c>
      <c r="AU92" s="486">
        <f>O92+AE92</f>
        <v>10788</v>
      </c>
      <c r="AV92" s="501">
        <f>P92+AN92</f>
        <v>3.2600000000000002</v>
      </c>
      <c r="AW92" s="501">
        <f t="shared" si="137"/>
        <v>0</v>
      </c>
      <c r="AX92" s="502">
        <f t="shared" si="137"/>
        <v>3.2600000000000002</v>
      </c>
    </row>
    <row r="93" spans="1:50" ht="12.95" customHeight="1" x14ac:dyDescent="0.25">
      <c r="A93" s="305">
        <v>18</v>
      </c>
      <c r="B93" s="555">
        <v>3420</v>
      </c>
      <c r="C93" s="555">
        <v>600078442</v>
      </c>
      <c r="D93" s="83">
        <v>72741571</v>
      </c>
      <c r="E93" s="552" t="s">
        <v>522</v>
      </c>
      <c r="F93" s="551">
        <v>3143</v>
      </c>
      <c r="G93" s="528" t="s">
        <v>634</v>
      </c>
      <c r="H93" s="494" t="s">
        <v>283</v>
      </c>
      <c r="I93" s="495">
        <v>883560</v>
      </c>
      <c r="J93" s="495">
        <v>650633</v>
      </c>
      <c r="K93" s="565">
        <v>0</v>
      </c>
      <c r="L93" s="565">
        <v>0</v>
      </c>
      <c r="M93" s="411">
        <v>219914</v>
      </c>
      <c r="N93" s="411">
        <v>13013</v>
      </c>
      <c r="O93" s="496">
        <v>0</v>
      </c>
      <c r="P93" s="497">
        <v>1.5</v>
      </c>
      <c r="Q93" s="412">
        <v>1.5</v>
      </c>
      <c r="R93" s="498">
        <v>0</v>
      </c>
      <c r="S93" s="499">
        <f t="shared" si="133"/>
        <v>0</v>
      </c>
      <c r="T93" s="486">
        <v>0</v>
      </c>
      <c r="U93" s="486">
        <v>0</v>
      </c>
      <c r="V93" s="486">
        <f>SUM(S93:U93)</f>
        <v>0</v>
      </c>
      <c r="W93" s="486">
        <v>0</v>
      </c>
      <c r="X93" s="486">
        <v>0</v>
      </c>
      <c r="Y93" s="486">
        <f>SUM(W93:X93)</f>
        <v>0</v>
      </c>
      <c r="Z93" s="486">
        <f>V93+Y93</f>
        <v>0</v>
      </c>
      <c r="AA93" s="319">
        <f>ROUND((V93+W93)*33.8%,0)</f>
        <v>0</v>
      </c>
      <c r="AB93" s="178">
        <f>ROUND(V93*2%,0)</f>
        <v>0</v>
      </c>
      <c r="AC93" s="486">
        <v>0</v>
      </c>
      <c r="AD93" s="486">
        <v>0</v>
      </c>
      <c r="AE93" s="486">
        <f t="shared" si="110"/>
        <v>0</v>
      </c>
      <c r="AF93" s="486">
        <f t="shared" si="111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34"/>
        <v>0</v>
      </c>
      <c r="AM93" s="501">
        <f t="shared" si="135"/>
        <v>0</v>
      </c>
      <c r="AN93" s="529">
        <f t="shared" si="114"/>
        <v>0</v>
      </c>
      <c r="AO93" s="530">
        <f>I93+AF93</f>
        <v>883560</v>
      </c>
      <c r="AP93" s="486">
        <f>J93+V93</f>
        <v>650633</v>
      </c>
      <c r="AQ93" s="486">
        <f>K93+Y93</f>
        <v>0</v>
      </c>
      <c r="AR93" s="480">
        <f>L93</f>
        <v>0</v>
      </c>
      <c r="AS93" s="486">
        <f t="shared" si="136"/>
        <v>219914</v>
      </c>
      <c r="AT93" s="486">
        <f t="shared" si="136"/>
        <v>13013</v>
      </c>
      <c r="AU93" s="486">
        <f>O93+AE93</f>
        <v>0</v>
      </c>
      <c r="AV93" s="501">
        <f>P93+AN93</f>
        <v>1.5</v>
      </c>
      <c r="AW93" s="501">
        <f t="shared" si="137"/>
        <v>1.5</v>
      </c>
      <c r="AX93" s="502">
        <f t="shared" si="137"/>
        <v>0</v>
      </c>
    </row>
    <row r="94" spans="1:50" ht="12.95" customHeight="1" x14ac:dyDescent="0.25">
      <c r="A94" s="305">
        <v>18</v>
      </c>
      <c r="B94" s="555">
        <v>3420</v>
      </c>
      <c r="C94" s="555">
        <v>600078442</v>
      </c>
      <c r="D94" s="83">
        <v>72741571</v>
      </c>
      <c r="E94" s="552" t="s">
        <v>522</v>
      </c>
      <c r="F94" s="551">
        <v>3143</v>
      </c>
      <c r="G94" s="528" t="s">
        <v>635</v>
      </c>
      <c r="H94" s="494" t="s">
        <v>284</v>
      </c>
      <c r="I94" s="495">
        <v>35111</v>
      </c>
      <c r="J94" s="496">
        <v>24750</v>
      </c>
      <c r="K94" s="496">
        <v>0</v>
      </c>
      <c r="L94" s="496">
        <v>0</v>
      </c>
      <c r="M94" s="411">
        <v>8366</v>
      </c>
      <c r="N94" s="411">
        <v>495</v>
      </c>
      <c r="O94" s="496">
        <v>1500</v>
      </c>
      <c r="P94" s="497">
        <v>0.1</v>
      </c>
      <c r="Q94" s="412">
        <v>0</v>
      </c>
      <c r="R94" s="498">
        <v>0.1</v>
      </c>
      <c r="S94" s="499">
        <f t="shared" si="133"/>
        <v>0</v>
      </c>
      <c r="T94" s="486">
        <v>0</v>
      </c>
      <c r="U94" s="486">
        <v>0</v>
      </c>
      <c r="V94" s="486">
        <f>SUM(S94:U94)</f>
        <v>0</v>
      </c>
      <c r="W94" s="486">
        <v>0</v>
      </c>
      <c r="X94" s="486">
        <v>0</v>
      </c>
      <c r="Y94" s="486">
        <f>SUM(W94:X94)</f>
        <v>0</v>
      </c>
      <c r="Z94" s="486">
        <f>V94+Y94</f>
        <v>0</v>
      </c>
      <c r="AA94" s="319">
        <f>ROUND((V94+W94)*33.8%,0)</f>
        <v>0</v>
      </c>
      <c r="AB94" s="178">
        <f>ROUND(V94*2%,0)</f>
        <v>0</v>
      </c>
      <c r="AC94" s="486">
        <v>0</v>
      </c>
      <c r="AD94" s="486">
        <v>0</v>
      </c>
      <c r="AE94" s="486">
        <f t="shared" si="110"/>
        <v>0</v>
      </c>
      <c r="AF94" s="486">
        <f t="shared" si="111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si="134"/>
        <v>0</v>
      </c>
      <c r="AM94" s="501">
        <f t="shared" si="135"/>
        <v>0</v>
      </c>
      <c r="AN94" s="529">
        <f t="shared" si="114"/>
        <v>0</v>
      </c>
      <c r="AO94" s="530">
        <f>I94+AF94</f>
        <v>35111</v>
      </c>
      <c r="AP94" s="486">
        <f>J94+V94</f>
        <v>24750</v>
      </c>
      <c r="AQ94" s="486">
        <f>K94+Y94</f>
        <v>0</v>
      </c>
      <c r="AR94" s="480">
        <f>L94</f>
        <v>0</v>
      </c>
      <c r="AS94" s="486">
        <f t="shared" si="136"/>
        <v>8366</v>
      </c>
      <c r="AT94" s="486">
        <f t="shared" si="136"/>
        <v>495</v>
      </c>
      <c r="AU94" s="486">
        <f>O94+AE94</f>
        <v>1500</v>
      </c>
      <c r="AV94" s="501">
        <f>P94+AN94</f>
        <v>0.1</v>
      </c>
      <c r="AW94" s="501">
        <f t="shared" si="137"/>
        <v>0</v>
      </c>
      <c r="AX94" s="502">
        <f t="shared" si="137"/>
        <v>0.1</v>
      </c>
    </row>
    <row r="95" spans="1:50" ht="12.95" customHeight="1" x14ac:dyDescent="0.25">
      <c r="A95" s="306">
        <v>18</v>
      </c>
      <c r="B95" s="131">
        <v>3420</v>
      </c>
      <c r="C95" s="131">
        <v>600078442</v>
      </c>
      <c r="D95" s="131">
        <v>72741571</v>
      </c>
      <c r="E95" s="554" t="s">
        <v>523</v>
      </c>
      <c r="F95" s="128"/>
      <c r="G95" s="554"/>
      <c r="H95" s="371"/>
      <c r="I95" s="130">
        <v>15865197</v>
      </c>
      <c r="J95" s="141">
        <v>11213745</v>
      </c>
      <c r="K95" s="141">
        <v>142972</v>
      </c>
      <c r="L95" s="141">
        <v>27972</v>
      </c>
      <c r="M95" s="141">
        <v>3829117</v>
      </c>
      <c r="N95" s="141">
        <v>224275</v>
      </c>
      <c r="O95" s="141">
        <v>455088</v>
      </c>
      <c r="P95" s="379">
        <v>24.066700000000001</v>
      </c>
      <c r="Q95" s="379">
        <v>15.799099999999999</v>
      </c>
      <c r="R95" s="395">
        <v>8.2675999999999998</v>
      </c>
      <c r="S95" s="141">
        <f t="shared" ref="S95:AN95" si="138">SUM(S90:S94)</f>
        <v>0</v>
      </c>
      <c r="T95" s="87">
        <f t="shared" si="138"/>
        <v>0</v>
      </c>
      <c r="U95" s="87">
        <f t="shared" si="138"/>
        <v>0</v>
      </c>
      <c r="V95" s="87">
        <f t="shared" si="138"/>
        <v>0</v>
      </c>
      <c r="W95" s="87">
        <f t="shared" si="138"/>
        <v>0</v>
      </c>
      <c r="X95" s="87">
        <f t="shared" si="138"/>
        <v>0</v>
      </c>
      <c r="Y95" s="87">
        <f t="shared" si="138"/>
        <v>0</v>
      </c>
      <c r="Z95" s="87">
        <f t="shared" si="138"/>
        <v>0</v>
      </c>
      <c r="AA95" s="87">
        <f t="shared" si="138"/>
        <v>0</v>
      </c>
      <c r="AB95" s="87">
        <f t="shared" si="138"/>
        <v>0</v>
      </c>
      <c r="AC95" s="87">
        <f t="shared" si="138"/>
        <v>0</v>
      </c>
      <c r="AD95" s="87">
        <f t="shared" si="138"/>
        <v>0</v>
      </c>
      <c r="AE95" s="87">
        <f t="shared" si="138"/>
        <v>0</v>
      </c>
      <c r="AF95" s="87">
        <f t="shared" si="138"/>
        <v>0</v>
      </c>
      <c r="AG95" s="88">
        <f t="shared" si="138"/>
        <v>0</v>
      </c>
      <c r="AH95" s="88">
        <f t="shared" si="138"/>
        <v>0</v>
      </c>
      <c r="AI95" s="88">
        <f t="shared" si="138"/>
        <v>0</v>
      </c>
      <c r="AJ95" s="88">
        <f t="shared" si="138"/>
        <v>0</v>
      </c>
      <c r="AK95" s="88">
        <f t="shared" si="138"/>
        <v>0</v>
      </c>
      <c r="AL95" s="88">
        <f t="shared" si="138"/>
        <v>0</v>
      </c>
      <c r="AM95" s="88">
        <f t="shared" si="138"/>
        <v>0</v>
      </c>
      <c r="AN95" s="388">
        <f t="shared" si="138"/>
        <v>0</v>
      </c>
      <c r="AO95" s="130">
        <f t="shared" ref="AO95:AX95" si="139">SUM(AO90:AO94)</f>
        <v>15865197</v>
      </c>
      <c r="AP95" s="87">
        <f t="shared" si="139"/>
        <v>11213745</v>
      </c>
      <c r="AQ95" s="87">
        <f t="shared" si="139"/>
        <v>142972</v>
      </c>
      <c r="AR95" s="87">
        <f t="shared" si="139"/>
        <v>27972</v>
      </c>
      <c r="AS95" s="87">
        <f t="shared" si="139"/>
        <v>3829117</v>
      </c>
      <c r="AT95" s="87">
        <f t="shared" si="139"/>
        <v>224275</v>
      </c>
      <c r="AU95" s="87">
        <f t="shared" si="139"/>
        <v>455088</v>
      </c>
      <c r="AV95" s="88">
        <f t="shared" si="139"/>
        <v>24.066700000000001</v>
      </c>
      <c r="AW95" s="88">
        <f t="shared" si="139"/>
        <v>15.799099999999999</v>
      </c>
      <c r="AX95" s="274">
        <f t="shared" si="139"/>
        <v>8.2675999999999998</v>
      </c>
    </row>
    <row r="96" spans="1:50" ht="12.95" customHeight="1" x14ac:dyDescent="0.25">
      <c r="A96" s="305">
        <v>19</v>
      </c>
      <c r="B96" s="549">
        <v>5493</v>
      </c>
      <c r="C96" s="549">
        <v>691009813</v>
      </c>
      <c r="D96" s="83">
        <v>6181457</v>
      </c>
      <c r="E96" s="550" t="s">
        <v>524</v>
      </c>
      <c r="F96" s="549">
        <v>3111</v>
      </c>
      <c r="G96" s="553" t="s">
        <v>331</v>
      </c>
      <c r="H96" s="494" t="s">
        <v>283</v>
      </c>
      <c r="I96" s="495">
        <v>1812680</v>
      </c>
      <c r="J96" s="496">
        <v>1310083</v>
      </c>
      <c r="K96" s="496">
        <v>11500</v>
      </c>
      <c r="L96" s="496">
        <v>0</v>
      </c>
      <c r="M96" s="411">
        <v>446695</v>
      </c>
      <c r="N96" s="411">
        <v>26202</v>
      </c>
      <c r="O96" s="496">
        <v>18200</v>
      </c>
      <c r="P96" s="497">
        <v>3.0249000000000006</v>
      </c>
      <c r="Q96" s="412">
        <v>2.2000000000000002</v>
      </c>
      <c r="R96" s="498">
        <v>0.82489999999999997</v>
      </c>
      <c r="S96" s="499">
        <f t="shared" ref="S96:S97" si="140">W96*-1</f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319">
        <f>ROUND((V96+W96)*33.8%,0)</f>
        <v>0</v>
      </c>
      <c r="AB96" s="178">
        <f>ROUND(V96*2%,0)</f>
        <v>0</v>
      </c>
      <c r="AC96" s="486">
        <v>0</v>
      </c>
      <c r="AD96" s="486">
        <v>0</v>
      </c>
      <c r="AE96" s="486">
        <f t="shared" si="110"/>
        <v>0</v>
      </c>
      <c r="AF96" s="486">
        <f t="shared" si="111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ref="AL96:AL97" si="141">AG96+AI96+AJ96</f>
        <v>0</v>
      </c>
      <c r="AM96" s="501">
        <f t="shared" ref="AM96:AM97" si="142">AH96+AK96</f>
        <v>0</v>
      </c>
      <c r="AN96" s="529">
        <f t="shared" si="114"/>
        <v>0</v>
      </c>
      <c r="AO96" s="530">
        <f>I96+AF96</f>
        <v>1812680</v>
      </c>
      <c r="AP96" s="486">
        <f>J96+V96</f>
        <v>1310083</v>
      </c>
      <c r="AQ96" s="486">
        <f>K96+Y96</f>
        <v>11500</v>
      </c>
      <c r="AR96" s="480">
        <f>L96</f>
        <v>0</v>
      </c>
      <c r="AS96" s="486">
        <f>M96+AA96</f>
        <v>446695</v>
      </c>
      <c r="AT96" s="486">
        <f>N96+AB96</f>
        <v>26202</v>
      </c>
      <c r="AU96" s="486">
        <f>O96+AE96</f>
        <v>18200</v>
      </c>
      <c r="AV96" s="501">
        <f>P96+AN96</f>
        <v>3.0249000000000006</v>
      </c>
      <c r="AW96" s="501">
        <f>Q96+AL96</f>
        <v>2.2000000000000002</v>
      </c>
      <c r="AX96" s="502">
        <f>R96+AM96</f>
        <v>0.82489999999999997</v>
      </c>
    </row>
    <row r="97" spans="1:50" ht="12.95" customHeight="1" x14ac:dyDescent="0.25">
      <c r="A97" s="305">
        <v>19</v>
      </c>
      <c r="B97" s="560">
        <v>5493</v>
      </c>
      <c r="C97" s="560">
        <v>691009813</v>
      </c>
      <c r="D97" s="83">
        <v>6181457</v>
      </c>
      <c r="E97" s="559" t="s">
        <v>524</v>
      </c>
      <c r="F97" s="560">
        <v>3141</v>
      </c>
      <c r="G97" s="553" t="s">
        <v>321</v>
      </c>
      <c r="H97" s="494" t="s">
        <v>284</v>
      </c>
      <c r="I97" s="495">
        <v>103979</v>
      </c>
      <c r="J97" s="496">
        <v>75840</v>
      </c>
      <c r="K97" s="496">
        <v>0</v>
      </c>
      <c r="L97" s="496">
        <v>0</v>
      </c>
      <c r="M97" s="411">
        <v>25634</v>
      </c>
      <c r="N97" s="411">
        <v>1517</v>
      </c>
      <c r="O97" s="496">
        <v>988</v>
      </c>
      <c r="P97" s="497">
        <v>0.4</v>
      </c>
      <c r="Q97" s="412">
        <v>0</v>
      </c>
      <c r="R97" s="498">
        <v>0.4</v>
      </c>
      <c r="S97" s="499">
        <f t="shared" si="140"/>
        <v>0</v>
      </c>
      <c r="T97" s="486">
        <v>0</v>
      </c>
      <c r="U97" s="486">
        <v>0</v>
      </c>
      <c r="V97" s="486">
        <f>SUM(S97:U97)</f>
        <v>0</v>
      </c>
      <c r="W97" s="486">
        <v>0</v>
      </c>
      <c r="X97" s="486">
        <v>0</v>
      </c>
      <c r="Y97" s="486">
        <f>SUM(W97:X97)</f>
        <v>0</v>
      </c>
      <c r="Z97" s="486">
        <f>V97+Y97</f>
        <v>0</v>
      </c>
      <c r="AA97" s="319">
        <f>ROUND((V97+W97)*33.8%,0)</f>
        <v>0</v>
      </c>
      <c r="AB97" s="178">
        <f>ROUND(V97*2%,0)</f>
        <v>0</v>
      </c>
      <c r="AC97" s="486">
        <v>0</v>
      </c>
      <c r="AD97" s="486">
        <v>0</v>
      </c>
      <c r="AE97" s="486">
        <f t="shared" si="110"/>
        <v>0</v>
      </c>
      <c r="AF97" s="486">
        <f t="shared" si="111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41"/>
        <v>0</v>
      </c>
      <c r="AM97" s="501">
        <f t="shared" si="142"/>
        <v>0</v>
      </c>
      <c r="AN97" s="529">
        <f t="shared" si="114"/>
        <v>0</v>
      </c>
      <c r="AO97" s="530">
        <f>I97+AF97</f>
        <v>103979</v>
      </c>
      <c r="AP97" s="486">
        <f>J97+V97</f>
        <v>75840</v>
      </c>
      <c r="AQ97" s="486">
        <f>K97+Y97</f>
        <v>0</v>
      </c>
      <c r="AR97" s="480">
        <f>L97</f>
        <v>0</v>
      </c>
      <c r="AS97" s="486">
        <f>M97+AA97</f>
        <v>25634</v>
      </c>
      <c r="AT97" s="486">
        <f>N97+AB97</f>
        <v>1517</v>
      </c>
      <c r="AU97" s="486">
        <f>O97+AE97</f>
        <v>988</v>
      </c>
      <c r="AV97" s="501">
        <f>P97+AN97</f>
        <v>0.4</v>
      </c>
      <c r="AW97" s="501">
        <f>Q97+AL97</f>
        <v>0</v>
      </c>
      <c r="AX97" s="502">
        <f>R97+AM97</f>
        <v>0.4</v>
      </c>
    </row>
    <row r="98" spans="1:50" ht="12.95" customHeight="1" x14ac:dyDescent="0.25">
      <c r="A98" s="306">
        <v>19</v>
      </c>
      <c r="B98" s="134">
        <v>5493</v>
      </c>
      <c r="C98" s="134">
        <v>691009813</v>
      </c>
      <c r="D98" s="134">
        <v>6181457</v>
      </c>
      <c r="E98" s="563" t="s">
        <v>525</v>
      </c>
      <c r="F98" s="134"/>
      <c r="G98" s="563"/>
      <c r="H98" s="374"/>
      <c r="I98" s="130">
        <v>1916659</v>
      </c>
      <c r="J98" s="141">
        <v>1385923</v>
      </c>
      <c r="K98" s="141">
        <v>11500</v>
      </c>
      <c r="L98" s="141">
        <v>0</v>
      </c>
      <c r="M98" s="141">
        <v>472329</v>
      </c>
      <c r="N98" s="141">
        <v>27719</v>
      </c>
      <c r="O98" s="141">
        <v>19188</v>
      </c>
      <c r="P98" s="379">
        <v>3.4249000000000005</v>
      </c>
      <c r="Q98" s="379">
        <v>2.2000000000000002</v>
      </c>
      <c r="R98" s="395">
        <v>1.2248999999999999</v>
      </c>
      <c r="S98" s="141">
        <f t="shared" ref="S98:AN98" si="143">SUM(S96:S97)</f>
        <v>0</v>
      </c>
      <c r="T98" s="87">
        <f t="shared" si="143"/>
        <v>0</v>
      </c>
      <c r="U98" s="87">
        <f t="shared" si="143"/>
        <v>0</v>
      </c>
      <c r="V98" s="87">
        <f t="shared" si="143"/>
        <v>0</v>
      </c>
      <c r="W98" s="87">
        <f t="shared" si="143"/>
        <v>0</v>
      </c>
      <c r="X98" s="87">
        <f t="shared" si="143"/>
        <v>0</v>
      </c>
      <c r="Y98" s="87">
        <f t="shared" si="143"/>
        <v>0</v>
      </c>
      <c r="Z98" s="87">
        <f t="shared" si="143"/>
        <v>0</v>
      </c>
      <c r="AA98" s="87">
        <f t="shared" si="143"/>
        <v>0</v>
      </c>
      <c r="AB98" s="87">
        <f t="shared" si="143"/>
        <v>0</v>
      </c>
      <c r="AC98" s="87">
        <f t="shared" si="143"/>
        <v>0</v>
      </c>
      <c r="AD98" s="87">
        <f t="shared" si="143"/>
        <v>0</v>
      </c>
      <c r="AE98" s="87">
        <f t="shared" si="143"/>
        <v>0</v>
      </c>
      <c r="AF98" s="87">
        <f t="shared" si="143"/>
        <v>0</v>
      </c>
      <c r="AG98" s="88">
        <f t="shared" si="143"/>
        <v>0</v>
      </c>
      <c r="AH98" s="88">
        <f t="shared" si="143"/>
        <v>0</v>
      </c>
      <c r="AI98" s="88">
        <f t="shared" si="143"/>
        <v>0</v>
      </c>
      <c r="AJ98" s="88">
        <f t="shared" si="143"/>
        <v>0</v>
      </c>
      <c r="AK98" s="88">
        <f t="shared" si="143"/>
        <v>0</v>
      </c>
      <c r="AL98" s="88">
        <f t="shared" si="143"/>
        <v>0</v>
      </c>
      <c r="AM98" s="88">
        <f t="shared" si="143"/>
        <v>0</v>
      </c>
      <c r="AN98" s="388">
        <f t="shared" si="143"/>
        <v>0</v>
      </c>
      <c r="AO98" s="130">
        <f t="shared" ref="AO98:AX98" si="144">SUM(AO96:AO97)</f>
        <v>1916659</v>
      </c>
      <c r="AP98" s="87">
        <f t="shared" si="144"/>
        <v>1385923</v>
      </c>
      <c r="AQ98" s="87">
        <f t="shared" si="144"/>
        <v>11500</v>
      </c>
      <c r="AR98" s="87">
        <f t="shared" si="144"/>
        <v>0</v>
      </c>
      <c r="AS98" s="87">
        <f t="shared" si="144"/>
        <v>472329</v>
      </c>
      <c r="AT98" s="87">
        <f t="shared" si="144"/>
        <v>27719</v>
      </c>
      <c r="AU98" s="87">
        <f t="shared" si="144"/>
        <v>19188</v>
      </c>
      <c r="AV98" s="88">
        <f t="shared" si="144"/>
        <v>3.4249000000000005</v>
      </c>
      <c r="AW98" s="88">
        <f t="shared" si="144"/>
        <v>2.2000000000000002</v>
      </c>
      <c r="AX98" s="274">
        <f t="shared" si="144"/>
        <v>1.2248999999999999</v>
      </c>
    </row>
    <row r="99" spans="1:50" ht="12.95" customHeight="1" x14ac:dyDescent="0.25">
      <c r="A99" s="305">
        <v>20</v>
      </c>
      <c r="B99" s="551">
        <v>2463</v>
      </c>
      <c r="C99" s="551">
        <v>600080056</v>
      </c>
      <c r="D99" s="83">
        <v>70982066</v>
      </c>
      <c r="E99" s="552" t="s">
        <v>526</v>
      </c>
      <c r="F99" s="551">
        <v>3113</v>
      </c>
      <c r="G99" s="552" t="s">
        <v>335</v>
      </c>
      <c r="H99" s="494" t="s">
        <v>283</v>
      </c>
      <c r="I99" s="495">
        <v>7463415</v>
      </c>
      <c r="J99" s="496">
        <v>5320940</v>
      </c>
      <c r="K99" s="496">
        <v>46024</v>
      </c>
      <c r="L99" s="496">
        <v>13024</v>
      </c>
      <c r="M99" s="411">
        <v>1809632</v>
      </c>
      <c r="N99" s="411">
        <v>106419</v>
      </c>
      <c r="O99" s="496">
        <v>180400</v>
      </c>
      <c r="P99" s="497">
        <v>10.866900000000001</v>
      </c>
      <c r="Q99" s="412">
        <v>8.1436000000000011</v>
      </c>
      <c r="R99" s="498">
        <v>2.7233000000000001</v>
      </c>
      <c r="S99" s="499">
        <f t="shared" ref="S99:S103" si="145">W99*-1</f>
        <v>0</v>
      </c>
      <c r="T99" s="486">
        <v>0</v>
      </c>
      <c r="U99" s="486">
        <v>0</v>
      </c>
      <c r="V99" s="486">
        <f>SUM(S99:U99)</f>
        <v>0</v>
      </c>
      <c r="W99" s="486">
        <v>0</v>
      </c>
      <c r="X99" s="486">
        <v>0</v>
      </c>
      <c r="Y99" s="486">
        <f>SUM(W99:X99)</f>
        <v>0</v>
      </c>
      <c r="Z99" s="486">
        <f>V99+Y99</f>
        <v>0</v>
      </c>
      <c r="AA99" s="319">
        <f>ROUND((V99+W99)*33.8%,0)</f>
        <v>0</v>
      </c>
      <c r="AB99" s="178">
        <f>ROUND(V99*2%,0)</f>
        <v>0</v>
      </c>
      <c r="AC99" s="486">
        <v>0</v>
      </c>
      <c r="AD99" s="486">
        <v>0</v>
      </c>
      <c r="AE99" s="486">
        <f t="shared" si="110"/>
        <v>0</v>
      </c>
      <c r="AF99" s="486">
        <f t="shared" si="111"/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ref="AL99:AL103" si="146">AG99+AI99+AJ99</f>
        <v>0</v>
      </c>
      <c r="AM99" s="501">
        <f t="shared" ref="AM99:AM103" si="147">AH99+AK99</f>
        <v>0</v>
      </c>
      <c r="AN99" s="529">
        <f t="shared" si="114"/>
        <v>0</v>
      </c>
      <c r="AO99" s="530">
        <f>I99+AF99</f>
        <v>7463415</v>
      </c>
      <c r="AP99" s="486">
        <f>J99+V99</f>
        <v>5320940</v>
      </c>
      <c r="AQ99" s="486">
        <f>K99+Y99</f>
        <v>46024</v>
      </c>
      <c r="AR99" s="480">
        <f>L99</f>
        <v>13024</v>
      </c>
      <c r="AS99" s="486">
        <f t="shared" ref="AS99:AT103" si="148">M99+AA99</f>
        <v>1809632</v>
      </c>
      <c r="AT99" s="486">
        <f t="shared" si="148"/>
        <v>106419</v>
      </c>
      <c r="AU99" s="486">
        <f>O99+AE99</f>
        <v>180400</v>
      </c>
      <c r="AV99" s="501">
        <f>P99+AN99</f>
        <v>10.866900000000001</v>
      </c>
      <c r="AW99" s="501">
        <f t="shared" ref="AW99:AX103" si="149">Q99+AL99</f>
        <v>8.1436000000000011</v>
      </c>
      <c r="AX99" s="502">
        <f t="shared" si="149"/>
        <v>2.7233000000000001</v>
      </c>
    </row>
    <row r="100" spans="1:50" ht="12.95" customHeight="1" x14ac:dyDescent="0.25">
      <c r="A100" s="305">
        <v>20</v>
      </c>
      <c r="B100" s="555">
        <v>2463</v>
      </c>
      <c r="C100" s="555">
        <v>600080056</v>
      </c>
      <c r="D100" s="83">
        <v>70982066</v>
      </c>
      <c r="E100" s="552" t="s">
        <v>526</v>
      </c>
      <c r="F100" s="551">
        <v>3113</v>
      </c>
      <c r="G100" s="528" t="s">
        <v>318</v>
      </c>
      <c r="H100" s="494" t="s">
        <v>284</v>
      </c>
      <c r="I100" s="495">
        <v>248556</v>
      </c>
      <c r="J100" s="496">
        <v>183031</v>
      </c>
      <c r="K100" s="496">
        <v>0</v>
      </c>
      <c r="L100" s="496">
        <v>0</v>
      </c>
      <c r="M100" s="411">
        <v>61864</v>
      </c>
      <c r="N100" s="411">
        <v>3661</v>
      </c>
      <c r="O100" s="496">
        <v>0</v>
      </c>
      <c r="P100" s="497">
        <v>0.53</v>
      </c>
      <c r="Q100" s="412">
        <v>0.53</v>
      </c>
      <c r="R100" s="498">
        <v>0</v>
      </c>
      <c r="S100" s="499">
        <f t="shared" si="145"/>
        <v>0</v>
      </c>
      <c r="T100" s="486">
        <v>0</v>
      </c>
      <c r="U100" s="486">
        <v>0</v>
      </c>
      <c r="V100" s="486">
        <f>SUM(S100:U100)</f>
        <v>0</v>
      </c>
      <c r="W100" s="486">
        <v>0</v>
      </c>
      <c r="X100" s="486">
        <v>0</v>
      </c>
      <c r="Y100" s="486">
        <f>SUM(W100:X100)</f>
        <v>0</v>
      </c>
      <c r="Z100" s="486">
        <f>V100+Y100</f>
        <v>0</v>
      </c>
      <c r="AA100" s="319">
        <f>ROUND((V100+W100)*33.8%,0)</f>
        <v>0</v>
      </c>
      <c r="AB100" s="178">
        <f>ROUND(V100*2%,0)</f>
        <v>0</v>
      </c>
      <c r="AC100" s="486">
        <v>0</v>
      </c>
      <c r="AD100" s="486">
        <v>0</v>
      </c>
      <c r="AE100" s="486">
        <f t="shared" si="110"/>
        <v>0</v>
      </c>
      <c r="AF100" s="486">
        <f t="shared" si="111"/>
        <v>0</v>
      </c>
      <c r="AG100" s="501">
        <v>0</v>
      </c>
      <c r="AH100" s="501">
        <v>0</v>
      </c>
      <c r="AI100" s="501">
        <v>0</v>
      </c>
      <c r="AJ100" s="501">
        <v>0</v>
      </c>
      <c r="AK100" s="501">
        <v>0</v>
      </c>
      <c r="AL100" s="501">
        <f t="shared" si="146"/>
        <v>0</v>
      </c>
      <c r="AM100" s="501">
        <f t="shared" si="147"/>
        <v>0</v>
      </c>
      <c r="AN100" s="529">
        <f t="shared" si="114"/>
        <v>0</v>
      </c>
      <c r="AO100" s="530">
        <f>I100+AF100</f>
        <v>248556</v>
      </c>
      <c r="AP100" s="486">
        <f>J100+V100</f>
        <v>183031</v>
      </c>
      <c r="AQ100" s="486">
        <f>K100+Y100</f>
        <v>0</v>
      </c>
      <c r="AR100" s="480">
        <f>L100</f>
        <v>0</v>
      </c>
      <c r="AS100" s="486">
        <f t="shared" si="148"/>
        <v>61864</v>
      </c>
      <c r="AT100" s="486">
        <f t="shared" si="148"/>
        <v>3661</v>
      </c>
      <c r="AU100" s="486">
        <f>O100+AE100</f>
        <v>0</v>
      </c>
      <c r="AV100" s="501">
        <f>P100+AN100</f>
        <v>0.53</v>
      </c>
      <c r="AW100" s="501">
        <f t="shared" si="149"/>
        <v>0.53</v>
      </c>
      <c r="AX100" s="502">
        <f t="shared" si="149"/>
        <v>0</v>
      </c>
    </row>
    <row r="101" spans="1:50" ht="12.95" customHeight="1" x14ac:dyDescent="0.25">
      <c r="A101" s="305">
        <v>20</v>
      </c>
      <c r="B101" s="551">
        <v>2463</v>
      </c>
      <c r="C101" s="551">
        <v>600080056</v>
      </c>
      <c r="D101" s="83">
        <v>70982066</v>
      </c>
      <c r="E101" s="552" t="s">
        <v>526</v>
      </c>
      <c r="F101" s="551">
        <v>3141</v>
      </c>
      <c r="G101" s="553" t="s">
        <v>321</v>
      </c>
      <c r="H101" s="494" t="s">
        <v>284</v>
      </c>
      <c r="I101" s="495">
        <v>698906</v>
      </c>
      <c r="J101" s="496">
        <v>511284</v>
      </c>
      <c r="K101" s="496">
        <v>0</v>
      </c>
      <c r="L101" s="496">
        <v>0</v>
      </c>
      <c r="M101" s="411">
        <v>172814</v>
      </c>
      <c r="N101" s="411">
        <v>10226</v>
      </c>
      <c r="O101" s="496">
        <v>4582</v>
      </c>
      <c r="P101" s="497">
        <v>1.73</v>
      </c>
      <c r="Q101" s="412">
        <v>0</v>
      </c>
      <c r="R101" s="498">
        <v>1.73</v>
      </c>
      <c r="S101" s="499">
        <f t="shared" si="145"/>
        <v>0</v>
      </c>
      <c r="T101" s="486">
        <v>0</v>
      </c>
      <c r="U101" s="486">
        <v>0</v>
      </c>
      <c r="V101" s="486">
        <f>SUM(S101:U101)</f>
        <v>0</v>
      </c>
      <c r="W101" s="486">
        <v>0</v>
      </c>
      <c r="X101" s="486">
        <v>0</v>
      </c>
      <c r="Y101" s="486">
        <f>SUM(W101:X101)</f>
        <v>0</v>
      </c>
      <c r="Z101" s="486">
        <f>V101+Y101</f>
        <v>0</v>
      </c>
      <c r="AA101" s="319">
        <f>ROUND((V101+W101)*33.8%,0)</f>
        <v>0</v>
      </c>
      <c r="AB101" s="178">
        <f>ROUND(V101*2%,0)</f>
        <v>0</v>
      </c>
      <c r="AC101" s="486">
        <v>0</v>
      </c>
      <c r="AD101" s="486">
        <v>0</v>
      </c>
      <c r="AE101" s="486">
        <f t="shared" si="110"/>
        <v>0</v>
      </c>
      <c r="AF101" s="486">
        <f t="shared" si="111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si="146"/>
        <v>0</v>
      </c>
      <c r="AM101" s="501">
        <f t="shared" si="147"/>
        <v>0</v>
      </c>
      <c r="AN101" s="529">
        <f t="shared" si="114"/>
        <v>0</v>
      </c>
      <c r="AO101" s="530">
        <f>I101+AF101</f>
        <v>698906</v>
      </c>
      <c r="AP101" s="486">
        <f>J101+V101</f>
        <v>511284</v>
      </c>
      <c r="AQ101" s="486">
        <f>K101+Y101</f>
        <v>0</v>
      </c>
      <c r="AR101" s="480">
        <f>L101</f>
        <v>0</v>
      </c>
      <c r="AS101" s="486">
        <f t="shared" si="148"/>
        <v>172814</v>
      </c>
      <c r="AT101" s="486">
        <f t="shared" si="148"/>
        <v>10226</v>
      </c>
      <c r="AU101" s="486">
        <f>O101+AE101</f>
        <v>4582</v>
      </c>
      <c r="AV101" s="501">
        <f>P101+AN101</f>
        <v>1.73</v>
      </c>
      <c r="AW101" s="501">
        <f t="shared" si="149"/>
        <v>0</v>
      </c>
      <c r="AX101" s="502">
        <f t="shared" si="149"/>
        <v>1.73</v>
      </c>
    </row>
    <row r="102" spans="1:50" ht="12.95" customHeight="1" x14ac:dyDescent="0.25">
      <c r="A102" s="305">
        <v>20</v>
      </c>
      <c r="B102" s="555">
        <v>2463</v>
      </c>
      <c r="C102" s="555">
        <v>600080056</v>
      </c>
      <c r="D102" s="83">
        <v>70982066</v>
      </c>
      <c r="E102" s="552" t="s">
        <v>526</v>
      </c>
      <c r="F102" s="551">
        <v>3143</v>
      </c>
      <c r="G102" s="528" t="s">
        <v>634</v>
      </c>
      <c r="H102" s="494" t="s">
        <v>283</v>
      </c>
      <c r="I102" s="495">
        <v>574976</v>
      </c>
      <c r="J102" s="496">
        <v>423399</v>
      </c>
      <c r="K102" s="496">
        <v>0</v>
      </c>
      <c r="L102" s="496">
        <v>0</v>
      </c>
      <c r="M102" s="411">
        <v>143109</v>
      </c>
      <c r="N102" s="411">
        <v>8468</v>
      </c>
      <c r="O102" s="496">
        <v>0</v>
      </c>
      <c r="P102" s="497">
        <v>0.83330000000000004</v>
      </c>
      <c r="Q102" s="412">
        <v>0.83330000000000004</v>
      </c>
      <c r="R102" s="498">
        <v>0</v>
      </c>
      <c r="S102" s="499">
        <f t="shared" si="145"/>
        <v>0</v>
      </c>
      <c r="T102" s="486">
        <v>0</v>
      </c>
      <c r="U102" s="486">
        <v>0</v>
      </c>
      <c r="V102" s="486">
        <f>SUM(S102:U102)</f>
        <v>0</v>
      </c>
      <c r="W102" s="486">
        <v>0</v>
      </c>
      <c r="X102" s="486">
        <v>0</v>
      </c>
      <c r="Y102" s="486">
        <f>SUM(W102:X102)</f>
        <v>0</v>
      </c>
      <c r="Z102" s="486">
        <f>V102+Y102</f>
        <v>0</v>
      </c>
      <c r="AA102" s="319">
        <f>ROUND((V102+W102)*33.8%,0)</f>
        <v>0</v>
      </c>
      <c r="AB102" s="178">
        <f>ROUND(V102*2%,0)</f>
        <v>0</v>
      </c>
      <c r="AC102" s="486">
        <v>0</v>
      </c>
      <c r="AD102" s="486">
        <v>0</v>
      </c>
      <c r="AE102" s="486">
        <f t="shared" si="110"/>
        <v>0</v>
      </c>
      <c r="AF102" s="486">
        <f t="shared" si="111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146"/>
        <v>0</v>
      </c>
      <c r="AM102" s="501">
        <f t="shared" si="147"/>
        <v>0</v>
      </c>
      <c r="AN102" s="529">
        <f t="shared" si="114"/>
        <v>0</v>
      </c>
      <c r="AO102" s="530">
        <f>I102+AF102</f>
        <v>574976</v>
      </c>
      <c r="AP102" s="486">
        <f>J102+V102</f>
        <v>423399</v>
      </c>
      <c r="AQ102" s="486">
        <f>K102+Y102</f>
        <v>0</v>
      </c>
      <c r="AR102" s="480">
        <f>L102</f>
        <v>0</v>
      </c>
      <c r="AS102" s="486">
        <f t="shared" si="148"/>
        <v>143109</v>
      </c>
      <c r="AT102" s="486">
        <f t="shared" si="148"/>
        <v>8468</v>
      </c>
      <c r="AU102" s="486">
        <f>O102+AE102</f>
        <v>0</v>
      </c>
      <c r="AV102" s="501">
        <f>P102+AN102</f>
        <v>0.83330000000000004</v>
      </c>
      <c r="AW102" s="501">
        <f t="shared" si="149"/>
        <v>0.83330000000000004</v>
      </c>
      <c r="AX102" s="502">
        <f t="shared" si="149"/>
        <v>0</v>
      </c>
    </row>
    <row r="103" spans="1:50" ht="12.95" customHeight="1" x14ac:dyDescent="0.25">
      <c r="A103" s="305">
        <v>20</v>
      </c>
      <c r="B103" s="555">
        <v>2463</v>
      </c>
      <c r="C103" s="555">
        <v>600080056</v>
      </c>
      <c r="D103" s="83">
        <v>70982066</v>
      </c>
      <c r="E103" s="552" t="s">
        <v>526</v>
      </c>
      <c r="F103" s="551">
        <v>3143</v>
      </c>
      <c r="G103" s="528" t="s">
        <v>635</v>
      </c>
      <c r="H103" s="494" t="s">
        <v>284</v>
      </c>
      <c r="I103" s="495">
        <v>20364</v>
      </c>
      <c r="J103" s="496">
        <v>14355</v>
      </c>
      <c r="K103" s="496">
        <v>0</v>
      </c>
      <c r="L103" s="496">
        <v>0</v>
      </c>
      <c r="M103" s="411">
        <v>4852</v>
      </c>
      <c r="N103" s="411">
        <v>287</v>
      </c>
      <c r="O103" s="496">
        <v>870</v>
      </c>
      <c r="P103" s="497">
        <v>0.06</v>
      </c>
      <c r="Q103" s="412">
        <v>0</v>
      </c>
      <c r="R103" s="498">
        <v>0.06</v>
      </c>
      <c r="S103" s="499">
        <f t="shared" si="145"/>
        <v>0</v>
      </c>
      <c r="T103" s="486">
        <v>0</v>
      </c>
      <c r="U103" s="486">
        <v>0</v>
      </c>
      <c r="V103" s="486">
        <f>SUM(S103:U103)</f>
        <v>0</v>
      </c>
      <c r="W103" s="486">
        <v>0</v>
      </c>
      <c r="X103" s="486">
        <v>0</v>
      </c>
      <c r="Y103" s="486">
        <f>SUM(W103:X103)</f>
        <v>0</v>
      </c>
      <c r="Z103" s="486">
        <f>V103+Y103</f>
        <v>0</v>
      </c>
      <c r="AA103" s="319">
        <f>ROUND((V103+W103)*33.8%,0)</f>
        <v>0</v>
      </c>
      <c r="AB103" s="178">
        <f>ROUND(V103*2%,0)</f>
        <v>0</v>
      </c>
      <c r="AC103" s="486">
        <v>0</v>
      </c>
      <c r="AD103" s="486">
        <v>0</v>
      </c>
      <c r="AE103" s="486">
        <f t="shared" si="110"/>
        <v>0</v>
      </c>
      <c r="AF103" s="486">
        <f t="shared" si="111"/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146"/>
        <v>0</v>
      </c>
      <c r="AM103" s="501">
        <f t="shared" si="147"/>
        <v>0</v>
      </c>
      <c r="AN103" s="529">
        <f t="shared" si="114"/>
        <v>0</v>
      </c>
      <c r="AO103" s="530">
        <f>I103+AF103</f>
        <v>20364</v>
      </c>
      <c r="AP103" s="486">
        <f>J103+V103</f>
        <v>14355</v>
      </c>
      <c r="AQ103" s="486">
        <f>K103+Y103</f>
        <v>0</v>
      </c>
      <c r="AR103" s="480">
        <f>L103</f>
        <v>0</v>
      </c>
      <c r="AS103" s="486">
        <f t="shared" si="148"/>
        <v>4852</v>
      </c>
      <c r="AT103" s="486">
        <f t="shared" si="148"/>
        <v>287</v>
      </c>
      <c r="AU103" s="486">
        <f>O103+AE103</f>
        <v>870</v>
      </c>
      <c r="AV103" s="501">
        <f>P103+AN103</f>
        <v>0.06</v>
      </c>
      <c r="AW103" s="501">
        <f t="shared" si="149"/>
        <v>0</v>
      </c>
      <c r="AX103" s="502">
        <f t="shared" si="149"/>
        <v>0.06</v>
      </c>
    </row>
    <row r="104" spans="1:50" ht="12.95" customHeight="1" x14ac:dyDescent="0.25">
      <c r="A104" s="307">
        <v>20</v>
      </c>
      <c r="B104" s="131">
        <v>2463</v>
      </c>
      <c r="C104" s="131">
        <v>600080056</v>
      </c>
      <c r="D104" s="131">
        <v>70982066</v>
      </c>
      <c r="E104" s="554" t="s">
        <v>527</v>
      </c>
      <c r="F104" s="135"/>
      <c r="G104" s="564"/>
      <c r="H104" s="375"/>
      <c r="I104" s="136">
        <v>9006217</v>
      </c>
      <c r="J104" s="240">
        <v>6453009</v>
      </c>
      <c r="K104" s="240">
        <v>46024</v>
      </c>
      <c r="L104" s="240">
        <v>13024</v>
      </c>
      <c r="M104" s="240">
        <v>2192271</v>
      </c>
      <c r="N104" s="240">
        <v>129061</v>
      </c>
      <c r="O104" s="240">
        <v>185852</v>
      </c>
      <c r="P104" s="381">
        <v>14.020200000000001</v>
      </c>
      <c r="Q104" s="381">
        <v>9.5068999999999999</v>
      </c>
      <c r="R104" s="397">
        <v>4.5133000000000001</v>
      </c>
      <c r="S104" s="240">
        <f t="shared" ref="S104:AN104" si="150">SUM(S99:S103)</f>
        <v>0</v>
      </c>
      <c r="T104" s="116">
        <f t="shared" si="150"/>
        <v>0</v>
      </c>
      <c r="U104" s="116">
        <f t="shared" si="150"/>
        <v>0</v>
      </c>
      <c r="V104" s="116">
        <f t="shared" si="150"/>
        <v>0</v>
      </c>
      <c r="W104" s="116">
        <f t="shared" si="150"/>
        <v>0</v>
      </c>
      <c r="X104" s="116">
        <f t="shared" si="150"/>
        <v>0</v>
      </c>
      <c r="Y104" s="116">
        <f t="shared" si="150"/>
        <v>0</v>
      </c>
      <c r="Z104" s="116">
        <f t="shared" si="150"/>
        <v>0</v>
      </c>
      <c r="AA104" s="116">
        <f t="shared" si="150"/>
        <v>0</v>
      </c>
      <c r="AB104" s="116">
        <f t="shared" si="150"/>
        <v>0</v>
      </c>
      <c r="AC104" s="116">
        <f t="shared" si="150"/>
        <v>0</v>
      </c>
      <c r="AD104" s="116">
        <f t="shared" si="150"/>
        <v>0</v>
      </c>
      <c r="AE104" s="116">
        <f t="shared" si="150"/>
        <v>0</v>
      </c>
      <c r="AF104" s="116">
        <f t="shared" si="150"/>
        <v>0</v>
      </c>
      <c r="AG104" s="303">
        <f t="shared" si="150"/>
        <v>0</v>
      </c>
      <c r="AH104" s="303">
        <f t="shared" si="150"/>
        <v>0</v>
      </c>
      <c r="AI104" s="303">
        <f t="shared" si="150"/>
        <v>0</v>
      </c>
      <c r="AJ104" s="303">
        <f t="shared" si="150"/>
        <v>0</v>
      </c>
      <c r="AK104" s="303">
        <f t="shared" si="150"/>
        <v>0</v>
      </c>
      <c r="AL104" s="303">
        <f t="shared" si="150"/>
        <v>0</v>
      </c>
      <c r="AM104" s="303">
        <f t="shared" si="150"/>
        <v>0</v>
      </c>
      <c r="AN104" s="390">
        <f t="shared" si="150"/>
        <v>0</v>
      </c>
      <c r="AO104" s="136">
        <f t="shared" ref="AO104:AX104" si="151">SUM(AO99:AO103)</f>
        <v>9006217</v>
      </c>
      <c r="AP104" s="116">
        <f t="shared" si="151"/>
        <v>6453009</v>
      </c>
      <c r="AQ104" s="116">
        <f t="shared" si="151"/>
        <v>46024</v>
      </c>
      <c r="AR104" s="116">
        <f t="shared" si="151"/>
        <v>13024</v>
      </c>
      <c r="AS104" s="116">
        <f t="shared" si="151"/>
        <v>2192271</v>
      </c>
      <c r="AT104" s="116">
        <f t="shared" si="151"/>
        <v>129061</v>
      </c>
      <c r="AU104" s="116">
        <f t="shared" si="151"/>
        <v>185852</v>
      </c>
      <c r="AV104" s="303">
        <f t="shared" si="151"/>
        <v>14.020200000000001</v>
      </c>
      <c r="AW104" s="303">
        <f t="shared" si="151"/>
        <v>9.5068999999999999</v>
      </c>
      <c r="AX104" s="304">
        <f t="shared" si="151"/>
        <v>4.5133000000000001</v>
      </c>
    </row>
    <row r="105" spans="1:50" ht="12.95" customHeight="1" x14ac:dyDescent="0.25">
      <c r="A105" s="305">
        <v>21</v>
      </c>
      <c r="B105" s="551">
        <v>3427</v>
      </c>
      <c r="C105" s="551">
        <v>650023340</v>
      </c>
      <c r="D105" s="83">
        <v>70982988</v>
      </c>
      <c r="E105" s="556" t="s">
        <v>528</v>
      </c>
      <c r="F105" s="551">
        <v>3111</v>
      </c>
      <c r="G105" s="553" t="s">
        <v>331</v>
      </c>
      <c r="H105" s="494" t="s">
        <v>283</v>
      </c>
      <c r="I105" s="495">
        <v>2291296</v>
      </c>
      <c r="J105" s="496">
        <v>1665093</v>
      </c>
      <c r="K105" s="496">
        <v>0</v>
      </c>
      <c r="L105" s="496">
        <v>0</v>
      </c>
      <c r="M105" s="411">
        <v>562801</v>
      </c>
      <c r="N105" s="411">
        <v>33302</v>
      </c>
      <c r="O105" s="496">
        <v>30100</v>
      </c>
      <c r="P105" s="497">
        <v>4.0217999999999998</v>
      </c>
      <c r="Q105" s="412">
        <v>3</v>
      </c>
      <c r="R105" s="498">
        <v>1.0218</v>
      </c>
      <c r="S105" s="499">
        <f t="shared" ref="S105:S110" si="152">W105*-1</f>
        <v>0</v>
      </c>
      <c r="T105" s="486">
        <v>0</v>
      </c>
      <c r="U105" s="486">
        <v>0</v>
      </c>
      <c r="V105" s="486">
        <f t="shared" ref="V105:V110" si="153">SUM(S105:U105)</f>
        <v>0</v>
      </c>
      <c r="W105" s="486">
        <v>0</v>
      </c>
      <c r="X105" s="486">
        <v>0</v>
      </c>
      <c r="Y105" s="486">
        <f t="shared" ref="Y105:Y110" si="154">SUM(W105:X105)</f>
        <v>0</v>
      </c>
      <c r="Z105" s="486">
        <f t="shared" ref="Z105:Z110" si="155">V105+Y105</f>
        <v>0</v>
      </c>
      <c r="AA105" s="319">
        <f t="shared" ref="AA105:AA110" si="156">ROUND((V105+W105)*33.8%,0)</f>
        <v>0</v>
      </c>
      <c r="AB105" s="178">
        <f t="shared" ref="AB105:AB110" si="157">ROUND(V105*2%,0)</f>
        <v>0</v>
      </c>
      <c r="AC105" s="486">
        <v>0</v>
      </c>
      <c r="AD105" s="486">
        <v>0</v>
      </c>
      <c r="AE105" s="486">
        <f t="shared" si="110"/>
        <v>0</v>
      </c>
      <c r="AF105" s="486">
        <f t="shared" si="111"/>
        <v>0</v>
      </c>
      <c r="AG105" s="501">
        <v>0</v>
      </c>
      <c r="AH105" s="501">
        <v>0</v>
      </c>
      <c r="AI105" s="501">
        <v>0</v>
      </c>
      <c r="AJ105" s="501">
        <v>0</v>
      </c>
      <c r="AK105" s="501">
        <v>0</v>
      </c>
      <c r="AL105" s="501">
        <f t="shared" ref="AL105:AL110" si="158">AG105+AI105+AJ105</f>
        <v>0</v>
      </c>
      <c r="AM105" s="501">
        <f t="shared" ref="AM105:AM110" si="159">AH105+AK105</f>
        <v>0</v>
      </c>
      <c r="AN105" s="529">
        <f t="shared" si="114"/>
        <v>0</v>
      </c>
      <c r="AO105" s="530">
        <f t="shared" ref="AO105:AO110" si="160">I105+AF105</f>
        <v>2291296</v>
      </c>
      <c r="AP105" s="486">
        <f t="shared" ref="AP105:AP110" si="161">J105+V105</f>
        <v>1665093</v>
      </c>
      <c r="AQ105" s="486">
        <f t="shared" ref="AQ105:AQ110" si="162">K105+Y105</f>
        <v>0</v>
      </c>
      <c r="AR105" s="480">
        <f t="shared" ref="AR105:AR110" si="163">L105</f>
        <v>0</v>
      </c>
      <c r="AS105" s="486">
        <f t="shared" ref="AS105:AT110" si="164">M105+AA105</f>
        <v>562801</v>
      </c>
      <c r="AT105" s="486">
        <f t="shared" si="164"/>
        <v>33302</v>
      </c>
      <c r="AU105" s="486">
        <f t="shared" ref="AU105:AU110" si="165">O105+AE105</f>
        <v>30100</v>
      </c>
      <c r="AV105" s="501">
        <f t="shared" ref="AV105:AV110" si="166">P105+AN105</f>
        <v>4.0217999999999998</v>
      </c>
      <c r="AW105" s="501">
        <f t="shared" ref="AW105:AX110" si="167">Q105+AL105</f>
        <v>3</v>
      </c>
      <c r="AX105" s="502">
        <f t="shared" si="167"/>
        <v>1.0218</v>
      </c>
    </row>
    <row r="106" spans="1:50" ht="12.95" customHeight="1" x14ac:dyDescent="0.25">
      <c r="A106" s="305">
        <v>21</v>
      </c>
      <c r="B106" s="551">
        <v>3427</v>
      </c>
      <c r="C106" s="551">
        <v>650023340</v>
      </c>
      <c r="D106" s="83">
        <v>70982988</v>
      </c>
      <c r="E106" s="552" t="s">
        <v>528</v>
      </c>
      <c r="F106" s="551">
        <v>3113</v>
      </c>
      <c r="G106" s="552" t="s">
        <v>335</v>
      </c>
      <c r="H106" s="494" t="s">
        <v>283</v>
      </c>
      <c r="I106" s="495">
        <v>12176774</v>
      </c>
      <c r="J106" s="496">
        <v>8661757</v>
      </c>
      <c r="K106" s="496">
        <v>25308</v>
      </c>
      <c r="L106" s="496">
        <v>25308</v>
      </c>
      <c r="M106" s="411">
        <v>2927674</v>
      </c>
      <c r="N106" s="411">
        <v>173235</v>
      </c>
      <c r="O106" s="496">
        <v>388800</v>
      </c>
      <c r="P106" s="497">
        <v>17.473500000000001</v>
      </c>
      <c r="Q106" s="412">
        <v>12.363300000000001</v>
      </c>
      <c r="R106" s="498">
        <v>5.1101999999999999</v>
      </c>
      <c r="S106" s="499">
        <f t="shared" si="152"/>
        <v>0</v>
      </c>
      <c r="T106" s="486">
        <v>-22091</v>
      </c>
      <c r="U106" s="486">
        <v>0</v>
      </c>
      <c r="V106" s="486">
        <f t="shared" si="153"/>
        <v>-22091</v>
      </c>
      <c r="W106" s="486">
        <v>0</v>
      </c>
      <c r="X106" s="486">
        <v>0</v>
      </c>
      <c r="Y106" s="486">
        <f t="shared" si="154"/>
        <v>0</v>
      </c>
      <c r="Z106" s="486">
        <f t="shared" si="155"/>
        <v>-22091</v>
      </c>
      <c r="AA106" s="319">
        <f t="shared" si="156"/>
        <v>-7467</v>
      </c>
      <c r="AB106" s="178">
        <f t="shared" si="157"/>
        <v>-442</v>
      </c>
      <c r="AC106" s="486">
        <v>0</v>
      </c>
      <c r="AD106" s="486">
        <v>30000</v>
      </c>
      <c r="AE106" s="486">
        <f t="shared" si="110"/>
        <v>30000</v>
      </c>
      <c r="AF106" s="486">
        <f t="shared" si="111"/>
        <v>0</v>
      </c>
      <c r="AG106" s="501">
        <v>0</v>
      </c>
      <c r="AH106" s="501">
        <v>0</v>
      </c>
      <c r="AI106" s="501">
        <v>0</v>
      </c>
      <c r="AJ106" s="501">
        <v>0</v>
      </c>
      <c r="AK106" s="501">
        <v>0</v>
      </c>
      <c r="AL106" s="501">
        <f t="shared" si="158"/>
        <v>0</v>
      </c>
      <c r="AM106" s="501">
        <f t="shared" si="159"/>
        <v>0</v>
      </c>
      <c r="AN106" s="529">
        <f t="shared" si="114"/>
        <v>0</v>
      </c>
      <c r="AO106" s="530">
        <f t="shared" si="160"/>
        <v>12176774</v>
      </c>
      <c r="AP106" s="486">
        <f t="shared" si="161"/>
        <v>8639666</v>
      </c>
      <c r="AQ106" s="486">
        <f t="shared" si="162"/>
        <v>25308</v>
      </c>
      <c r="AR106" s="480">
        <f t="shared" si="163"/>
        <v>25308</v>
      </c>
      <c r="AS106" s="486">
        <f t="shared" si="164"/>
        <v>2920207</v>
      </c>
      <c r="AT106" s="486">
        <f t="shared" si="164"/>
        <v>172793</v>
      </c>
      <c r="AU106" s="486">
        <f t="shared" si="165"/>
        <v>418800</v>
      </c>
      <c r="AV106" s="501">
        <f t="shared" si="166"/>
        <v>17.473500000000001</v>
      </c>
      <c r="AW106" s="501">
        <f t="shared" si="167"/>
        <v>12.363300000000001</v>
      </c>
      <c r="AX106" s="502">
        <f t="shared" si="167"/>
        <v>5.1101999999999999</v>
      </c>
    </row>
    <row r="107" spans="1:50" ht="12.95" customHeight="1" x14ac:dyDescent="0.25">
      <c r="A107" s="305">
        <v>21</v>
      </c>
      <c r="B107" s="551">
        <v>3427</v>
      </c>
      <c r="C107" s="551">
        <v>650023340</v>
      </c>
      <c r="D107" s="83">
        <v>70982988</v>
      </c>
      <c r="E107" s="552" t="s">
        <v>528</v>
      </c>
      <c r="F107" s="551">
        <v>3113</v>
      </c>
      <c r="G107" s="528" t="s">
        <v>318</v>
      </c>
      <c r="H107" s="494" t="s">
        <v>284</v>
      </c>
      <c r="I107" s="495">
        <v>1574720</v>
      </c>
      <c r="J107" s="496">
        <v>1159588</v>
      </c>
      <c r="K107" s="496">
        <v>0</v>
      </c>
      <c r="L107" s="496">
        <v>0</v>
      </c>
      <c r="M107" s="411">
        <v>391940</v>
      </c>
      <c r="N107" s="411">
        <v>23192</v>
      </c>
      <c r="O107" s="496">
        <v>0</v>
      </c>
      <c r="P107" s="497">
        <v>3.1399999999999997</v>
      </c>
      <c r="Q107" s="412">
        <v>3.1399999999999997</v>
      </c>
      <c r="R107" s="498">
        <v>0</v>
      </c>
      <c r="S107" s="499">
        <f t="shared" si="152"/>
        <v>0</v>
      </c>
      <c r="T107" s="486">
        <v>5670</v>
      </c>
      <c r="U107" s="486">
        <v>0</v>
      </c>
      <c r="V107" s="486">
        <f t="shared" si="153"/>
        <v>5670</v>
      </c>
      <c r="W107" s="486">
        <v>0</v>
      </c>
      <c r="X107" s="486">
        <v>0</v>
      </c>
      <c r="Y107" s="486">
        <f t="shared" si="154"/>
        <v>0</v>
      </c>
      <c r="Z107" s="486">
        <f t="shared" si="155"/>
        <v>5670</v>
      </c>
      <c r="AA107" s="319">
        <f t="shared" si="156"/>
        <v>1916</v>
      </c>
      <c r="AB107" s="178">
        <f t="shared" si="157"/>
        <v>113</v>
      </c>
      <c r="AC107" s="486">
        <v>35250</v>
      </c>
      <c r="AD107" s="486">
        <v>0</v>
      </c>
      <c r="AE107" s="486">
        <f t="shared" si="110"/>
        <v>35250</v>
      </c>
      <c r="AF107" s="486">
        <f t="shared" si="111"/>
        <v>42949</v>
      </c>
      <c r="AG107" s="501">
        <v>0</v>
      </c>
      <c r="AH107" s="501">
        <v>0</v>
      </c>
      <c r="AI107" s="501">
        <v>0.01</v>
      </c>
      <c r="AJ107" s="501">
        <v>0</v>
      </c>
      <c r="AK107" s="501">
        <v>0</v>
      </c>
      <c r="AL107" s="501">
        <f t="shared" si="158"/>
        <v>0.01</v>
      </c>
      <c r="AM107" s="501">
        <f t="shared" si="159"/>
        <v>0</v>
      </c>
      <c r="AN107" s="529">
        <f t="shared" si="114"/>
        <v>0.01</v>
      </c>
      <c r="AO107" s="530">
        <f t="shared" si="160"/>
        <v>1617669</v>
      </c>
      <c r="AP107" s="486">
        <f t="shared" si="161"/>
        <v>1165258</v>
      </c>
      <c r="AQ107" s="486">
        <f t="shared" si="162"/>
        <v>0</v>
      </c>
      <c r="AR107" s="480">
        <f t="shared" si="163"/>
        <v>0</v>
      </c>
      <c r="AS107" s="486">
        <f t="shared" si="164"/>
        <v>393856</v>
      </c>
      <c r="AT107" s="486">
        <f t="shared" si="164"/>
        <v>23305</v>
      </c>
      <c r="AU107" s="486">
        <f t="shared" si="165"/>
        <v>35250</v>
      </c>
      <c r="AV107" s="501">
        <f t="shared" si="166"/>
        <v>3.1499999999999995</v>
      </c>
      <c r="AW107" s="501">
        <f t="shared" si="167"/>
        <v>3.1499999999999995</v>
      </c>
      <c r="AX107" s="502">
        <f t="shared" si="167"/>
        <v>0</v>
      </c>
    </row>
    <row r="108" spans="1:50" ht="12.95" customHeight="1" x14ac:dyDescent="0.25">
      <c r="A108" s="305">
        <v>21</v>
      </c>
      <c r="B108" s="551">
        <v>3427</v>
      </c>
      <c r="C108" s="551">
        <v>650023340</v>
      </c>
      <c r="D108" s="83">
        <v>70982988</v>
      </c>
      <c r="E108" s="550" t="s">
        <v>528</v>
      </c>
      <c r="F108" s="561">
        <v>3141</v>
      </c>
      <c r="G108" s="553" t="s">
        <v>321</v>
      </c>
      <c r="H108" s="494" t="s">
        <v>284</v>
      </c>
      <c r="I108" s="495">
        <v>1733089</v>
      </c>
      <c r="J108" s="496">
        <v>1267010</v>
      </c>
      <c r="K108" s="496">
        <v>0</v>
      </c>
      <c r="L108" s="496">
        <v>0</v>
      </c>
      <c r="M108" s="411">
        <v>428249</v>
      </c>
      <c r="N108" s="411">
        <v>25340</v>
      </c>
      <c r="O108" s="496">
        <v>12490</v>
      </c>
      <c r="P108" s="497">
        <v>4.3</v>
      </c>
      <c r="Q108" s="412">
        <v>0</v>
      </c>
      <c r="R108" s="498">
        <v>4.3</v>
      </c>
      <c r="S108" s="499">
        <f t="shared" si="152"/>
        <v>0</v>
      </c>
      <c r="T108" s="486">
        <v>0</v>
      </c>
      <c r="U108" s="486">
        <v>0</v>
      </c>
      <c r="V108" s="486">
        <f t="shared" si="153"/>
        <v>0</v>
      </c>
      <c r="W108" s="486">
        <v>0</v>
      </c>
      <c r="X108" s="486">
        <v>0</v>
      </c>
      <c r="Y108" s="486">
        <f t="shared" si="154"/>
        <v>0</v>
      </c>
      <c r="Z108" s="486">
        <f t="shared" si="155"/>
        <v>0</v>
      </c>
      <c r="AA108" s="319">
        <f t="shared" si="156"/>
        <v>0</v>
      </c>
      <c r="AB108" s="178">
        <f t="shared" si="157"/>
        <v>0</v>
      </c>
      <c r="AC108" s="486">
        <v>0</v>
      </c>
      <c r="AD108" s="486">
        <v>0</v>
      </c>
      <c r="AE108" s="486">
        <f t="shared" si="110"/>
        <v>0</v>
      </c>
      <c r="AF108" s="486">
        <f t="shared" si="111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58"/>
        <v>0</v>
      </c>
      <c r="AM108" s="501">
        <f t="shared" si="159"/>
        <v>0</v>
      </c>
      <c r="AN108" s="529">
        <f t="shared" si="114"/>
        <v>0</v>
      </c>
      <c r="AO108" s="530">
        <f t="shared" si="160"/>
        <v>1733089</v>
      </c>
      <c r="AP108" s="486">
        <f t="shared" si="161"/>
        <v>1267010</v>
      </c>
      <c r="AQ108" s="486">
        <f t="shared" si="162"/>
        <v>0</v>
      </c>
      <c r="AR108" s="480">
        <f t="shared" si="163"/>
        <v>0</v>
      </c>
      <c r="AS108" s="486">
        <f t="shared" si="164"/>
        <v>428249</v>
      </c>
      <c r="AT108" s="486">
        <f t="shared" si="164"/>
        <v>25340</v>
      </c>
      <c r="AU108" s="486">
        <f t="shared" si="165"/>
        <v>12490</v>
      </c>
      <c r="AV108" s="501">
        <f t="shared" si="166"/>
        <v>4.3</v>
      </c>
      <c r="AW108" s="501">
        <f t="shared" si="167"/>
        <v>0</v>
      </c>
      <c r="AX108" s="502">
        <f t="shared" si="167"/>
        <v>4.3</v>
      </c>
    </row>
    <row r="109" spans="1:50" ht="12.95" customHeight="1" x14ac:dyDescent="0.25">
      <c r="A109" s="305">
        <v>21</v>
      </c>
      <c r="B109" s="551">
        <v>3427</v>
      </c>
      <c r="C109" s="551">
        <v>650023340</v>
      </c>
      <c r="D109" s="83">
        <v>70982988</v>
      </c>
      <c r="E109" s="552" t="s">
        <v>528</v>
      </c>
      <c r="F109" s="551">
        <v>3143</v>
      </c>
      <c r="G109" s="528" t="s">
        <v>634</v>
      </c>
      <c r="H109" s="494" t="s">
        <v>283</v>
      </c>
      <c r="I109" s="495">
        <v>949393</v>
      </c>
      <c r="J109" s="496">
        <v>699111</v>
      </c>
      <c r="K109" s="496">
        <v>0</v>
      </c>
      <c r="L109" s="496">
        <v>0</v>
      </c>
      <c r="M109" s="411">
        <v>236300</v>
      </c>
      <c r="N109" s="411">
        <v>13982</v>
      </c>
      <c r="O109" s="496">
        <v>0</v>
      </c>
      <c r="P109" s="497">
        <v>1.5</v>
      </c>
      <c r="Q109" s="412">
        <v>1.5</v>
      </c>
      <c r="R109" s="498">
        <v>0</v>
      </c>
      <c r="S109" s="499">
        <f t="shared" si="152"/>
        <v>0</v>
      </c>
      <c r="T109" s="486">
        <v>0</v>
      </c>
      <c r="U109" s="486">
        <v>0</v>
      </c>
      <c r="V109" s="486">
        <f t="shared" si="153"/>
        <v>0</v>
      </c>
      <c r="W109" s="486">
        <v>0</v>
      </c>
      <c r="X109" s="486">
        <v>0</v>
      </c>
      <c r="Y109" s="486">
        <f t="shared" si="154"/>
        <v>0</v>
      </c>
      <c r="Z109" s="486">
        <f t="shared" si="155"/>
        <v>0</v>
      </c>
      <c r="AA109" s="319">
        <f t="shared" si="156"/>
        <v>0</v>
      </c>
      <c r="AB109" s="178">
        <f t="shared" si="157"/>
        <v>0</v>
      </c>
      <c r="AC109" s="486">
        <v>0</v>
      </c>
      <c r="AD109" s="486">
        <v>0</v>
      </c>
      <c r="AE109" s="486">
        <f t="shared" si="110"/>
        <v>0</v>
      </c>
      <c r="AF109" s="486">
        <f t="shared" si="111"/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158"/>
        <v>0</v>
      </c>
      <c r="AM109" s="501">
        <f t="shared" si="159"/>
        <v>0</v>
      </c>
      <c r="AN109" s="529">
        <f t="shared" si="114"/>
        <v>0</v>
      </c>
      <c r="AO109" s="530">
        <f t="shared" si="160"/>
        <v>949393</v>
      </c>
      <c r="AP109" s="486">
        <f t="shared" si="161"/>
        <v>699111</v>
      </c>
      <c r="AQ109" s="486">
        <f t="shared" si="162"/>
        <v>0</v>
      </c>
      <c r="AR109" s="480">
        <f t="shared" si="163"/>
        <v>0</v>
      </c>
      <c r="AS109" s="486">
        <f t="shared" si="164"/>
        <v>236300</v>
      </c>
      <c r="AT109" s="486">
        <f t="shared" si="164"/>
        <v>13982</v>
      </c>
      <c r="AU109" s="486">
        <f t="shared" si="165"/>
        <v>0</v>
      </c>
      <c r="AV109" s="501">
        <f t="shared" si="166"/>
        <v>1.5</v>
      </c>
      <c r="AW109" s="501">
        <f t="shared" si="167"/>
        <v>1.5</v>
      </c>
      <c r="AX109" s="502">
        <f t="shared" si="167"/>
        <v>0</v>
      </c>
    </row>
    <row r="110" spans="1:50" ht="12.95" customHeight="1" x14ac:dyDescent="0.25">
      <c r="A110" s="305">
        <v>21</v>
      </c>
      <c r="B110" s="551">
        <v>3427</v>
      </c>
      <c r="C110" s="551">
        <v>650023340</v>
      </c>
      <c r="D110" s="83">
        <v>70982988</v>
      </c>
      <c r="E110" s="552" t="s">
        <v>528</v>
      </c>
      <c r="F110" s="551">
        <v>3143</v>
      </c>
      <c r="G110" s="528" t="s">
        <v>635</v>
      </c>
      <c r="H110" s="494" t="s">
        <v>284</v>
      </c>
      <c r="I110" s="495">
        <v>30898</v>
      </c>
      <c r="J110" s="496">
        <v>21780</v>
      </c>
      <c r="K110" s="496">
        <v>0</v>
      </c>
      <c r="L110" s="496">
        <v>0</v>
      </c>
      <c r="M110" s="411">
        <v>7362</v>
      </c>
      <c r="N110" s="411">
        <v>436</v>
      </c>
      <c r="O110" s="496">
        <v>1320</v>
      </c>
      <c r="P110" s="497">
        <v>0.09</v>
      </c>
      <c r="Q110" s="412">
        <v>0</v>
      </c>
      <c r="R110" s="498">
        <v>0.09</v>
      </c>
      <c r="S110" s="499">
        <f t="shared" si="152"/>
        <v>0</v>
      </c>
      <c r="T110" s="486">
        <v>0</v>
      </c>
      <c r="U110" s="486">
        <v>0</v>
      </c>
      <c r="V110" s="486">
        <f t="shared" si="153"/>
        <v>0</v>
      </c>
      <c r="W110" s="486">
        <v>0</v>
      </c>
      <c r="X110" s="486">
        <v>0</v>
      </c>
      <c r="Y110" s="486">
        <f t="shared" si="154"/>
        <v>0</v>
      </c>
      <c r="Z110" s="486">
        <f t="shared" si="155"/>
        <v>0</v>
      </c>
      <c r="AA110" s="319">
        <f t="shared" si="156"/>
        <v>0</v>
      </c>
      <c r="AB110" s="178">
        <f t="shared" si="157"/>
        <v>0</v>
      </c>
      <c r="AC110" s="486">
        <v>0</v>
      </c>
      <c r="AD110" s="486">
        <v>0</v>
      </c>
      <c r="AE110" s="486">
        <f t="shared" si="110"/>
        <v>0</v>
      </c>
      <c r="AF110" s="486">
        <f t="shared" si="111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si="158"/>
        <v>0</v>
      </c>
      <c r="AM110" s="501">
        <f t="shared" si="159"/>
        <v>0</v>
      </c>
      <c r="AN110" s="529">
        <f t="shared" si="114"/>
        <v>0</v>
      </c>
      <c r="AO110" s="530">
        <f t="shared" si="160"/>
        <v>30898</v>
      </c>
      <c r="AP110" s="486">
        <f t="shared" si="161"/>
        <v>21780</v>
      </c>
      <c r="AQ110" s="486">
        <f t="shared" si="162"/>
        <v>0</v>
      </c>
      <c r="AR110" s="480">
        <f t="shared" si="163"/>
        <v>0</v>
      </c>
      <c r="AS110" s="486">
        <f t="shared" si="164"/>
        <v>7362</v>
      </c>
      <c r="AT110" s="486">
        <f t="shared" si="164"/>
        <v>436</v>
      </c>
      <c r="AU110" s="486">
        <f t="shared" si="165"/>
        <v>1320</v>
      </c>
      <c r="AV110" s="501">
        <f t="shared" si="166"/>
        <v>0.09</v>
      </c>
      <c r="AW110" s="501">
        <f t="shared" si="167"/>
        <v>0</v>
      </c>
      <c r="AX110" s="502">
        <f t="shared" si="167"/>
        <v>0.09</v>
      </c>
    </row>
    <row r="111" spans="1:50" ht="12.95" customHeight="1" x14ac:dyDescent="0.25">
      <c r="A111" s="307">
        <v>21</v>
      </c>
      <c r="B111" s="131">
        <v>3427</v>
      </c>
      <c r="C111" s="131">
        <v>650023340</v>
      </c>
      <c r="D111" s="131">
        <v>70982988</v>
      </c>
      <c r="E111" s="554" t="s">
        <v>529</v>
      </c>
      <c r="F111" s="128"/>
      <c r="G111" s="554"/>
      <c r="H111" s="371"/>
      <c r="I111" s="133">
        <v>18756170</v>
      </c>
      <c r="J111" s="239">
        <v>13474339</v>
      </c>
      <c r="K111" s="239">
        <v>25308</v>
      </c>
      <c r="L111" s="239">
        <v>25308</v>
      </c>
      <c r="M111" s="239">
        <v>4554326</v>
      </c>
      <c r="N111" s="239">
        <v>269487</v>
      </c>
      <c r="O111" s="239">
        <v>432710</v>
      </c>
      <c r="P111" s="380">
        <v>30.525300000000001</v>
      </c>
      <c r="Q111" s="380">
        <v>20.003299999999999</v>
      </c>
      <c r="R111" s="396">
        <v>10.521999999999998</v>
      </c>
      <c r="S111" s="239">
        <f t="shared" ref="S111:AN111" si="168">SUM(S105:S110)</f>
        <v>0</v>
      </c>
      <c r="T111" s="169">
        <f t="shared" si="168"/>
        <v>-16421</v>
      </c>
      <c r="U111" s="169">
        <f t="shared" si="168"/>
        <v>0</v>
      </c>
      <c r="V111" s="169">
        <f t="shared" si="168"/>
        <v>-16421</v>
      </c>
      <c r="W111" s="169">
        <f t="shared" si="168"/>
        <v>0</v>
      </c>
      <c r="X111" s="169">
        <f t="shared" si="168"/>
        <v>0</v>
      </c>
      <c r="Y111" s="169">
        <f t="shared" si="168"/>
        <v>0</v>
      </c>
      <c r="Z111" s="169">
        <f t="shared" si="168"/>
        <v>-16421</v>
      </c>
      <c r="AA111" s="169">
        <f t="shared" si="168"/>
        <v>-5551</v>
      </c>
      <c r="AB111" s="169">
        <f t="shared" si="168"/>
        <v>-329</v>
      </c>
      <c r="AC111" s="169">
        <f t="shared" si="168"/>
        <v>35250</v>
      </c>
      <c r="AD111" s="169">
        <f t="shared" si="168"/>
        <v>30000</v>
      </c>
      <c r="AE111" s="169">
        <f t="shared" si="168"/>
        <v>65250</v>
      </c>
      <c r="AF111" s="169">
        <f t="shared" si="168"/>
        <v>42949</v>
      </c>
      <c r="AG111" s="316">
        <f t="shared" si="168"/>
        <v>0</v>
      </c>
      <c r="AH111" s="316">
        <f t="shared" si="168"/>
        <v>0</v>
      </c>
      <c r="AI111" s="316">
        <f t="shared" si="168"/>
        <v>0.01</v>
      </c>
      <c r="AJ111" s="316">
        <f t="shared" si="168"/>
        <v>0</v>
      </c>
      <c r="AK111" s="316">
        <f t="shared" si="168"/>
        <v>0</v>
      </c>
      <c r="AL111" s="316">
        <f t="shared" si="168"/>
        <v>0.01</v>
      </c>
      <c r="AM111" s="316">
        <f t="shared" si="168"/>
        <v>0</v>
      </c>
      <c r="AN111" s="389">
        <f t="shared" si="168"/>
        <v>0.01</v>
      </c>
      <c r="AO111" s="133">
        <f t="shared" ref="AO111:AX111" si="169">SUM(AO105:AO110)</f>
        <v>18799119</v>
      </c>
      <c r="AP111" s="169">
        <f t="shared" si="169"/>
        <v>13457918</v>
      </c>
      <c r="AQ111" s="169">
        <f t="shared" si="169"/>
        <v>25308</v>
      </c>
      <c r="AR111" s="169">
        <f t="shared" si="169"/>
        <v>25308</v>
      </c>
      <c r="AS111" s="169">
        <f t="shared" si="169"/>
        <v>4548775</v>
      </c>
      <c r="AT111" s="169">
        <f t="shared" si="169"/>
        <v>269158</v>
      </c>
      <c r="AU111" s="169">
        <f t="shared" si="169"/>
        <v>497960</v>
      </c>
      <c r="AV111" s="316">
        <f t="shared" si="169"/>
        <v>30.535299999999999</v>
      </c>
      <c r="AW111" s="316">
        <f t="shared" si="169"/>
        <v>20.013300000000001</v>
      </c>
      <c r="AX111" s="317">
        <f t="shared" si="169"/>
        <v>10.521999999999998</v>
      </c>
    </row>
    <row r="112" spans="1:50" ht="12.95" customHeight="1" x14ac:dyDescent="0.25">
      <c r="A112" s="305">
        <v>22</v>
      </c>
      <c r="B112" s="551">
        <v>5484</v>
      </c>
      <c r="C112" s="551">
        <v>600098532</v>
      </c>
      <c r="D112" s="83">
        <v>72743255</v>
      </c>
      <c r="E112" s="552" t="s">
        <v>530</v>
      </c>
      <c r="F112" s="551">
        <v>3111</v>
      </c>
      <c r="G112" s="553" t="s">
        <v>331</v>
      </c>
      <c r="H112" s="494" t="s">
        <v>283</v>
      </c>
      <c r="I112" s="495">
        <v>4654688</v>
      </c>
      <c r="J112" s="496">
        <v>3395131</v>
      </c>
      <c r="K112" s="496">
        <v>0</v>
      </c>
      <c r="L112" s="496">
        <v>0</v>
      </c>
      <c r="M112" s="411">
        <v>1147554</v>
      </c>
      <c r="N112" s="411">
        <v>67903</v>
      </c>
      <c r="O112" s="496">
        <v>44100</v>
      </c>
      <c r="P112" s="497">
        <v>8.1341999999999999</v>
      </c>
      <c r="Q112" s="412">
        <v>6</v>
      </c>
      <c r="R112" s="498">
        <v>2.1341999999999999</v>
      </c>
      <c r="S112" s="499">
        <f t="shared" ref="S112:S113" si="170">W112*-1</f>
        <v>0</v>
      </c>
      <c r="T112" s="486">
        <v>0</v>
      </c>
      <c r="U112" s="486">
        <v>0</v>
      </c>
      <c r="V112" s="486">
        <f>SUM(S112:U112)</f>
        <v>0</v>
      </c>
      <c r="W112" s="486">
        <v>0</v>
      </c>
      <c r="X112" s="486">
        <v>0</v>
      </c>
      <c r="Y112" s="486">
        <f>SUM(W112:X112)</f>
        <v>0</v>
      </c>
      <c r="Z112" s="486">
        <f>V112+Y112</f>
        <v>0</v>
      </c>
      <c r="AA112" s="319">
        <f>ROUND((V112+W112)*33.8%,0)</f>
        <v>0</v>
      </c>
      <c r="AB112" s="178">
        <f>ROUND(V112*2%,0)</f>
        <v>0</v>
      </c>
      <c r="AC112" s="486">
        <v>0</v>
      </c>
      <c r="AD112" s="486">
        <v>0</v>
      </c>
      <c r="AE112" s="486">
        <f t="shared" si="110"/>
        <v>0</v>
      </c>
      <c r="AF112" s="486">
        <f t="shared" si="111"/>
        <v>0</v>
      </c>
      <c r="AG112" s="501">
        <v>0</v>
      </c>
      <c r="AH112" s="501">
        <v>0</v>
      </c>
      <c r="AI112" s="501">
        <v>0</v>
      </c>
      <c r="AJ112" s="501">
        <v>0</v>
      </c>
      <c r="AK112" s="501">
        <v>0</v>
      </c>
      <c r="AL112" s="501">
        <f t="shared" ref="AL112:AL113" si="171">AG112+AI112+AJ112</f>
        <v>0</v>
      </c>
      <c r="AM112" s="501">
        <f t="shared" ref="AM112:AM113" si="172">AH112+AK112</f>
        <v>0</v>
      </c>
      <c r="AN112" s="529">
        <f t="shared" si="114"/>
        <v>0</v>
      </c>
      <c r="AO112" s="530">
        <f>I112+AF112</f>
        <v>4654688</v>
      </c>
      <c r="AP112" s="486">
        <f>J112+V112</f>
        <v>3395131</v>
      </c>
      <c r="AQ112" s="486">
        <f>K112+Y112</f>
        <v>0</v>
      </c>
      <c r="AR112" s="480">
        <f>L112</f>
        <v>0</v>
      </c>
      <c r="AS112" s="486">
        <f>M112+AA112</f>
        <v>1147554</v>
      </c>
      <c r="AT112" s="486">
        <f>N112+AB112</f>
        <v>67903</v>
      </c>
      <c r="AU112" s="486">
        <f>O112+AE112</f>
        <v>44100</v>
      </c>
      <c r="AV112" s="501">
        <f>P112+AN112</f>
        <v>8.1341999999999999</v>
      </c>
      <c r="AW112" s="501">
        <f>Q112+AL112</f>
        <v>6</v>
      </c>
      <c r="AX112" s="502">
        <f>R112+AM112</f>
        <v>2.1341999999999999</v>
      </c>
    </row>
    <row r="113" spans="1:50" ht="12.95" customHeight="1" x14ac:dyDescent="0.25">
      <c r="A113" s="305">
        <v>22</v>
      </c>
      <c r="B113" s="551">
        <v>5484</v>
      </c>
      <c r="C113" s="551">
        <v>600098532</v>
      </c>
      <c r="D113" s="83">
        <v>72743255</v>
      </c>
      <c r="E113" s="552" t="s">
        <v>530</v>
      </c>
      <c r="F113" s="551">
        <v>3141</v>
      </c>
      <c r="G113" s="553" t="s">
        <v>321</v>
      </c>
      <c r="H113" s="494" t="s">
        <v>284</v>
      </c>
      <c r="I113" s="495">
        <v>1158231</v>
      </c>
      <c r="J113" s="496">
        <v>847937</v>
      </c>
      <c r="K113" s="496">
        <v>0</v>
      </c>
      <c r="L113" s="496">
        <v>0</v>
      </c>
      <c r="M113" s="411">
        <v>286603</v>
      </c>
      <c r="N113" s="411">
        <v>16959</v>
      </c>
      <c r="O113" s="496">
        <v>6732</v>
      </c>
      <c r="P113" s="497">
        <v>2.88</v>
      </c>
      <c r="Q113" s="412">
        <v>0</v>
      </c>
      <c r="R113" s="498">
        <v>2.88</v>
      </c>
      <c r="S113" s="499">
        <f t="shared" si="170"/>
        <v>0</v>
      </c>
      <c r="T113" s="486">
        <v>0</v>
      </c>
      <c r="U113" s="486">
        <v>0</v>
      </c>
      <c r="V113" s="486">
        <f>SUM(S113:U113)</f>
        <v>0</v>
      </c>
      <c r="W113" s="486">
        <v>0</v>
      </c>
      <c r="X113" s="486">
        <v>0</v>
      </c>
      <c r="Y113" s="486">
        <f>SUM(W113:X113)</f>
        <v>0</v>
      </c>
      <c r="Z113" s="486">
        <f>V113+Y113</f>
        <v>0</v>
      </c>
      <c r="AA113" s="319">
        <f>ROUND((V113+W113)*33.8%,0)</f>
        <v>0</v>
      </c>
      <c r="AB113" s="178">
        <f>ROUND(V113*2%,0)</f>
        <v>0</v>
      </c>
      <c r="AC113" s="486">
        <v>0</v>
      </c>
      <c r="AD113" s="486">
        <v>0</v>
      </c>
      <c r="AE113" s="486">
        <f t="shared" si="110"/>
        <v>0</v>
      </c>
      <c r="AF113" s="486">
        <f t="shared" si="111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si="171"/>
        <v>0</v>
      </c>
      <c r="AM113" s="501">
        <f t="shared" si="172"/>
        <v>0</v>
      </c>
      <c r="AN113" s="529">
        <f t="shared" si="114"/>
        <v>0</v>
      </c>
      <c r="AO113" s="530">
        <f>I113+AF113</f>
        <v>1158231</v>
      </c>
      <c r="AP113" s="486">
        <f>J113+V113</f>
        <v>847937</v>
      </c>
      <c r="AQ113" s="486">
        <f>K113+Y113</f>
        <v>0</v>
      </c>
      <c r="AR113" s="480">
        <f>L113</f>
        <v>0</v>
      </c>
      <c r="AS113" s="486">
        <f>M113+AA113</f>
        <v>286603</v>
      </c>
      <c r="AT113" s="486">
        <f>N113+AB113</f>
        <v>16959</v>
      </c>
      <c r="AU113" s="486">
        <f>O113+AE113</f>
        <v>6732</v>
      </c>
      <c r="AV113" s="501">
        <f>P113+AN113</f>
        <v>2.88</v>
      </c>
      <c r="AW113" s="501">
        <f>Q113+AL113</f>
        <v>0</v>
      </c>
      <c r="AX113" s="502">
        <f>R113+AM113</f>
        <v>2.88</v>
      </c>
    </row>
    <row r="114" spans="1:50" ht="12.95" customHeight="1" x14ac:dyDescent="0.25">
      <c r="A114" s="307">
        <v>22</v>
      </c>
      <c r="B114" s="128">
        <v>5484</v>
      </c>
      <c r="C114" s="128">
        <v>600098532</v>
      </c>
      <c r="D114" s="128">
        <v>72743255</v>
      </c>
      <c r="E114" s="554" t="s">
        <v>531</v>
      </c>
      <c r="F114" s="128"/>
      <c r="G114" s="554"/>
      <c r="H114" s="371"/>
      <c r="I114" s="130">
        <v>5812919</v>
      </c>
      <c r="J114" s="141">
        <v>4243068</v>
      </c>
      <c r="K114" s="141">
        <v>0</v>
      </c>
      <c r="L114" s="141">
        <v>0</v>
      </c>
      <c r="M114" s="141">
        <v>1434157</v>
      </c>
      <c r="N114" s="141">
        <v>84862</v>
      </c>
      <c r="O114" s="141">
        <v>50832</v>
      </c>
      <c r="P114" s="379">
        <v>11.014199999999999</v>
      </c>
      <c r="Q114" s="379">
        <v>6</v>
      </c>
      <c r="R114" s="395">
        <v>5.0141999999999998</v>
      </c>
      <c r="S114" s="141">
        <f t="shared" ref="S114:AN114" si="173">SUM(S112:S113)</f>
        <v>0</v>
      </c>
      <c r="T114" s="87">
        <f t="shared" si="173"/>
        <v>0</v>
      </c>
      <c r="U114" s="87">
        <f t="shared" si="173"/>
        <v>0</v>
      </c>
      <c r="V114" s="87">
        <f t="shared" si="173"/>
        <v>0</v>
      </c>
      <c r="W114" s="87">
        <f t="shared" si="173"/>
        <v>0</v>
      </c>
      <c r="X114" s="87">
        <f t="shared" si="173"/>
        <v>0</v>
      </c>
      <c r="Y114" s="87">
        <f t="shared" si="173"/>
        <v>0</v>
      </c>
      <c r="Z114" s="87">
        <f t="shared" si="173"/>
        <v>0</v>
      </c>
      <c r="AA114" s="87">
        <f t="shared" si="173"/>
        <v>0</v>
      </c>
      <c r="AB114" s="87">
        <f t="shared" si="173"/>
        <v>0</v>
      </c>
      <c r="AC114" s="87">
        <f t="shared" si="173"/>
        <v>0</v>
      </c>
      <c r="AD114" s="87">
        <f t="shared" si="173"/>
        <v>0</v>
      </c>
      <c r="AE114" s="87">
        <f t="shared" si="173"/>
        <v>0</v>
      </c>
      <c r="AF114" s="87">
        <f t="shared" si="173"/>
        <v>0</v>
      </c>
      <c r="AG114" s="88">
        <f t="shared" si="173"/>
        <v>0</v>
      </c>
      <c r="AH114" s="88">
        <f t="shared" si="173"/>
        <v>0</v>
      </c>
      <c r="AI114" s="88">
        <f t="shared" si="173"/>
        <v>0</v>
      </c>
      <c r="AJ114" s="88">
        <f t="shared" si="173"/>
        <v>0</v>
      </c>
      <c r="AK114" s="88">
        <f t="shared" si="173"/>
        <v>0</v>
      </c>
      <c r="AL114" s="88">
        <f t="shared" si="173"/>
        <v>0</v>
      </c>
      <c r="AM114" s="88">
        <f t="shared" si="173"/>
        <v>0</v>
      </c>
      <c r="AN114" s="388">
        <f t="shared" si="173"/>
        <v>0</v>
      </c>
      <c r="AO114" s="130">
        <f t="shared" ref="AO114:AX114" si="174">SUM(AO112:AO113)</f>
        <v>5812919</v>
      </c>
      <c r="AP114" s="87">
        <f t="shared" si="174"/>
        <v>4243068</v>
      </c>
      <c r="AQ114" s="87">
        <f t="shared" si="174"/>
        <v>0</v>
      </c>
      <c r="AR114" s="87">
        <f t="shared" si="174"/>
        <v>0</v>
      </c>
      <c r="AS114" s="87">
        <f t="shared" si="174"/>
        <v>1434157</v>
      </c>
      <c r="AT114" s="87">
        <f t="shared" si="174"/>
        <v>84862</v>
      </c>
      <c r="AU114" s="87">
        <f t="shared" si="174"/>
        <v>50832</v>
      </c>
      <c r="AV114" s="88">
        <f t="shared" si="174"/>
        <v>11.014199999999999</v>
      </c>
      <c r="AW114" s="88">
        <f t="shared" si="174"/>
        <v>6</v>
      </c>
      <c r="AX114" s="274">
        <f t="shared" si="174"/>
        <v>5.0141999999999998</v>
      </c>
    </row>
    <row r="115" spans="1:50" ht="12.95" customHeight="1" x14ac:dyDescent="0.25">
      <c r="A115" s="305">
        <v>23</v>
      </c>
      <c r="B115" s="551">
        <v>5485</v>
      </c>
      <c r="C115" s="551">
        <v>600099300</v>
      </c>
      <c r="D115" s="83">
        <v>72743174</v>
      </c>
      <c r="E115" s="552" t="s">
        <v>532</v>
      </c>
      <c r="F115" s="551">
        <v>3117</v>
      </c>
      <c r="G115" s="552" t="s">
        <v>335</v>
      </c>
      <c r="H115" s="494" t="s">
        <v>283</v>
      </c>
      <c r="I115" s="495">
        <v>5818986</v>
      </c>
      <c r="J115" s="496">
        <v>4092564</v>
      </c>
      <c r="K115" s="496">
        <v>12284</v>
      </c>
      <c r="L115" s="496">
        <v>12284</v>
      </c>
      <c r="M115" s="411">
        <v>1383287</v>
      </c>
      <c r="N115" s="411">
        <v>81851</v>
      </c>
      <c r="O115" s="496">
        <v>249000</v>
      </c>
      <c r="P115" s="497">
        <v>8.6977000000000011</v>
      </c>
      <c r="Q115" s="412">
        <v>5.87</v>
      </c>
      <c r="R115" s="498">
        <v>2.8277000000000001</v>
      </c>
      <c r="S115" s="499">
        <f t="shared" ref="S115:S119" si="175">W115*-1</f>
        <v>-7929</v>
      </c>
      <c r="T115" s="486">
        <v>0</v>
      </c>
      <c r="U115" s="486">
        <v>0</v>
      </c>
      <c r="V115" s="486">
        <f>SUM(S115:U115)</f>
        <v>-7929</v>
      </c>
      <c r="W115" s="486">
        <v>7929</v>
      </c>
      <c r="X115" s="486">
        <v>0</v>
      </c>
      <c r="Y115" s="486">
        <f>SUM(W115:X115)</f>
        <v>7929</v>
      </c>
      <c r="Z115" s="486">
        <f>V115+Y115</f>
        <v>0</v>
      </c>
      <c r="AA115" s="319">
        <f>ROUND((V115+W115)*33.8%,0)</f>
        <v>0</v>
      </c>
      <c r="AB115" s="178">
        <f>ROUND(V115*2%,0)</f>
        <v>-159</v>
      </c>
      <c r="AC115" s="486">
        <v>0</v>
      </c>
      <c r="AD115" s="486">
        <v>0</v>
      </c>
      <c r="AE115" s="486">
        <f t="shared" si="110"/>
        <v>0</v>
      </c>
      <c r="AF115" s="486">
        <f t="shared" si="111"/>
        <v>-159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ref="AL115:AL119" si="176">AG115+AI115+AJ115</f>
        <v>0</v>
      </c>
      <c r="AM115" s="501">
        <f t="shared" ref="AM115:AM119" si="177">AH115+AK115</f>
        <v>0</v>
      </c>
      <c r="AN115" s="529">
        <f t="shared" si="114"/>
        <v>0</v>
      </c>
      <c r="AO115" s="530">
        <f>I115+AF115</f>
        <v>5818827</v>
      </c>
      <c r="AP115" s="486">
        <f>J115+V115</f>
        <v>4084635</v>
      </c>
      <c r="AQ115" s="486">
        <f>K115+Y115</f>
        <v>20213</v>
      </c>
      <c r="AR115" s="480">
        <f>L115</f>
        <v>12284</v>
      </c>
      <c r="AS115" s="486">
        <f t="shared" ref="AS115:AT119" si="178">M115+AA115</f>
        <v>1383287</v>
      </c>
      <c r="AT115" s="486">
        <f t="shared" si="178"/>
        <v>81692</v>
      </c>
      <c r="AU115" s="486">
        <f>O115+AE115</f>
        <v>249000</v>
      </c>
      <c r="AV115" s="501">
        <f>P115+AN115</f>
        <v>8.6977000000000011</v>
      </c>
      <c r="AW115" s="501">
        <f t="shared" ref="AW115:AX119" si="179">Q115+AL115</f>
        <v>5.87</v>
      </c>
      <c r="AX115" s="502">
        <f t="shared" si="179"/>
        <v>2.8277000000000001</v>
      </c>
    </row>
    <row r="116" spans="1:50" ht="12.95" customHeight="1" x14ac:dyDescent="0.25">
      <c r="A116" s="305">
        <v>23</v>
      </c>
      <c r="B116" s="551">
        <v>5485</v>
      </c>
      <c r="C116" s="551">
        <v>600099300</v>
      </c>
      <c r="D116" s="83">
        <v>72743174</v>
      </c>
      <c r="E116" s="550" t="s">
        <v>532</v>
      </c>
      <c r="F116" s="551">
        <v>3117</v>
      </c>
      <c r="G116" s="528" t="s">
        <v>318</v>
      </c>
      <c r="H116" s="494" t="s">
        <v>284</v>
      </c>
      <c r="I116" s="495">
        <v>260207</v>
      </c>
      <c r="J116" s="496">
        <v>191611</v>
      </c>
      <c r="K116" s="496">
        <v>0</v>
      </c>
      <c r="L116" s="496">
        <v>0</v>
      </c>
      <c r="M116" s="411">
        <v>64764</v>
      </c>
      <c r="N116" s="411">
        <v>3832</v>
      </c>
      <c r="O116" s="496">
        <v>0</v>
      </c>
      <c r="P116" s="497">
        <v>0.52</v>
      </c>
      <c r="Q116" s="412">
        <v>0.52</v>
      </c>
      <c r="R116" s="498">
        <v>0</v>
      </c>
      <c r="S116" s="499">
        <f t="shared" si="175"/>
        <v>0</v>
      </c>
      <c r="T116" s="486">
        <v>1890</v>
      </c>
      <c r="U116" s="486">
        <v>0</v>
      </c>
      <c r="V116" s="486">
        <f>SUM(S116:U116)</f>
        <v>1890</v>
      </c>
      <c r="W116" s="486">
        <v>0</v>
      </c>
      <c r="X116" s="486">
        <v>0</v>
      </c>
      <c r="Y116" s="486">
        <f>SUM(W116:X116)</f>
        <v>0</v>
      </c>
      <c r="Z116" s="486">
        <f>V116+Y116</f>
        <v>1890</v>
      </c>
      <c r="AA116" s="319">
        <f>ROUND((V116+W116)*33.8%,0)</f>
        <v>639</v>
      </c>
      <c r="AB116" s="178">
        <f>ROUND(V116*2%,0)</f>
        <v>38</v>
      </c>
      <c r="AC116" s="486">
        <v>0</v>
      </c>
      <c r="AD116" s="486">
        <v>0</v>
      </c>
      <c r="AE116" s="486">
        <f t="shared" si="110"/>
        <v>0</v>
      </c>
      <c r="AF116" s="486">
        <f t="shared" si="111"/>
        <v>2567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si="176"/>
        <v>0</v>
      </c>
      <c r="AM116" s="501">
        <f t="shared" si="177"/>
        <v>0</v>
      </c>
      <c r="AN116" s="529">
        <f t="shared" si="114"/>
        <v>0</v>
      </c>
      <c r="AO116" s="530">
        <f>I116+AF116</f>
        <v>262774</v>
      </c>
      <c r="AP116" s="486">
        <f>J116+V116</f>
        <v>193501</v>
      </c>
      <c r="AQ116" s="486">
        <f>K116+Y116</f>
        <v>0</v>
      </c>
      <c r="AR116" s="480">
        <f>L116</f>
        <v>0</v>
      </c>
      <c r="AS116" s="486">
        <f t="shared" si="178"/>
        <v>65403</v>
      </c>
      <c r="AT116" s="486">
        <f t="shared" si="178"/>
        <v>3870</v>
      </c>
      <c r="AU116" s="486">
        <f>O116+AE116</f>
        <v>0</v>
      </c>
      <c r="AV116" s="501">
        <f>P116+AN116</f>
        <v>0.52</v>
      </c>
      <c r="AW116" s="501">
        <f t="shared" si="179"/>
        <v>0.52</v>
      </c>
      <c r="AX116" s="502">
        <f t="shared" si="179"/>
        <v>0</v>
      </c>
    </row>
    <row r="117" spans="1:50" ht="12.95" customHeight="1" x14ac:dyDescent="0.25">
      <c r="A117" s="305">
        <v>23</v>
      </c>
      <c r="B117" s="551">
        <v>5485</v>
      </c>
      <c r="C117" s="551">
        <v>600099300</v>
      </c>
      <c r="D117" s="83">
        <v>72743174</v>
      </c>
      <c r="E117" s="552" t="s">
        <v>532</v>
      </c>
      <c r="F117" s="551">
        <v>3141</v>
      </c>
      <c r="G117" s="553" t="s">
        <v>321</v>
      </c>
      <c r="H117" s="494" t="s">
        <v>284</v>
      </c>
      <c r="I117" s="495">
        <v>271298</v>
      </c>
      <c r="J117" s="496">
        <v>197511</v>
      </c>
      <c r="K117" s="496">
        <v>0</v>
      </c>
      <c r="L117" s="496">
        <v>0</v>
      </c>
      <c r="M117" s="411">
        <v>66759</v>
      </c>
      <c r="N117" s="411">
        <v>3950</v>
      </c>
      <c r="O117" s="496">
        <v>3078</v>
      </c>
      <c r="P117" s="497">
        <v>0.66999999999999993</v>
      </c>
      <c r="Q117" s="412">
        <v>0</v>
      </c>
      <c r="R117" s="498">
        <v>0.66999999999999993</v>
      </c>
      <c r="S117" s="499">
        <f t="shared" si="175"/>
        <v>0</v>
      </c>
      <c r="T117" s="486">
        <v>0</v>
      </c>
      <c r="U117" s="486">
        <v>0</v>
      </c>
      <c r="V117" s="486">
        <f>SUM(S117:U117)</f>
        <v>0</v>
      </c>
      <c r="W117" s="486">
        <v>0</v>
      </c>
      <c r="X117" s="486">
        <v>0</v>
      </c>
      <c r="Y117" s="486">
        <f>SUM(W117:X117)</f>
        <v>0</v>
      </c>
      <c r="Z117" s="486">
        <f>V117+Y117</f>
        <v>0</v>
      </c>
      <c r="AA117" s="319">
        <f>ROUND((V117+W117)*33.8%,0)</f>
        <v>0</v>
      </c>
      <c r="AB117" s="178">
        <f>ROUND(V117*2%,0)</f>
        <v>0</v>
      </c>
      <c r="AC117" s="486">
        <v>0</v>
      </c>
      <c r="AD117" s="486">
        <v>0</v>
      </c>
      <c r="AE117" s="486">
        <f t="shared" si="110"/>
        <v>0</v>
      </c>
      <c r="AF117" s="486">
        <f t="shared" si="111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si="176"/>
        <v>0</v>
      </c>
      <c r="AM117" s="501">
        <f t="shared" si="177"/>
        <v>0</v>
      </c>
      <c r="AN117" s="529">
        <f t="shared" si="114"/>
        <v>0</v>
      </c>
      <c r="AO117" s="530">
        <f>I117+AF117</f>
        <v>271298</v>
      </c>
      <c r="AP117" s="486">
        <f>J117+V117</f>
        <v>197511</v>
      </c>
      <c r="AQ117" s="486">
        <f>K117+Y117</f>
        <v>0</v>
      </c>
      <c r="AR117" s="480">
        <f>L117</f>
        <v>0</v>
      </c>
      <c r="AS117" s="486">
        <f t="shared" si="178"/>
        <v>66759</v>
      </c>
      <c r="AT117" s="486">
        <f t="shared" si="178"/>
        <v>3950</v>
      </c>
      <c r="AU117" s="486">
        <f>O117+AE117</f>
        <v>3078</v>
      </c>
      <c r="AV117" s="501">
        <f>P117+AN117</f>
        <v>0.66999999999999993</v>
      </c>
      <c r="AW117" s="501">
        <f t="shared" si="179"/>
        <v>0</v>
      </c>
      <c r="AX117" s="502">
        <f t="shared" si="179"/>
        <v>0.66999999999999993</v>
      </c>
    </row>
    <row r="118" spans="1:50" ht="12.95" customHeight="1" x14ac:dyDescent="0.25">
      <c r="A118" s="305">
        <v>23</v>
      </c>
      <c r="B118" s="551">
        <v>5485</v>
      </c>
      <c r="C118" s="551">
        <v>600099300</v>
      </c>
      <c r="D118" s="83">
        <v>72743174</v>
      </c>
      <c r="E118" s="550" t="s">
        <v>532</v>
      </c>
      <c r="F118" s="561">
        <v>3143</v>
      </c>
      <c r="G118" s="528" t="s">
        <v>634</v>
      </c>
      <c r="H118" s="494" t="s">
        <v>283</v>
      </c>
      <c r="I118" s="495">
        <v>624267</v>
      </c>
      <c r="J118" s="496">
        <v>459696</v>
      </c>
      <c r="K118" s="496">
        <v>0</v>
      </c>
      <c r="L118" s="496">
        <v>0</v>
      </c>
      <c r="M118" s="411">
        <v>155377</v>
      </c>
      <c r="N118" s="411">
        <v>9194</v>
      </c>
      <c r="O118" s="496">
        <v>0</v>
      </c>
      <c r="P118" s="497">
        <v>1.02</v>
      </c>
      <c r="Q118" s="412">
        <v>1.02</v>
      </c>
      <c r="R118" s="498">
        <v>0</v>
      </c>
      <c r="S118" s="499">
        <f t="shared" si="175"/>
        <v>0</v>
      </c>
      <c r="T118" s="486">
        <v>0</v>
      </c>
      <c r="U118" s="486">
        <v>0</v>
      </c>
      <c r="V118" s="486">
        <f>SUM(S118:U118)</f>
        <v>0</v>
      </c>
      <c r="W118" s="486">
        <v>0</v>
      </c>
      <c r="X118" s="486">
        <v>0</v>
      </c>
      <c r="Y118" s="486">
        <f>SUM(W118:X118)</f>
        <v>0</v>
      </c>
      <c r="Z118" s="486">
        <f>V118+Y118</f>
        <v>0</v>
      </c>
      <c r="AA118" s="319">
        <f>ROUND((V118+W118)*33.8%,0)</f>
        <v>0</v>
      </c>
      <c r="AB118" s="178">
        <f>ROUND(V118*2%,0)</f>
        <v>0</v>
      </c>
      <c r="AC118" s="486">
        <v>0</v>
      </c>
      <c r="AD118" s="486">
        <v>0</v>
      </c>
      <c r="AE118" s="486">
        <f t="shared" si="110"/>
        <v>0</v>
      </c>
      <c r="AF118" s="486">
        <f t="shared" si="111"/>
        <v>0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si="176"/>
        <v>0</v>
      </c>
      <c r="AM118" s="501">
        <f t="shared" si="177"/>
        <v>0</v>
      </c>
      <c r="AN118" s="529">
        <f t="shared" si="114"/>
        <v>0</v>
      </c>
      <c r="AO118" s="530">
        <f>I118+AF118</f>
        <v>624267</v>
      </c>
      <c r="AP118" s="486">
        <f>J118+V118</f>
        <v>459696</v>
      </c>
      <c r="AQ118" s="486">
        <f>K118+Y118</f>
        <v>0</v>
      </c>
      <c r="AR118" s="480">
        <f>L118</f>
        <v>0</v>
      </c>
      <c r="AS118" s="486">
        <f t="shared" si="178"/>
        <v>155377</v>
      </c>
      <c r="AT118" s="486">
        <f t="shared" si="178"/>
        <v>9194</v>
      </c>
      <c r="AU118" s="486">
        <f>O118+AE118</f>
        <v>0</v>
      </c>
      <c r="AV118" s="501">
        <f>P118+AN118</f>
        <v>1.02</v>
      </c>
      <c r="AW118" s="501">
        <f t="shared" si="179"/>
        <v>1.02</v>
      </c>
      <c r="AX118" s="502">
        <f t="shared" si="179"/>
        <v>0</v>
      </c>
    </row>
    <row r="119" spans="1:50" ht="12.95" customHeight="1" x14ac:dyDescent="0.25">
      <c r="A119" s="305">
        <v>23</v>
      </c>
      <c r="B119" s="551">
        <v>5485</v>
      </c>
      <c r="C119" s="551">
        <v>600099300</v>
      </c>
      <c r="D119" s="83">
        <v>72743174</v>
      </c>
      <c r="E119" s="550" t="s">
        <v>532</v>
      </c>
      <c r="F119" s="561">
        <v>3143</v>
      </c>
      <c r="G119" s="528" t="s">
        <v>635</v>
      </c>
      <c r="H119" s="494" t="s">
        <v>284</v>
      </c>
      <c r="I119" s="495">
        <v>25981</v>
      </c>
      <c r="J119" s="496">
        <v>18315</v>
      </c>
      <c r="K119" s="496">
        <v>0</v>
      </c>
      <c r="L119" s="496">
        <v>0</v>
      </c>
      <c r="M119" s="411">
        <v>6190</v>
      </c>
      <c r="N119" s="411">
        <v>366</v>
      </c>
      <c r="O119" s="496">
        <v>1110</v>
      </c>
      <c r="P119" s="497">
        <v>0.08</v>
      </c>
      <c r="Q119" s="412">
        <v>0</v>
      </c>
      <c r="R119" s="498">
        <v>0.08</v>
      </c>
      <c r="S119" s="499">
        <f t="shared" si="175"/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486">
        <v>0</v>
      </c>
      <c r="Y119" s="486">
        <f>SUM(W119:X119)</f>
        <v>0</v>
      </c>
      <c r="Z119" s="486">
        <f>V119+Y119</f>
        <v>0</v>
      </c>
      <c r="AA119" s="319">
        <f>ROUND((V119+W119)*33.8%,0)</f>
        <v>0</v>
      </c>
      <c r="AB119" s="178">
        <f>ROUND(V119*2%,0)</f>
        <v>0</v>
      </c>
      <c r="AC119" s="486">
        <v>0</v>
      </c>
      <c r="AD119" s="486">
        <v>0</v>
      </c>
      <c r="AE119" s="486">
        <f t="shared" si="110"/>
        <v>0</v>
      </c>
      <c r="AF119" s="486">
        <f t="shared" si="111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176"/>
        <v>0</v>
      </c>
      <c r="AM119" s="501">
        <f t="shared" si="177"/>
        <v>0</v>
      </c>
      <c r="AN119" s="529">
        <f t="shared" si="114"/>
        <v>0</v>
      </c>
      <c r="AO119" s="530">
        <f>I119+AF119</f>
        <v>25981</v>
      </c>
      <c r="AP119" s="486">
        <f>J119+V119</f>
        <v>18315</v>
      </c>
      <c r="AQ119" s="486">
        <f>K119+Y119</f>
        <v>0</v>
      </c>
      <c r="AR119" s="480">
        <f>L119</f>
        <v>0</v>
      </c>
      <c r="AS119" s="486">
        <f t="shared" si="178"/>
        <v>6190</v>
      </c>
      <c r="AT119" s="486">
        <f t="shared" si="178"/>
        <v>366</v>
      </c>
      <c r="AU119" s="486">
        <f>O119+AE119</f>
        <v>1110</v>
      </c>
      <c r="AV119" s="501">
        <f>P119+AN119</f>
        <v>0.08</v>
      </c>
      <c r="AW119" s="501">
        <f t="shared" si="179"/>
        <v>0</v>
      </c>
      <c r="AX119" s="502">
        <f t="shared" si="179"/>
        <v>0.08</v>
      </c>
    </row>
    <row r="120" spans="1:50" ht="12.95" customHeight="1" x14ac:dyDescent="0.25">
      <c r="A120" s="307">
        <v>23</v>
      </c>
      <c r="B120" s="131">
        <v>5485</v>
      </c>
      <c r="C120" s="131">
        <v>600099300</v>
      </c>
      <c r="D120" s="131">
        <v>72743174</v>
      </c>
      <c r="E120" s="562" t="s">
        <v>533</v>
      </c>
      <c r="F120" s="137"/>
      <c r="G120" s="564"/>
      <c r="H120" s="375"/>
      <c r="I120" s="130">
        <v>7000739</v>
      </c>
      <c r="J120" s="141">
        <v>4959697</v>
      </c>
      <c r="K120" s="141">
        <v>12284</v>
      </c>
      <c r="L120" s="141">
        <v>12284</v>
      </c>
      <c r="M120" s="141">
        <v>1676377</v>
      </c>
      <c r="N120" s="141">
        <v>99193</v>
      </c>
      <c r="O120" s="141">
        <v>253188</v>
      </c>
      <c r="P120" s="379">
        <v>10.9877</v>
      </c>
      <c r="Q120" s="379">
        <v>7.41</v>
      </c>
      <c r="R120" s="395">
        <v>3.5777000000000001</v>
      </c>
      <c r="S120" s="141">
        <f t="shared" ref="S120:AN120" si="180">SUM(S115:S119)</f>
        <v>-7929</v>
      </c>
      <c r="T120" s="87">
        <f t="shared" si="180"/>
        <v>1890</v>
      </c>
      <c r="U120" s="87">
        <f t="shared" si="180"/>
        <v>0</v>
      </c>
      <c r="V120" s="87">
        <f t="shared" si="180"/>
        <v>-6039</v>
      </c>
      <c r="W120" s="87">
        <f t="shared" si="180"/>
        <v>7929</v>
      </c>
      <c r="X120" s="87">
        <f t="shared" si="180"/>
        <v>0</v>
      </c>
      <c r="Y120" s="87">
        <f t="shared" si="180"/>
        <v>7929</v>
      </c>
      <c r="Z120" s="87">
        <f t="shared" si="180"/>
        <v>1890</v>
      </c>
      <c r="AA120" s="87">
        <f t="shared" si="180"/>
        <v>639</v>
      </c>
      <c r="AB120" s="87">
        <f t="shared" si="180"/>
        <v>-121</v>
      </c>
      <c r="AC120" s="87">
        <f t="shared" si="180"/>
        <v>0</v>
      </c>
      <c r="AD120" s="87">
        <f t="shared" si="180"/>
        <v>0</v>
      </c>
      <c r="AE120" s="87">
        <f t="shared" si="180"/>
        <v>0</v>
      </c>
      <c r="AF120" s="87">
        <f t="shared" si="180"/>
        <v>2408</v>
      </c>
      <c r="AG120" s="88">
        <f t="shared" si="180"/>
        <v>0</v>
      </c>
      <c r="AH120" s="88">
        <f t="shared" si="180"/>
        <v>0</v>
      </c>
      <c r="AI120" s="88">
        <f t="shared" si="180"/>
        <v>0</v>
      </c>
      <c r="AJ120" s="88">
        <f t="shared" si="180"/>
        <v>0</v>
      </c>
      <c r="AK120" s="88">
        <f t="shared" si="180"/>
        <v>0</v>
      </c>
      <c r="AL120" s="88">
        <f t="shared" si="180"/>
        <v>0</v>
      </c>
      <c r="AM120" s="88">
        <f t="shared" si="180"/>
        <v>0</v>
      </c>
      <c r="AN120" s="388">
        <f t="shared" si="180"/>
        <v>0</v>
      </c>
      <c r="AO120" s="130">
        <f t="shared" ref="AO120:AX120" si="181">SUM(AO115:AO119)</f>
        <v>7003147</v>
      </c>
      <c r="AP120" s="87">
        <f t="shared" si="181"/>
        <v>4953658</v>
      </c>
      <c r="AQ120" s="87">
        <f t="shared" si="181"/>
        <v>20213</v>
      </c>
      <c r="AR120" s="87">
        <f t="shared" si="181"/>
        <v>12284</v>
      </c>
      <c r="AS120" s="87">
        <f t="shared" si="181"/>
        <v>1677016</v>
      </c>
      <c r="AT120" s="87">
        <f t="shared" si="181"/>
        <v>99072</v>
      </c>
      <c r="AU120" s="87">
        <f t="shared" si="181"/>
        <v>253188</v>
      </c>
      <c r="AV120" s="88">
        <f t="shared" si="181"/>
        <v>10.9877</v>
      </c>
      <c r="AW120" s="88">
        <f t="shared" si="181"/>
        <v>7.41</v>
      </c>
      <c r="AX120" s="274">
        <f t="shared" si="181"/>
        <v>3.5777000000000001</v>
      </c>
    </row>
    <row r="121" spans="1:50" ht="12.95" customHeight="1" x14ac:dyDescent="0.25">
      <c r="A121" s="305">
        <v>24</v>
      </c>
      <c r="B121" s="551">
        <v>5434</v>
      </c>
      <c r="C121" s="551">
        <v>600098923</v>
      </c>
      <c r="D121" s="83">
        <v>70695318</v>
      </c>
      <c r="E121" s="552" t="s">
        <v>534</v>
      </c>
      <c r="F121" s="551">
        <v>3111</v>
      </c>
      <c r="G121" s="553" t="s">
        <v>331</v>
      </c>
      <c r="H121" s="494" t="s">
        <v>283</v>
      </c>
      <c r="I121" s="495">
        <v>2983272</v>
      </c>
      <c r="J121" s="496">
        <v>2176710</v>
      </c>
      <c r="K121" s="496">
        <v>0</v>
      </c>
      <c r="L121" s="496">
        <v>0</v>
      </c>
      <c r="M121" s="411">
        <v>735728</v>
      </c>
      <c r="N121" s="411">
        <v>43534</v>
      </c>
      <c r="O121" s="496">
        <v>27300</v>
      </c>
      <c r="P121" s="497">
        <v>5.3898000000000001</v>
      </c>
      <c r="Q121" s="412">
        <v>4</v>
      </c>
      <c r="R121" s="498">
        <v>1.3897999999999999</v>
      </c>
      <c r="S121" s="499">
        <f t="shared" ref="S121:S123" si="182">W121*-1</f>
        <v>0</v>
      </c>
      <c r="T121" s="486">
        <v>0</v>
      </c>
      <c r="U121" s="486">
        <v>0</v>
      </c>
      <c r="V121" s="486">
        <f>SUM(S121:U121)</f>
        <v>0</v>
      </c>
      <c r="W121" s="486">
        <v>0</v>
      </c>
      <c r="X121" s="486">
        <v>0</v>
      </c>
      <c r="Y121" s="486">
        <f>SUM(W121:X121)</f>
        <v>0</v>
      </c>
      <c r="Z121" s="486">
        <f>V121+Y121</f>
        <v>0</v>
      </c>
      <c r="AA121" s="319">
        <f>ROUND((V121+W121)*33.8%,0)</f>
        <v>0</v>
      </c>
      <c r="AB121" s="178">
        <f>ROUND(V121*2%,0)</f>
        <v>0</v>
      </c>
      <c r="AC121" s="486">
        <v>0</v>
      </c>
      <c r="AD121" s="486">
        <v>0</v>
      </c>
      <c r="AE121" s="486">
        <f t="shared" si="110"/>
        <v>0</v>
      </c>
      <c r="AF121" s="486">
        <f t="shared" si="111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ref="AL121:AL123" si="183">AG121+AI121+AJ121</f>
        <v>0</v>
      </c>
      <c r="AM121" s="501">
        <f t="shared" ref="AM121:AM123" si="184">AH121+AK121</f>
        <v>0</v>
      </c>
      <c r="AN121" s="529">
        <f t="shared" si="114"/>
        <v>0</v>
      </c>
      <c r="AO121" s="530">
        <f>I121+AF121</f>
        <v>2983272</v>
      </c>
      <c r="AP121" s="486">
        <f>J121+V121</f>
        <v>2176710</v>
      </c>
      <c r="AQ121" s="486">
        <f>K121+Y121</f>
        <v>0</v>
      </c>
      <c r="AR121" s="480">
        <f>L121</f>
        <v>0</v>
      </c>
      <c r="AS121" s="486">
        <f t="shared" ref="AS121:AT123" si="185">M121+AA121</f>
        <v>735728</v>
      </c>
      <c r="AT121" s="486">
        <f t="shared" si="185"/>
        <v>43534</v>
      </c>
      <c r="AU121" s="486">
        <f>O121+AE121</f>
        <v>27300</v>
      </c>
      <c r="AV121" s="501">
        <f>P121+AN121</f>
        <v>5.3898000000000001</v>
      </c>
      <c r="AW121" s="501">
        <f t="shared" ref="AW121:AX123" si="186">Q121+AL121</f>
        <v>4</v>
      </c>
      <c r="AX121" s="502">
        <f t="shared" si="186"/>
        <v>1.3897999999999999</v>
      </c>
    </row>
    <row r="122" spans="1:50" ht="12.95" customHeight="1" x14ac:dyDescent="0.25">
      <c r="A122" s="305">
        <v>24</v>
      </c>
      <c r="B122" s="551">
        <v>5434</v>
      </c>
      <c r="C122" s="551">
        <v>600098923</v>
      </c>
      <c r="D122" s="83">
        <v>70695318</v>
      </c>
      <c r="E122" s="550" t="s">
        <v>534</v>
      </c>
      <c r="F122" s="551">
        <v>3111</v>
      </c>
      <c r="G122" s="528" t="s">
        <v>318</v>
      </c>
      <c r="H122" s="494" t="s">
        <v>284</v>
      </c>
      <c r="I122" s="495">
        <v>230590</v>
      </c>
      <c r="J122" s="496">
        <v>169801</v>
      </c>
      <c r="K122" s="496">
        <v>0</v>
      </c>
      <c r="L122" s="496">
        <v>0</v>
      </c>
      <c r="M122" s="411">
        <v>57393</v>
      </c>
      <c r="N122" s="411">
        <v>3396</v>
      </c>
      <c r="O122" s="496">
        <v>0</v>
      </c>
      <c r="P122" s="497">
        <v>0.5</v>
      </c>
      <c r="Q122" s="412">
        <v>0.5</v>
      </c>
      <c r="R122" s="498">
        <v>0</v>
      </c>
      <c r="S122" s="499">
        <f t="shared" si="182"/>
        <v>0</v>
      </c>
      <c r="T122" s="486">
        <v>0</v>
      </c>
      <c r="U122" s="486">
        <v>0</v>
      </c>
      <c r="V122" s="486">
        <f>SUM(S122:U122)</f>
        <v>0</v>
      </c>
      <c r="W122" s="486">
        <v>0</v>
      </c>
      <c r="X122" s="486">
        <v>0</v>
      </c>
      <c r="Y122" s="486">
        <f>SUM(W122:X122)</f>
        <v>0</v>
      </c>
      <c r="Z122" s="486">
        <f>V122+Y122</f>
        <v>0</v>
      </c>
      <c r="AA122" s="319">
        <f>ROUND((V122+W122)*33.8%,0)</f>
        <v>0</v>
      </c>
      <c r="AB122" s="178">
        <f>ROUND(V122*2%,0)</f>
        <v>0</v>
      </c>
      <c r="AC122" s="486">
        <v>0</v>
      </c>
      <c r="AD122" s="486">
        <v>0</v>
      </c>
      <c r="AE122" s="486">
        <f t="shared" si="110"/>
        <v>0</v>
      </c>
      <c r="AF122" s="486">
        <f t="shared" si="111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183"/>
        <v>0</v>
      </c>
      <c r="AM122" s="501">
        <f t="shared" si="184"/>
        <v>0</v>
      </c>
      <c r="AN122" s="529">
        <f t="shared" si="114"/>
        <v>0</v>
      </c>
      <c r="AO122" s="530">
        <f>I122+AF122</f>
        <v>230590</v>
      </c>
      <c r="AP122" s="486">
        <f>J122+V122</f>
        <v>169801</v>
      </c>
      <c r="AQ122" s="486">
        <f>K122+Y122</f>
        <v>0</v>
      </c>
      <c r="AR122" s="480">
        <f>L122</f>
        <v>0</v>
      </c>
      <c r="AS122" s="486">
        <f t="shared" si="185"/>
        <v>57393</v>
      </c>
      <c r="AT122" s="486">
        <f t="shared" si="185"/>
        <v>3396</v>
      </c>
      <c r="AU122" s="486">
        <f>O122+AE122</f>
        <v>0</v>
      </c>
      <c r="AV122" s="501">
        <f>P122+AN122</f>
        <v>0.5</v>
      </c>
      <c r="AW122" s="501">
        <f t="shared" si="186"/>
        <v>0.5</v>
      </c>
      <c r="AX122" s="502">
        <f t="shared" si="186"/>
        <v>0</v>
      </c>
    </row>
    <row r="123" spans="1:50" ht="12.95" customHeight="1" x14ac:dyDescent="0.25">
      <c r="A123" s="305">
        <v>24</v>
      </c>
      <c r="B123" s="551">
        <v>5434</v>
      </c>
      <c r="C123" s="551">
        <v>600098923</v>
      </c>
      <c r="D123" s="83">
        <v>70695318</v>
      </c>
      <c r="E123" s="550" t="s">
        <v>534</v>
      </c>
      <c r="F123" s="561">
        <v>3141</v>
      </c>
      <c r="G123" s="553" t="s">
        <v>321</v>
      </c>
      <c r="H123" s="494" t="s">
        <v>284</v>
      </c>
      <c r="I123" s="495">
        <v>536081</v>
      </c>
      <c r="J123" s="496">
        <v>393092</v>
      </c>
      <c r="K123" s="496">
        <v>0</v>
      </c>
      <c r="L123" s="496">
        <v>0</v>
      </c>
      <c r="M123" s="411">
        <v>132865</v>
      </c>
      <c r="N123" s="411">
        <v>7862</v>
      </c>
      <c r="O123" s="496">
        <v>2262</v>
      </c>
      <c r="P123" s="497">
        <v>1.34</v>
      </c>
      <c r="Q123" s="412">
        <v>0</v>
      </c>
      <c r="R123" s="498">
        <v>1.34</v>
      </c>
      <c r="S123" s="499">
        <f t="shared" si="182"/>
        <v>0</v>
      </c>
      <c r="T123" s="486">
        <v>0</v>
      </c>
      <c r="U123" s="486">
        <v>0</v>
      </c>
      <c r="V123" s="486">
        <f>SUM(S123:U123)</f>
        <v>0</v>
      </c>
      <c r="W123" s="486">
        <v>0</v>
      </c>
      <c r="X123" s="486">
        <v>0</v>
      </c>
      <c r="Y123" s="486">
        <f>SUM(W123:X123)</f>
        <v>0</v>
      </c>
      <c r="Z123" s="486">
        <f>V123+Y123</f>
        <v>0</v>
      </c>
      <c r="AA123" s="319">
        <f>ROUND((V123+W123)*33.8%,0)</f>
        <v>0</v>
      </c>
      <c r="AB123" s="178">
        <f>ROUND(V123*2%,0)</f>
        <v>0</v>
      </c>
      <c r="AC123" s="486">
        <v>0</v>
      </c>
      <c r="AD123" s="486">
        <v>0</v>
      </c>
      <c r="AE123" s="486">
        <f t="shared" si="110"/>
        <v>0</v>
      </c>
      <c r="AF123" s="486">
        <f t="shared" si="111"/>
        <v>0</v>
      </c>
      <c r="AG123" s="501">
        <v>0</v>
      </c>
      <c r="AH123" s="501">
        <v>0</v>
      </c>
      <c r="AI123" s="501">
        <v>0</v>
      </c>
      <c r="AJ123" s="501">
        <v>0</v>
      </c>
      <c r="AK123" s="501">
        <v>0</v>
      </c>
      <c r="AL123" s="501">
        <f t="shared" si="183"/>
        <v>0</v>
      </c>
      <c r="AM123" s="501">
        <f t="shared" si="184"/>
        <v>0</v>
      </c>
      <c r="AN123" s="529">
        <f t="shared" si="114"/>
        <v>0</v>
      </c>
      <c r="AO123" s="530">
        <f>I123+AF123</f>
        <v>536081</v>
      </c>
      <c r="AP123" s="486">
        <f>J123+V123</f>
        <v>393092</v>
      </c>
      <c r="AQ123" s="486">
        <f>K123+Y123</f>
        <v>0</v>
      </c>
      <c r="AR123" s="480">
        <f>L123</f>
        <v>0</v>
      </c>
      <c r="AS123" s="486">
        <f t="shared" si="185"/>
        <v>132865</v>
      </c>
      <c r="AT123" s="486">
        <f t="shared" si="185"/>
        <v>7862</v>
      </c>
      <c r="AU123" s="486">
        <f>O123+AE123</f>
        <v>2262</v>
      </c>
      <c r="AV123" s="501">
        <f>P123+AN123</f>
        <v>1.34</v>
      </c>
      <c r="AW123" s="501">
        <f t="shared" si="186"/>
        <v>0</v>
      </c>
      <c r="AX123" s="502">
        <f t="shared" si="186"/>
        <v>1.34</v>
      </c>
    </row>
    <row r="124" spans="1:50" ht="12.95" customHeight="1" x14ac:dyDescent="0.25">
      <c r="A124" s="307">
        <v>24</v>
      </c>
      <c r="B124" s="131">
        <v>5434</v>
      </c>
      <c r="C124" s="131">
        <v>600098923</v>
      </c>
      <c r="D124" s="131">
        <v>70695318</v>
      </c>
      <c r="E124" s="562" t="s">
        <v>535</v>
      </c>
      <c r="F124" s="132"/>
      <c r="G124" s="562"/>
      <c r="H124" s="373"/>
      <c r="I124" s="130">
        <v>3749943</v>
      </c>
      <c r="J124" s="141">
        <v>2739603</v>
      </c>
      <c r="K124" s="141">
        <v>0</v>
      </c>
      <c r="L124" s="141">
        <v>0</v>
      </c>
      <c r="M124" s="141">
        <v>925986</v>
      </c>
      <c r="N124" s="141">
        <v>54792</v>
      </c>
      <c r="O124" s="141">
        <v>29562</v>
      </c>
      <c r="P124" s="379">
        <v>7.2298</v>
      </c>
      <c r="Q124" s="379">
        <v>4.5</v>
      </c>
      <c r="R124" s="395">
        <v>2.7298</v>
      </c>
      <c r="S124" s="141">
        <f t="shared" ref="S124:AN124" si="187">SUM(S121:S123)</f>
        <v>0</v>
      </c>
      <c r="T124" s="87">
        <f t="shared" si="187"/>
        <v>0</v>
      </c>
      <c r="U124" s="87">
        <f t="shared" si="187"/>
        <v>0</v>
      </c>
      <c r="V124" s="87">
        <f t="shared" si="187"/>
        <v>0</v>
      </c>
      <c r="W124" s="87">
        <f t="shared" si="187"/>
        <v>0</v>
      </c>
      <c r="X124" s="87">
        <f t="shared" si="187"/>
        <v>0</v>
      </c>
      <c r="Y124" s="87">
        <f t="shared" si="187"/>
        <v>0</v>
      </c>
      <c r="Z124" s="87">
        <f t="shared" si="187"/>
        <v>0</v>
      </c>
      <c r="AA124" s="87">
        <f t="shared" si="187"/>
        <v>0</v>
      </c>
      <c r="AB124" s="87">
        <f t="shared" si="187"/>
        <v>0</v>
      </c>
      <c r="AC124" s="87">
        <f t="shared" si="187"/>
        <v>0</v>
      </c>
      <c r="AD124" s="87">
        <f t="shared" si="187"/>
        <v>0</v>
      </c>
      <c r="AE124" s="87">
        <f t="shared" si="187"/>
        <v>0</v>
      </c>
      <c r="AF124" s="87">
        <f t="shared" si="187"/>
        <v>0</v>
      </c>
      <c r="AG124" s="88">
        <f t="shared" si="187"/>
        <v>0</v>
      </c>
      <c r="AH124" s="88">
        <f t="shared" si="187"/>
        <v>0</v>
      </c>
      <c r="AI124" s="88">
        <f t="shared" si="187"/>
        <v>0</v>
      </c>
      <c r="AJ124" s="88">
        <f t="shared" si="187"/>
        <v>0</v>
      </c>
      <c r="AK124" s="88">
        <f t="shared" si="187"/>
        <v>0</v>
      </c>
      <c r="AL124" s="88">
        <f t="shared" si="187"/>
        <v>0</v>
      </c>
      <c r="AM124" s="88">
        <f t="shared" si="187"/>
        <v>0</v>
      </c>
      <c r="AN124" s="388">
        <f t="shared" si="187"/>
        <v>0</v>
      </c>
      <c r="AO124" s="130">
        <f t="shared" ref="AO124:AX124" si="188">SUM(AO121:AO123)</f>
        <v>3749943</v>
      </c>
      <c r="AP124" s="87">
        <f t="shared" si="188"/>
        <v>2739603</v>
      </c>
      <c r="AQ124" s="87">
        <f t="shared" si="188"/>
        <v>0</v>
      </c>
      <c r="AR124" s="87">
        <f t="shared" si="188"/>
        <v>0</v>
      </c>
      <c r="AS124" s="87">
        <f t="shared" si="188"/>
        <v>925986</v>
      </c>
      <c r="AT124" s="87">
        <f t="shared" si="188"/>
        <v>54792</v>
      </c>
      <c r="AU124" s="87">
        <f t="shared" si="188"/>
        <v>29562</v>
      </c>
      <c r="AV124" s="88">
        <f t="shared" si="188"/>
        <v>7.2298</v>
      </c>
      <c r="AW124" s="88">
        <f t="shared" si="188"/>
        <v>4.5</v>
      </c>
      <c r="AX124" s="274">
        <f t="shared" si="188"/>
        <v>2.7298</v>
      </c>
    </row>
    <row r="125" spans="1:50" ht="12.95" customHeight="1" x14ac:dyDescent="0.25">
      <c r="A125" s="305">
        <v>25</v>
      </c>
      <c r="B125" s="551">
        <v>5433</v>
      </c>
      <c r="C125" s="551">
        <v>600099253</v>
      </c>
      <c r="D125" s="83">
        <v>70695300</v>
      </c>
      <c r="E125" s="556" t="s">
        <v>536</v>
      </c>
      <c r="F125" s="551">
        <v>3117</v>
      </c>
      <c r="G125" s="552" t="s">
        <v>335</v>
      </c>
      <c r="H125" s="494" t="s">
        <v>283</v>
      </c>
      <c r="I125" s="495">
        <v>3659237</v>
      </c>
      <c r="J125" s="496">
        <v>2597217</v>
      </c>
      <c r="K125" s="496">
        <v>6216</v>
      </c>
      <c r="L125" s="496">
        <v>6216</v>
      </c>
      <c r="M125" s="411">
        <v>877859</v>
      </c>
      <c r="N125" s="411">
        <v>51945</v>
      </c>
      <c r="O125" s="496">
        <v>126000</v>
      </c>
      <c r="P125" s="497">
        <v>4.7979000000000003</v>
      </c>
      <c r="Q125" s="412">
        <v>3.3635999999999999</v>
      </c>
      <c r="R125" s="498">
        <v>1.4342999999999999</v>
      </c>
      <c r="S125" s="499">
        <f t="shared" ref="S125:S129" si="189">W125*-1</f>
        <v>0</v>
      </c>
      <c r="T125" s="486">
        <v>0</v>
      </c>
      <c r="U125" s="486">
        <v>0</v>
      </c>
      <c r="V125" s="486">
        <f>SUM(S125:U125)</f>
        <v>0</v>
      </c>
      <c r="W125" s="486">
        <v>0</v>
      </c>
      <c r="X125" s="486">
        <v>0</v>
      </c>
      <c r="Y125" s="486">
        <f>SUM(W125:X125)</f>
        <v>0</v>
      </c>
      <c r="Z125" s="486">
        <f>V125+Y125</f>
        <v>0</v>
      </c>
      <c r="AA125" s="319">
        <f>ROUND((V125+W125)*33.8%,0)</f>
        <v>0</v>
      </c>
      <c r="AB125" s="178">
        <f>ROUND(V125*2%,0)</f>
        <v>0</v>
      </c>
      <c r="AC125" s="486">
        <v>0</v>
      </c>
      <c r="AD125" s="486">
        <v>0</v>
      </c>
      <c r="AE125" s="486">
        <f t="shared" si="110"/>
        <v>0</v>
      </c>
      <c r="AF125" s="486">
        <f t="shared" si="111"/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ref="AL125:AL129" si="190">AG125+AI125+AJ125</f>
        <v>0</v>
      </c>
      <c r="AM125" s="501">
        <f t="shared" ref="AM125:AM129" si="191">AH125+AK125</f>
        <v>0</v>
      </c>
      <c r="AN125" s="529">
        <f t="shared" si="114"/>
        <v>0</v>
      </c>
      <c r="AO125" s="530">
        <f>I125+AF125</f>
        <v>3659237</v>
      </c>
      <c r="AP125" s="486">
        <f>J125+V125</f>
        <v>2597217</v>
      </c>
      <c r="AQ125" s="486">
        <f>K125+Y125</f>
        <v>6216</v>
      </c>
      <c r="AR125" s="480">
        <f>L125</f>
        <v>6216</v>
      </c>
      <c r="AS125" s="486">
        <f t="shared" ref="AS125:AT129" si="192">M125+AA125</f>
        <v>877859</v>
      </c>
      <c r="AT125" s="486">
        <f t="shared" si="192"/>
        <v>51945</v>
      </c>
      <c r="AU125" s="486">
        <f>O125+AE125</f>
        <v>126000</v>
      </c>
      <c r="AV125" s="501">
        <f>P125+AN125</f>
        <v>4.7979000000000003</v>
      </c>
      <c r="AW125" s="501">
        <f t="shared" ref="AW125:AX129" si="193">Q125+AL125</f>
        <v>3.3635999999999999</v>
      </c>
      <c r="AX125" s="502">
        <f t="shared" si="193"/>
        <v>1.4342999999999999</v>
      </c>
    </row>
    <row r="126" spans="1:50" ht="12.95" customHeight="1" x14ac:dyDescent="0.25">
      <c r="A126" s="305">
        <v>25</v>
      </c>
      <c r="B126" s="551">
        <v>5433</v>
      </c>
      <c r="C126" s="551">
        <v>600099253</v>
      </c>
      <c r="D126" s="83">
        <v>70695300</v>
      </c>
      <c r="E126" s="550" t="s">
        <v>536</v>
      </c>
      <c r="F126" s="551">
        <v>3117</v>
      </c>
      <c r="G126" s="528" t="s">
        <v>318</v>
      </c>
      <c r="H126" s="494" t="s">
        <v>284</v>
      </c>
      <c r="I126" s="495">
        <v>2567</v>
      </c>
      <c r="J126" s="496">
        <v>1890</v>
      </c>
      <c r="K126" s="496">
        <v>0</v>
      </c>
      <c r="L126" s="496">
        <v>0</v>
      </c>
      <c r="M126" s="411">
        <v>639</v>
      </c>
      <c r="N126" s="411">
        <v>38</v>
      </c>
      <c r="O126" s="496">
        <v>0</v>
      </c>
      <c r="P126" s="497">
        <v>0</v>
      </c>
      <c r="Q126" s="412">
        <v>0</v>
      </c>
      <c r="R126" s="498">
        <v>0</v>
      </c>
      <c r="S126" s="499">
        <f t="shared" si="189"/>
        <v>0</v>
      </c>
      <c r="T126" s="486">
        <v>0</v>
      </c>
      <c r="U126" s="486">
        <v>0</v>
      </c>
      <c r="V126" s="486">
        <f>SUM(S126:U126)</f>
        <v>0</v>
      </c>
      <c r="W126" s="486">
        <v>0</v>
      </c>
      <c r="X126" s="486">
        <v>0</v>
      </c>
      <c r="Y126" s="486">
        <f>SUM(W126:X126)</f>
        <v>0</v>
      </c>
      <c r="Z126" s="486">
        <f>V126+Y126</f>
        <v>0</v>
      </c>
      <c r="AA126" s="319">
        <f>ROUND((V126+W126)*33.8%,0)</f>
        <v>0</v>
      </c>
      <c r="AB126" s="178">
        <f>ROUND(V126*2%,0)</f>
        <v>0</v>
      </c>
      <c r="AC126" s="486">
        <v>0</v>
      </c>
      <c r="AD126" s="486">
        <v>0</v>
      </c>
      <c r="AE126" s="486">
        <f t="shared" si="110"/>
        <v>0</v>
      </c>
      <c r="AF126" s="486">
        <f t="shared" si="111"/>
        <v>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si="190"/>
        <v>0</v>
      </c>
      <c r="AM126" s="501">
        <f t="shared" si="191"/>
        <v>0</v>
      </c>
      <c r="AN126" s="529">
        <f t="shared" si="114"/>
        <v>0</v>
      </c>
      <c r="AO126" s="530">
        <f>I126+AF126</f>
        <v>2567</v>
      </c>
      <c r="AP126" s="486">
        <f>J126+V126</f>
        <v>1890</v>
      </c>
      <c r="AQ126" s="486">
        <f>K126+Y126</f>
        <v>0</v>
      </c>
      <c r="AR126" s="480">
        <f>L126</f>
        <v>0</v>
      </c>
      <c r="AS126" s="486">
        <f t="shared" si="192"/>
        <v>639</v>
      </c>
      <c r="AT126" s="486">
        <f t="shared" si="192"/>
        <v>38</v>
      </c>
      <c r="AU126" s="486">
        <f>O126+AE126</f>
        <v>0</v>
      </c>
      <c r="AV126" s="501">
        <f>P126+AN126</f>
        <v>0</v>
      </c>
      <c r="AW126" s="501">
        <f t="shared" si="193"/>
        <v>0</v>
      </c>
      <c r="AX126" s="502">
        <f t="shared" si="193"/>
        <v>0</v>
      </c>
    </row>
    <row r="127" spans="1:50" ht="12.95" customHeight="1" x14ac:dyDescent="0.25">
      <c r="A127" s="305">
        <v>25</v>
      </c>
      <c r="B127" s="551">
        <v>5433</v>
      </c>
      <c r="C127" s="551">
        <v>600099253</v>
      </c>
      <c r="D127" s="83">
        <v>70695300</v>
      </c>
      <c r="E127" s="552" t="s">
        <v>536</v>
      </c>
      <c r="F127" s="551">
        <v>3141</v>
      </c>
      <c r="G127" s="553" t="s">
        <v>321</v>
      </c>
      <c r="H127" s="494" t="s">
        <v>284</v>
      </c>
      <c r="I127" s="495">
        <v>420295</v>
      </c>
      <c r="J127" s="496">
        <v>307702</v>
      </c>
      <c r="K127" s="496">
        <v>0</v>
      </c>
      <c r="L127" s="496">
        <v>0</v>
      </c>
      <c r="M127" s="411">
        <v>104003</v>
      </c>
      <c r="N127" s="411">
        <v>6154</v>
      </c>
      <c r="O127" s="496">
        <v>2436</v>
      </c>
      <c r="P127" s="497">
        <v>1.04</v>
      </c>
      <c r="Q127" s="412">
        <v>0</v>
      </c>
      <c r="R127" s="498">
        <v>1.04</v>
      </c>
      <c r="S127" s="499">
        <f t="shared" si="189"/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319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 t="shared" si="110"/>
        <v>0</v>
      </c>
      <c r="AF127" s="486">
        <f t="shared" si="111"/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si="190"/>
        <v>0</v>
      </c>
      <c r="AM127" s="501">
        <f t="shared" si="191"/>
        <v>0</v>
      </c>
      <c r="AN127" s="529">
        <f t="shared" si="114"/>
        <v>0</v>
      </c>
      <c r="AO127" s="530">
        <f>I127+AF127</f>
        <v>420295</v>
      </c>
      <c r="AP127" s="486">
        <f>J127+V127</f>
        <v>307702</v>
      </c>
      <c r="AQ127" s="486">
        <f>K127+Y127</f>
        <v>0</v>
      </c>
      <c r="AR127" s="480">
        <f>L127</f>
        <v>0</v>
      </c>
      <c r="AS127" s="486">
        <f t="shared" si="192"/>
        <v>104003</v>
      </c>
      <c r="AT127" s="486">
        <f t="shared" si="192"/>
        <v>6154</v>
      </c>
      <c r="AU127" s="486">
        <f>O127+AE127</f>
        <v>2436</v>
      </c>
      <c r="AV127" s="501">
        <f>P127+AN127</f>
        <v>1.04</v>
      </c>
      <c r="AW127" s="501">
        <f t="shared" si="193"/>
        <v>0</v>
      </c>
      <c r="AX127" s="502">
        <f t="shared" si="193"/>
        <v>1.04</v>
      </c>
    </row>
    <row r="128" spans="1:50" ht="12.95" customHeight="1" x14ac:dyDescent="0.25">
      <c r="A128" s="305">
        <v>25</v>
      </c>
      <c r="B128" s="551">
        <v>5433</v>
      </c>
      <c r="C128" s="551">
        <v>600099253</v>
      </c>
      <c r="D128" s="83">
        <v>70695300</v>
      </c>
      <c r="E128" s="550" t="s">
        <v>536</v>
      </c>
      <c r="F128" s="561">
        <v>3143</v>
      </c>
      <c r="G128" s="528" t="s">
        <v>634</v>
      </c>
      <c r="H128" s="494" t="s">
        <v>283</v>
      </c>
      <c r="I128" s="495">
        <v>554219</v>
      </c>
      <c r="J128" s="496">
        <v>408114</v>
      </c>
      <c r="K128" s="496">
        <v>0</v>
      </c>
      <c r="L128" s="496">
        <v>0</v>
      </c>
      <c r="M128" s="411">
        <v>137943</v>
      </c>
      <c r="N128" s="411">
        <v>8162</v>
      </c>
      <c r="O128" s="496">
        <v>0</v>
      </c>
      <c r="P128" s="497">
        <v>1</v>
      </c>
      <c r="Q128" s="412">
        <v>1</v>
      </c>
      <c r="R128" s="498">
        <v>0</v>
      </c>
      <c r="S128" s="499">
        <f t="shared" si="189"/>
        <v>0</v>
      </c>
      <c r="T128" s="486">
        <v>0</v>
      </c>
      <c r="U128" s="486">
        <v>0</v>
      </c>
      <c r="V128" s="486">
        <f>SUM(S128:U128)</f>
        <v>0</v>
      </c>
      <c r="W128" s="486">
        <v>0</v>
      </c>
      <c r="X128" s="486">
        <v>0</v>
      </c>
      <c r="Y128" s="486">
        <f>SUM(W128:X128)</f>
        <v>0</v>
      </c>
      <c r="Z128" s="486">
        <f>V128+Y128</f>
        <v>0</v>
      </c>
      <c r="AA128" s="319">
        <f>ROUND((V128+W128)*33.8%,0)</f>
        <v>0</v>
      </c>
      <c r="AB128" s="178">
        <f>ROUND(V128*2%,0)</f>
        <v>0</v>
      </c>
      <c r="AC128" s="486">
        <v>0</v>
      </c>
      <c r="AD128" s="486">
        <v>0</v>
      </c>
      <c r="AE128" s="486">
        <f t="shared" si="110"/>
        <v>0</v>
      </c>
      <c r="AF128" s="486">
        <f t="shared" si="111"/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si="190"/>
        <v>0</v>
      </c>
      <c r="AM128" s="501">
        <f t="shared" si="191"/>
        <v>0</v>
      </c>
      <c r="AN128" s="529">
        <f t="shared" si="114"/>
        <v>0</v>
      </c>
      <c r="AO128" s="530">
        <f>I128+AF128</f>
        <v>554219</v>
      </c>
      <c r="AP128" s="486">
        <f>J128+V128</f>
        <v>408114</v>
      </c>
      <c r="AQ128" s="486">
        <f>K128+Y128</f>
        <v>0</v>
      </c>
      <c r="AR128" s="480">
        <f>L128</f>
        <v>0</v>
      </c>
      <c r="AS128" s="486">
        <f t="shared" si="192"/>
        <v>137943</v>
      </c>
      <c r="AT128" s="486">
        <f t="shared" si="192"/>
        <v>8162</v>
      </c>
      <c r="AU128" s="486">
        <f>O128+AE128</f>
        <v>0</v>
      </c>
      <c r="AV128" s="501">
        <f>P128+AN128</f>
        <v>1</v>
      </c>
      <c r="AW128" s="501">
        <f t="shared" si="193"/>
        <v>1</v>
      </c>
      <c r="AX128" s="502">
        <f t="shared" si="193"/>
        <v>0</v>
      </c>
    </row>
    <row r="129" spans="1:50" ht="12.95" customHeight="1" x14ac:dyDescent="0.25">
      <c r="A129" s="305">
        <v>25</v>
      </c>
      <c r="B129" s="551">
        <v>5433</v>
      </c>
      <c r="C129" s="551">
        <v>600099253</v>
      </c>
      <c r="D129" s="83">
        <v>70695300</v>
      </c>
      <c r="E129" s="550" t="s">
        <v>536</v>
      </c>
      <c r="F129" s="561">
        <v>3143</v>
      </c>
      <c r="G129" s="528" t="s">
        <v>635</v>
      </c>
      <c r="H129" s="494" t="s">
        <v>284</v>
      </c>
      <c r="I129" s="495">
        <v>21066</v>
      </c>
      <c r="J129" s="496">
        <v>14850</v>
      </c>
      <c r="K129" s="496">
        <v>0</v>
      </c>
      <c r="L129" s="496">
        <v>0</v>
      </c>
      <c r="M129" s="411">
        <v>5019</v>
      </c>
      <c r="N129" s="411">
        <v>297</v>
      </c>
      <c r="O129" s="496">
        <v>900</v>
      </c>
      <c r="P129" s="497">
        <v>0.06</v>
      </c>
      <c r="Q129" s="412">
        <v>0</v>
      </c>
      <c r="R129" s="498">
        <v>0.06</v>
      </c>
      <c r="S129" s="499">
        <f t="shared" si="189"/>
        <v>0</v>
      </c>
      <c r="T129" s="486">
        <v>0</v>
      </c>
      <c r="U129" s="486">
        <v>0</v>
      </c>
      <c r="V129" s="486">
        <f>SUM(S129:U129)</f>
        <v>0</v>
      </c>
      <c r="W129" s="486">
        <v>0</v>
      </c>
      <c r="X129" s="486">
        <v>0</v>
      </c>
      <c r="Y129" s="486">
        <f>SUM(W129:X129)</f>
        <v>0</v>
      </c>
      <c r="Z129" s="486">
        <f>V129+Y129</f>
        <v>0</v>
      </c>
      <c r="AA129" s="319">
        <f>ROUND((V129+W129)*33.8%,0)</f>
        <v>0</v>
      </c>
      <c r="AB129" s="178">
        <f>ROUND(V129*2%,0)</f>
        <v>0</v>
      </c>
      <c r="AC129" s="486">
        <v>0</v>
      </c>
      <c r="AD129" s="486">
        <v>0</v>
      </c>
      <c r="AE129" s="486">
        <f t="shared" si="110"/>
        <v>0</v>
      </c>
      <c r="AF129" s="486">
        <f t="shared" si="111"/>
        <v>0</v>
      </c>
      <c r="AG129" s="501">
        <v>0</v>
      </c>
      <c r="AH129" s="501">
        <v>0</v>
      </c>
      <c r="AI129" s="501">
        <v>0</v>
      </c>
      <c r="AJ129" s="501">
        <v>0</v>
      </c>
      <c r="AK129" s="501">
        <v>0</v>
      </c>
      <c r="AL129" s="501">
        <f t="shared" si="190"/>
        <v>0</v>
      </c>
      <c r="AM129" s="501">
        <f t="shared" si="191"/>
        <v>0</v>
      </c>
      <c r="AN129" s="529">
        <f t="shared" si="114"/>
        <v>0</v>
      </c>
      <c r="AO129" s="530">
        <f>I129+AF129</f>
        <v>21066</v>
      </c>
      <c r="AP129" s="486">
        <f>J129+V129</f>
        <v>14850</v>
      </c>
      <c r="AQ129" s="486">
        <f>K129+Y129</f>
        <v>0</v>
      </c>
      <c r="AR129" s="480">
        <f>L129</f>
        <v>0</v>
      </c>
      <c r="AS129" s="486">
        <f t="shared" si="192"/>
        <v>5019</v>
      </c>
      <c r="AT129" s="486">
        <f t="shared" si="192"/>
        <v>297</v>
      </c>
      <c r="AU129" s="486">
        <f>O129+AE129</f>
        <v>900</v>
      </c>
      <c r="AV129" s="501">
        <f>P129+AN129</f>
        <v>0.06</v>
      </c>
      <c r="AW129" s="501">
        <f t="shared" si="193"/>
        <v>0</v>
      </c>
      <c r="AX129" s="502">
        <f t="shared" si="193"/>
        <v>0.06</v>
      </c>
    </row>
    <row r="130" spans="1:50" ht="12.95" customHeight="1" x14ac:dyDescent="0.25">
      <c r="A130" s="307">
        <v>25</v>
      </c>
      <c r="B130" s="128">
        <v>5433</v>
      </c>
      <c r="C130" s="128">
        <v>600099253</v>
      </c>
      <c r="D130" s="128">
        <v>70695300</v>
      </c>
      <c r="E130" s="562" t="s">
        <v>537</v>
      </c>
      <c r="F130" s="132"/>
      <c r="G130" s="562"/>
      <c r="H130" s="373"/>
      <c r="I130" s="130">
        <v>4657384</v>
      </c>
      <c r="J130" s="141">
        <v>3329773</v>
      </c>
      <c r="K130" s="141">
        <v>6216</v>
      </c>
      <c r="L130" s="141">
        <v>6216</v>
      </c>
      <c r="M130" s="141">
        <v>1125463</v>
      </c>
      <c r="N130" s="141">
        <v>66596</v>
      </c>
      <c r="O130" s="141">
        <v>129336</v>
      </c>
      <c r="P130" s="379">
        <v>6.8978999999999999</v>
      </c>
      <c r="Q130" s="379">
        <v>4.3635999999999999</v>
      </c>
      <c r="R130" s="395">
        <v>2.5343</v>
      </c>
      <c r="S130" s="141">
        <f t="shared" ref="S130:AN130" si="194">SUM(S125:S129)</f>
        <v>0</v>
      </c>
      <c r="T130" s="87">
        <f t="shared" si="194"/>
        <v>0</v>
      </c>
      <c r="U130" s="87">
        <f t="shared" si="194"/>
        <v>0</v>
      </c>
      <c r="V130" s="87">
        <f t="shared" si="194"/>
        <v>0</v>
      </c>
      <c r="W130" s="87">
        <f t="shared" si="194"/>
        <v>0</v>
      </c>
      <c r="X130" s="87">
        <f t="shared" si="194"/>
        <v>0</v>
      </c>
      <c r="Y130" s="87">
        <f t="shared" si="194"/>
        <v>0</v>
      </c>
      <c r="Z130" s="87">
        <f t="shared" si="194"/>
        <v>0</v>
      </c>
      <c r="AA130" s="87">
        <f t="shared" si="194"/>
        <v>0</v>
      </c>
      <c r="AB130" s="87">
        <f t="shared" si="194"/>
        <v>0</v>
      </c>
      <c r="AC130" s="87">
        <f t="shared" si="194"/>
        <v>0</v>
      </c>
      <c r="AD130" s="87">
        <f t="shared" si="194"/>
        <v>0</v>
      </c>
      <c r="AE130" s="87">
        <f t="shared" si="194"/>
        <v>0</v>
      </c>
      <c r="AF130" s="87">
        <f t="shared" si="194"/>
        <v>0</v>
      </c>
      <c r="AG130" s="88">
        <f t="shared" si="194"/>
        <v>0</v>
      </c>
      <c r="AH130" s="88">
        <f t="shared" si="194"/>
        <v>0</v>
      </c>
      <c r="AI130" s="88">
        <f t="shared" si="194"/>
        <v>0</v>
      </c>
      <c r="AJ130" s="88">
        <f t="shared" si="194"/>
        <v>0</v>
      </c>
      <c r="AK130" s="88">
        <f t="shared" si="194"/>
        <v>0</v>
      </c>
      <c r="AL130" s="88">
        <f t="shared" si="194"/>
        <v>0</v>
      </c>
      <c r="AM130" s="88">
        <f t="shared" si="194"/>
        <v>0</v>
      </c>
      <c r="AN130" s="388">
        <f t="shared" si="194"/>
        <v>0</v>
      </c>
      <c r="AO130" s="130">
        <f t="shared" ref="AO130:AX130" si="195">SUM(AO125:AO129)</f>
        <v>4657384</v>
      </c>
      <c r="AP130" s="87">
        <f t="shared" si="195"/>
        <v>3329773</v>
      </c>
      <c r="AQ130" s="87">
        <f t="shared" si="195"/>
        <v>6216</v>
      </c>
      <c r="AR130" s="87">
        <f t="shared" si="195"/>
        <v>6216</v>
      </c>
      <c r="AS130" s="87">
        <f t="shared" si="195"/>
        <v>1125463</v>
      </c>
      <c r="AT130" s="87">
        <f t="shared" si="195"/>
        <v>66596</v>
      </c>
      <c r="AU130" s="87">
        <f t="shared" si="195"/>
        <v>129336</v>
      </c>
      <c r="AV130" s="88">
        <f t="shared" si="195"/>
        <v>6.8978999999999999</v>
      </c>
      <c r="AW130" s="88">
        <f t="shared" si="195"/>
        <v>4.3635999999999999</v>
      </c>
      <c r="AX130" s="274">
        <f t="shared" si="195"/>
        <v>2.5343</v>
      </c>
    </row>
    <row r="131" spans="1:50" ht="12.95" customHeight="1" x14ac:dyDescent="0.25">
      <c r="A131" s="305">
        <v>26</v>
      </c>
      <c r="B131" s="551">
        <v>5486</v>
      </c>
      <c r="C131" s="551">
        <v>600098711</v>
      </c>
      <c r="D131" s="83">
        <v>72744022</v>
      </c>
      <c r="E131" s="552" t="s">
        <v>538</v>
      </c>
      <c r="F131" s="551">
        <v>3111</v>
      </c>
      <c r="G131" s="553" t="s">
        <v>331</v>
      </c>
      <c r="H131" s="494" t="s">
        <v>283</v>
      </c>
      <c r="I131" s="495">
        <v>1938977</v>
      </c>
      <c r="J131" s="496">
        <v>1415447</v>
      </c>
      <c r="K131" s="496">
        <v>0</v>
      </c>
      <c r="L131" s="496">
        <v>0</v>
      </c>
      <c r="M131" s="411">
        <v>478421</v>
      </c>
      <c r="N131" s="411">
        <v>28309</v>
      </c>
      <c r="O131" s="496">
        <v>16800</v>
      </c>
      <c r="P131" s="497">
        <v>3.0349000000000004</v>
      </c>
      <c r="Q131" s="412">
        <v>2.2000000000000002</v>
      </c>
      <c r="R131" s="498">
        <v>0.83489999999999998</v>
      </c>
      <c r="S131" s="499">
        <f t="shared" ref="S131:S132" si="196">W131*-1</f>
        <v>0</v>
      </c>
      <c r="T131" s="486">
        <v>0</v>
      </c>
      <c r="U131" s="486">
        <v>0</v>
      </c>
      <c r="V131" s="486">
        <f>SUM(S131:U131)</f>
        <v>0</v>
      </c>
      <c r="W131" s="486">
        <v>0</v>
      </c>
      <c r="X131" s="486">
        <v>0</v>
      </c>
      <c r="Y131" s="486">
        <f>SUM(W131:X131)</f>
        <v>0</v>
      </c>
      <c r="Z131" s="486">
        <f>V131+Y131</f>
        <v>0</v>
      </c>
      <c r="AA131" s="319">
        <f>ROUND((V131+W131)*33.8%,0)</f>
        <v>0</v>
      </c>
      <c r="AB131" s="178">
        <f>ROUND(V131*2%,0)</f>
        <v>0</v>
      </c>
      <c r="AC131" s="486">
        <v>0</v>
      </c>
      <c r="AD131" s="486">
        <v>0</v>
      </c>
      <c r="AE131" s="486">
        <f t="shared" si="110"/>
        <v>0</v>
      </c>
      <c r="AF131" s="486">
        <f t="shared" si="111"/>
        <v>0</v>
      </c>
      <c r="AG131" s="501">
        <v>0</v>
      </c>
      <c r="AH131" s="501">
        <v>0</v>
      </c>
      <c r="AI131" s="501">
        <v>0</v>
      </c>
      <c r="AJ131" s="501">
        <v>0</v>
      </c>
      <c r="AK131" s="501">
        <v>0</v>
      </c>
      <c r="AL131" s="501">
        <f t="shared" ref="AL131:AL132" si="197">AG131+AI131+AJ131</f>
        <v>0</v>
      </c>
      <c r="AM131" s="501">
        <f t="shared" ref="AM131:AM132" si="198">AH131+AK131</f>
        <v>0</v>
      </c>
      <c r="AN131" s="529">
        <f t="shared" si="114"/>
        <v>0</v>
      </c>
      <c r="AO131" s="530">
        <f>I131+AF131</f>
        <v>1938977</v>
      </c>
      <c r="AP131" s="486">
        <f>J131+V131</f>
        <v>1415447</v>
      </c>
      <c r="AQ131" s="486">
        <f>K131+Y131</f>
        <v>0</v>
      </c>
      <c r="AR131" s="480">
        <f>L131</f>
        <v>0</v>
      </c>
      <c r="AS131" s="486">
        <f>M131+AA131</f>
        <v>478421</v>
      </c>
      <c r="AT131" s="486">
        <f>N131+AB131</f>
        <v>28309</v>
      </c>
      <c r="AU131" s="486">
        <f>O131+AE131</f>
        <v>16800</v>
      </c>
      <c r="AV131" s="501">
        <f>P131+AN131</f>
        <v>3.0349000000000004</v>
      </c>
      <c r="AW131" s="501">
        <f>Q131+AL131</f>
        <v>2.2000000000000002</v>
      </c>
      <c r="AX131" s="502">
        <f>R131+AM131</f>
        <v>0.83489999999999998</v>
      </c>
    </row>
    <row r="132" spans="1:50" ht="12.95" customHeight="1" x14ac:dyDescent="0.25">
      <c r="A132" s="305">
        <v>26</v>
      </c>
      <c r="B132" s="551">
        <v>5486</v>
      </c>
      <c r="C132" s="551">
        <v>600098711</v>
      </c>
      <c r="D132" s="83">
        <v>72744022</v>
      </c>
      <c r="E132" s="552" t="s">
        <v>538</v>
      </c>
      <c r="F132" s="551">
        <v>3141</v>
      </c>
      <c r="G132" s="553" t="s">
        <v>321</v>
      </c>
      <c r="H132" s="494" t="s">
        <v>284</v>
      </c>
      <c r="I132" s="495">
        <v>370858</v>
      </c>
      <c r="J132" s="496">
        <v>272066</v>
      </c>
      <c r="K132" s="496">
        <v>0</v>
      </c>
      <c r="L132" s="496">
        <v>0</v>
      </c>
      <c r="M132" s="411">
        <v>91958</v>
      </c>
      <c r="N132" s="411">
        <v>5442</v>
      </c>
      <c r="O132" s="496">
        <v>1392</v>
      </c>
      <c r="P132" s="497">
        <v>0.92999999999999994</v>
      </c>
      <c r="Q132" s="412">
        <v>0</v>
      </c>
      <c r="R132" s="498">
        <v>0.92999999999999994</v>
      </c>
      <c r="S132" s="499">
        <f t="shared" si="196"/>
        <v>0</v>
      </c>
      <c r="T132" s="486">
        <v>0</v>
      </c>
      <c r="U132" s="486">
        <v>0</v>
      </c>
      <c r="V132" s="486">
        <f>SUM(S132:U132)</f>
        <v>0</v>
      </c>
      <c r="W132" s="486">
        <v>0</v>
      </c>
      <c r="X132" s="486">
        <v>0</v>
      </c>
      <c r="Y132" s="486">
        <f>SUM(W132:X132)</f>
        <v>0</v>
      </c>
      <c r="Z132" s="486">
        <f>V132+Y132</f>
        <v>0</v>
      </c>
      <c r="AA132" s="319">
        <f>ROUND((V132+W132)*33.8%,0)</f>
        <v>0</v>
      </c>
      <c r="AB132" s="178">
        <f>ROUND(V132*2%,0)</f>
        <v>0</v>
      </c>
      <c r="AC132" s="486">
        <v>0</v>
      </c>
      <c r="AD132" s="486">
        <v>0</v>
      </c>
      <c r="AE132" s="486">
        <f t="shared" si="110"/>
        <v>0</v>
      </c>
      <c r="AF132" s="486">
        <f t="shared" si="111"/>
        <v>0</v>
      </c>
      <c r="AG132" s="501">
        <v>0</v>
      </c>
      <c r="AH132" s="501">
        <v>0</v>
      </c>
      <c r="AI132" s="501">
        <v>0</v>
      </c>
      <c r="AJ132" s="501">
        <v>0</v>
      </c>
      <c r="AK132" s="501">
        <v>0</v>
      </c>
      <c r="AL132" s="501">
        <f t="shared" si="197"/>
        <v>0</v>
      </c>
      <c r="AM132" s="501">
        <f t="shared" si="198"/>
        <v>0</v>
      </c>
      <c r="AN132" s="529">
        <f t="shared" si="114"/>
        <v>0</v>
      </c>
      <c r="AO132" s="530">
        <f>I132+AF132</f>
        <v>370858</v>
      </c>
      <c r="AP132" s="486">
        <f>J132+V132</f>
        <v>272066</v>
      </c>
      <c r="AQ132" s="486">
        <f>K132+Y132</f>
        <v>0</v>
      </c>
      <c r="AR132" s="480">
        <f>L132</f>
        <v>0</v>
      </c>
      <c r="AS132" s="486">
        <f>M132+AA132</f>
        <v>91958</v>
      </c>
      <c r="AT132" s="486">
        <f>N132+AB132</f>
        <v>5442</v>
      </c>
      <c r="AU132" s="486">
        <f>O132+AE132</f>
        <v>1392</v>
      </c>
      <c r="AV132" s="501">
        <f>P132+AN132</f>
        <v>0.92999999999999994</v>
      </c>
      <c r="AW132" s="501">
        <f>Q132+AL132</f>
        <v>0</v>
      </c>
      <c r="AX132" s="502">
        <f>R132+AM132</f>
        <v>0.92999999999999994</v>
      </c>
    </row>
    <row r="133" spans="1:50" ht="12.95" customHeight="1" x14ac:dyDescent="0.25">
      <c r="A133" s="307">
        <v>26</v>
      </c>
      <c r="B133" s="128">
        <v>5486</v>
      </c>
      <c r="C133" s="128">
        <v>600098711</v>
      </c>
      <c r="D133" s="128">
        <v>72744022</v>
      </c>
      <c r="E133" s="554" t="s">
        <v>539</v>
      </c>
      <c r="F133" s="128"/>
      <c r="G133" s="554"/>
      <c r="H133" s="371"/>
      <c r="I133" s="133">
        <v>2309835</v>
      </c>
      <c r="J133" s="239">
        <v>1687513</v>
      </c>
      <c r="K133" s="239">
        <v>0</v>
      </c>
      <c r="L133" s="239">
        <v>0</v>
      </c>
      <c r="M133" s="239">
        <v>570379</v>
      </c>
      <c r="N133" s="239">
        <v>33751</v>
      </c>
      <c r="O133" s="239">
        <v>18192</v>
      </c>
      <c r="P133" s="380">
        <v>3.9649000000000001</v>
      </c>
      <c r="Q133" s="380">
        <v>2.2000000000000002</v>
      </c>
      <c r="R133" s="396">
        <v>1.7648999999999999</v>
      </c>
      <c r="S133" s="239">
        <f t="shared" ref="S133:AN133" si="199">SUM(S131:S132)</f>
        <v>0</v>
      </c>
      <c r="T133" s="169">
        <f t="shared" si="199"/>
        <v>0</v>
      </c>
      <c r="U133" s="169">
        <f t="shared" si="199"/>
        <v>0</v>
      </c>
      <c r="V133" s="169">
        <f t="shared" si="199"/>
        <v>0</v>
      </c>
      <c r="W133" s="169">
        <f t="shared" si="199"/>
        <v>0</v>
      </c>
      <c r="X133" s="169">
        <f t="shared" si="199"/>
        <v>0</v>
      </c>
      <c r="Y133" s="169">
        <f t="shared" si="199"/>
        <v>0</v>
      </c>
      <c r="Z133" s="169">
        <f t="shared" si="199"/>
        <v>0</v>
      </c>
      <c r="AA133" s="169">
        <f t="shared" si="199"/>
        <v>0</v>
      </c>
      <c r="AB133" s="169">
        <f t="shared" si="199"/>
        <v>0</v>
      </c>
      <c r="AC133" s="169">
        <f t="shared" si="199"/>
        <v>0</v>
      </c>
      <c r="AD133" s="169">
        <f t="shared" si="199"/>
        <v>0</v>
      </c>
      <c r="AE133" s="169">
        <f t="shared" si="199"/>
        <v>0</v>
      </c>
      <c r="AF133" s="169">
        <f t="shared" si="199"/>
        <v>0</v>
      </c>
      <c r="AG133" s="316">
        <f t="shared" si="199"/>
        <v>0</v>
      </c>
      <c r="AH133" s="316">
        <f t="shared" si="199"/>
        <v>0</v>
      </c>
      <c r="AI133" s="316">
        <f t="shared" si="199"/>
        <v>0</v>
      </c>
      <c r="AJ133" s="316">
        <f t="shared" si="199"/>
        <v>0</v>
      </c>
      <c r="AK133" s="316">
        <f t="shared" si="199"/>
        <v>0</v>
      </c>
      <c r="AL133" s="316">
        <f t="shared" si="199"/>
        <v>0</v>
      </c>
      <c r="AM133" s="316">
        <f t="shared" si="199"/>
        <v>0</v>
      </c>
      <c r="AN133" s="389">
        <f t="shared" si="199"/>
        <v>0</v>
      </c>
      <c r="AO133" s="133">
        <f t="shared" ref="AO133:AX133" si="200">SUM(AO131:AO132)</f>
        <v>2309835</v>
      </c>
      <c r="AP133" s="169">
        <f t="shared" si="200"/>
        <v>1687513</v>
      </c>
      <c r="AQ133" s="169">
        <f t="shared" si="200"/>
        <v>0</v>
      </c>
      <c r="AR133" s="169">
        <f t="shared" si="200"/>
        <v>0</v>
      </c>
      <c r="AS133" s="169">
        <f t="shared" si="200"/>
        <v>570379</v>
      </c>
      <c r="AT133" s="169">
        <f t="shared" si="200"/>
        <v>33751</v>
      </c>
      <c r="AU133" s="169">
        <f t="shared" si="200"/>
        <v>18192</v>
      </c>
      <c r="AV133" s="316">
        <f t="shared" si="200"/>
        <v>3.9649000000000001</v>
      </c>
      <c r="AW133" s="316">
        <f t="shared" si="200"/>
        <v>2.2000000000000002</v>
      </c>
      <c r="AX133" s="317">
        <f t="shared" si="200"/>
        <v>1.7648999999999999</v>
      </c>
    </row>
    <row r="134" spans="1:50" ht="12.95" customHeight="1" x14ac:dyDescent="0.25">
      <c r="A134" s="305">
        <v>27</v>
      </c>
      <c r="B134" s="555">
        <v>2440</v>
      </c>
      <c r="C134" s="555">
        <v>600079392</v>
      </c>
      <c r="D134" s="83">
        <v>70981183</v>
      </c>
      <c r="E134" s="552" t="s">
        <v>540</v>
      </c>
      <c r="F134" s="551">
        <v>3111</v>
      </c>
      <c r="G134" s="553" t="s">
        <v>331</v>
      </c>
      <c r="H134" s="494" t="s">
        <v>283</v>
      </c>
      <c r="I134" s="495">
        <v>2062526</v>
      </c>
      <c r="J134" s="496">
        <v>1504364</v>
      </c>
      <c r="K134" s="496">
        <v>0</v>
      </c>
      <c r="L134" s="496">
        <v>0</v>
      </c>
      <c r="M134" s="411">
        <v>508475</v>
      </c>
      <c r="N134" s="411">
        <v>30087</v>
      </c>
      <c r="O134" s="496">
        <v>19600</v>
      </c>
      <c r="P134" s="497">
        <v>3.8898000000000001</v>
      </c>
      <c r="Q134" s="412">
        <v>2.5</v>
      </c>
      <c r="R134" s="498">
        <v>1.3897999999999999</v>
      </c>
      <c r="S134" s="499">
        <f t="shared" ref="S134:S135" si="201">W134*-1</f>
        <v>0</v>
      </c>
      <c r="T134" s="486">
        <v>0</v>
      </c>
      <c r="U134" s="486">
        <v>0</v>
      </c>
      <c r="V134" s="486">
        <f>SUM(S134:U134)</f>
        <v>0</v>
      </c>
      <c r="W134" s="486">
        <v>0</v>
      </c>
      <c r="X134" s="486">
        <v>0</v>
      </c>
      <c r="Y134" s="486">
        <f>SUM(W134:X134)</f>
        <v>0</v>
      </c>
      <c r="Z134" s="486">
        <f>V134+Y134</f>
        <v>0</v>
      </c>
      <c r="AA134" s="319">
        <f>ROUND((V134+W134)*33.8%,0)</f>
        <v>0</v>
      </c>
      <c r="AB134" s="178">
        <f>ROUND(V134*2%,0)</f>
        <v>0</v>
      </c>
      <c r="AC134" s="486">
        <v>0</v>
      </c>
      <c r="AD134" s="486">
        <v>0</v>
      </c>
      <c r="AE134" s="486">
        <f t="shared" si="110"/>
        <v>0</v>
      </c>
      <c r="AF134" s="486">
        <f t="shared" si="111"/>
        <v>0</v>
      </c>
      <c r="AG134" s="501">
        <v>0</v>
      </c>
      <c r="AH134" s="501">
        <v>0</v>
      </c>
      <c r="AI134" s="501">
        <v>0</v>
      </c>
      <c r="AJ134" s="501">
        <v>0</v>
      </c>
      <c r="AK134" s="501">
        <v>0</v>
      </c>
      <c r="AL134" s="501">
        <f t="shared" ref="AL134:AL135" si="202">AG134+AI134+AJ134</f>
        <v>0</v>
      </c>
      <c r="AM134" s="501">
        <f t="shared" ref="AM134:AM135" si="203">AH134+AK134</f>
        <v>0</v>
      </c>
      <c r="AN134" s="529">
        <f t="shared" si="114"/>
        <v>0</v>
      </c>
      <c r="AO134" s="530">
        <f>I134+AF134</f>
        <v>2062526</v>
      </c>
      <c r="AP134" s="486">
        <f>J134+V134</f>
        <v>1504364</v>
      </c>
      <c r="AQ134" s="486">
        <f>K134+Y134</f>
        <v>0</v>
      </c>
      <c r="AR134" s="480">
        <f>L134</f>
        <v>0</v>
      </c>
      <c r="AS134" s="486">
        <f>M134+AA134</f>
        <v>508475</v>
      </c>
      <c r="AT134" s="486">
        <f>N134+AB134</f>
        <v>30087</v>
      </c>
      <c r="AU134" s="486">
        <f>O134+AE134</f>
        <v>19600</v>
      </c>
      <c r="AV134" s="501">
        <f>P134+AN134</f>
        <v>3.8898000000000001</v>
      </c>
      <c r="AW134" s="501">
        <f>Q134+AL134</f>
        <v>2.5</v>
      </c>
      <c r="AX134" s="502">
        <f>R134+AM134</f>
        <v>1.3897999999999999</v>
      </c>
    </row>
    <row r="135" spans="1:50" ht="12.95" customHeight="1" x14ac:dyDescent="0.25">
      <c r="A135" s="305">
        <v>27</v>
      </c>
      <c r="B135" s="551">
        <v>2440</v>
      </c>
      <c r="C135" s="551">
        <v>600079392</v>
      </c>
      <c r="D135" s="83">
        <v>70981183</v>
      </c>
      <c r="E135" s="552" t="s">
        <v>540</v>
      </c>
      <c r="F135" s="551">
        <v>3141</v>
      </c>
      <c r="G135" s="553" t="s">
        <v>321</v>
      </c>
      <c r="H135" s="494" t="s">
        <v>284</v>
      </c>
      <c r="I135" s="495">
        <v>432316</v>
      </c>
      <c r="J135" s="496">
        <v>317152</v>
      </c>
      <c r="K135" s="496">
        <v>0</v>
      </c>
      <c r="L135" s="496">
        <v>0</v>
      </c>
      <c r="M135" s="411">
        <v>107197</v>
      </c>
      <c r="N135" s="411">
        <v>6343</v>
      </c>
      <c r="O135" s="496">
        <v>1624</v>
      </c>
      <c r="P135" s="497">
        <v>1.08</v>
      </c>
      <c r="Q135" s="412">
        <v>0</v>
      </c>
      <c r="R135" s="498">
        <v>1.08</v>
      </c>
      <c r="S135" s="499">
        <f t="shared" si="201"/>
        <v>0</v>
      </c>
      <c r="T135" s="486">
        <v>0</v>
      </c>
      <c r="U135" s="486">
        <v>0</v>
      </c>
      <c r="V135" s="486">
        <f>SUM(S135:U135)</f>
        <v>0</v>
      </c>
      <c r="W135" s="486">
        <v>0</v>
      </c>
      <c r="X135" s="486">
        <v>0</v>
      </c>
      <c r="Y135" s="486">
        <f>SUM(W135:X135)</f>
        <v>0</v>
      </c>
      <c r="Z135" s="486">
        <f>V135+Y135</f>
        <v>0</v>
      </c>
      <c r="AA135" s="319">
        <f>ROUND((V135+W135)*33.8%,0)</f>
        <v>0</v>
      </c>
      <c r="AB135" s="178">
        <f>ROUND(V135*2%,0)</f>
        <v>0</v>
      </c>
      <c r="AC135" s="486">
        <v>0</v>
      </c>
      <c r="AD135" s="486">
        <v>0</v>
      </c>
      <c r="AE135" s="486">
        <f t="shared" si="110"/>
        <v>0</v>
      </c>
      <c r="AF135" s="486">
        <f t="shared" si="111"/>
        <v>0</v>
      </c>
      <c r="AG135" s="501">
        <v>0</v>
      </c>
      <c r="AH135" s="501">
        <v>0</v>
      </c>
      <c r="AI135" s="501">
        <v>0</v>
      </c>
      <c r="AJ135" s="501">
        <v>0</v>
      </c>
      <c r="AK135" s="501">
        <v>0</v>
      </c>
      <c r="AL135" s="501">
        <f t="shared" si="202"/>
        <v>0</v>
      </c>
      <c r="AM135" s="501">
        <f t="shared" si="203"/>
        <v>0</v>
      </c>
      <c r="AN135" s="529">
        <f t="shared" si="114"/>
        <v>0</v>
      </c>
      <c r="AO135" s="530">
        <f>I135+AF135</f>
        <v>432316</v>
      </c>
      <c r="AP135" s="486">
        <f>J135+V135</f>
        <v>317152</v>
      </c>
      <c r="AQ135" s="486">
        <f>K135+Y135</f>
        <v>0</v>
      </c>
      <c r="AR135" s="480">
        <f>L135</f>
        <v>0</v>
      </c>
      <c r="AS135" s="486">
        <f>M135+AA135</f>
        <v>107197</v>
      </c>
      <c r="AT135" s="486">
        <f>N135+AB135</f>
        <v>6343</v>
      </c>
      <c r="AU135" s="486">
        <f>O135+AE135</f>
        <v>1624</v>
      </c>
      <c r="AV135" s="501">
        <f>P135+AN135</f>
        <v>1.08</v>
      </c>
      <c r="AW135" s="501">
        <f>Q135+AL135</f>
        <v>0</v>
      </c>
      <c r="AX135" s="502">
        <f>R135+AM135</f>
        <v>1.08</v>
      </c>
    </row>
    <row r="136" spans="1:50" ht="12.95" customHeight="1" x14ac:dyDescent="0.25">
      <c r="A136" s="307">
        <v>27</v>
      </c>
      <c r="B136" s="128">
        <v>2440</v>
      </c>
      <c r="C136" s="128">
        <v>600079392</v>
      </c>
      <c r="D136" s="128">
        <v>70981183</v>
      </c>
      <c r="E136" s="554" t="s">
        <v>541</v>
      </c>
      <c r="F136" s="128"/>
      <c r="G136" s="554"/>
      <c r="H136" s="371"/>
      <c r="I136" s="133">
        <v>2494842</v>
      </c>
      <c r="J136" s="239">
        <v>1821516</v>
      </c>
      <c r="K136" s="239">
        <v>0</v>
      </c>
      <c r="L136" s="239">
        <v>0</v>
      </c>
      <c r="M136" s="239">
        <v>615672</v>
      </c>
      <c r="N136" s="239">
        <v>36430</v>
      </c>
      <c r="O136" s="239">
        <v>21224</v>
      </c>
      <c r="P136" s="380">
        <v>4.9698000000000002</v>
      </c>
      <c r="Q136" s="380">
        <v>2.5</v>
      </c>
      <c r="R136" s="396">
        <v>2.4698000000000002</v>
      </c>
      <c r="S136" s="239">
        <f t="shared" ref="S136:AN136" si="204">SUM(S134:S135)</f>
        <v>0</v>
      </c>
      <c r="T136" s="169">
        <f t="shared" si="204"/>
        <v>0</v>
      </c>
      <c r="U136" s="169">
        <f t="shared" si="204"/>
        <v>0</v>
      </c>
      <c r="V136" s="169">
        <f t="shared" si="204"/>
        <v>0</v>
      </c>
      <c r="W136" s="169">
        <f t="shared" si="204"/>
        <v>0</v>
      </c>
      <c r="X136" s="169">
        <f t="shared" si="204"/>
        <v>0</v>
      </c>
      <c r="Y136" s="169">
        <f t="shared" si="204"/>
        <v>0</v>
      </c>
      <c r="Z136" s="169">
        <f t="shared" si="204"/>
        <v>0</v>
      </c>
      <c r="AA136" s="169">
        <f t="shared" si="204"/>
        <v>0</v>
      </c>
      <c r="AB136" s="169">
        <f t="shared" si="204"/>
        <v>0</v>
      </c>
      <c r="AC136" s="169">
        <f t="shared" si="204"/>
        <v>0</v>
      </c>
      <c r="AD136" s="169">
        <f t="shared" si="204"/>
        <v>0</v>
      </c>
      <c r="AE136" s="169">
        <f t="shared" si="204"/>
        <v>0</v>
      </c>
      <c r="AF136" s="169">
        <f t="shared" si="204"/>
        <v>0</v>
      </c>
      <c r="AG136" s="316">
        <f t="shared" si="204"/>
        <v>0</v>
      </c>
      <c r="AH136" s="316">
        <f t="shared" si="204"/>
        <v>0</v>
      </c>
      <c r="AI136" s="316">
        <f t="shared" si="204"/>
        <v>0</v>
      </c>
      <c r="AJ136" s="316">
        <f t="shared" si="204"/>
        <v>0</v>
      </c>
      <c r="AK136" s="316">
        <f t="shared" si="204"/>
        <v>0</v>
      </c>
      <c r="AL136" s="316">
        <f t="shared" si="204"/>
        <v>0</v>
      </c>
      <c r="AM136" s="316">
        <f t="shared" si="204"/>
        <v>0</v>
      </c>
      <c r="AN136" s="389">
        <f t="shared" si="204"/>
        <v>0</v>
      </c>
      <c r="AO136" s="133">
        <f t="shared" ref="AO136:AX136" si="205">SUM(AO134:AO135)</f>
        <v>2494842</v>
      </c>
      <c r="AP136" s="169">
        <f t="shared" si="205"/>
        <v>1821516</v>
      </c>
      <c r="AQ136" s="169">
        <f t="shared" si="205"/>
        <v>0</v>
      </c>
      <c r="AR136" s="169">
        <f t="shared" si="205"/>
        <v>0</v>
      </c>
      <c r="AS136" s="169">
        <f t="shared" si="205"/>
        <v>615672</v>
      </c>
      <c r="AT136" s="169">
        <f t="shared" si="205"/>
        <v>36430</v>
      </c>
      <c r="AU136" s="169">
        <f t="shared" si="205"/>
        <v>21224</v>
      </c>
      <c r="AV136" s="316">
        <f t="shared" si="205"/>
        <v>4.9698000000000002</v>
      </c>
      <c r="AW136" s="316">
        <f t="shared" si="205"/>
        <v>2.5</v>
      </c>
      <c r="AX136" s="317">
        <f t="shared" si="205"/>
        <v>2.4698000000000002</v>
      </c>
    </row>
    <row r="137" spans="1:50" ht="12.95" customHeight="1" x14ac:dyDescent="0.25">
      <c r="A137" s="305">
        <v>28</v>
      </c>
      <c r="B137" s="549">
        <v>2303</v>
      </c>
      <c r="C137" s="549">
        <v>600080048</v>
      </c>
      <c r="D137" s="83">
        <v>72743689</v>
      </c>
      <c r="E137" s="550" t="s">
        <v>542</v>
      </c>
      <c r="F137" s="549">
        <v>3111</v>
      </c>
      <c r="G137" s="553" t="s">
        <v>331</v>
      </c>
      <c r="H137" s="494" t="s">
        <v>283</v>
      </c>
      <c r="I137" s="495">
        <v>2864735</v>
      </c>
      <c r="J137" s="496">
        <v>2059348</v>
      </c>
      <c r="K137" s="496">
        <v>30000</v>
      </c>
      <c r="L137" s="496">
        <v>0</v>
      </c>
      <c r="M137" s="411">
        <v>706200</v>
      </c>
      <c r="N137" s="411">
        <v>41187</v>
      </c>
      <c r="O137" s="496">
        <v>28000</v>
      </c>
      <c r="P137" s="497">
        <v>4.8217999999999996</v>
      </c>
      <c r="Q137" s="412">
        <v>3.9</v>
      </c>
      <c r="R137" s="498">
        <v>0.92179999999999995</v>
      </c>
      <c r="S137" s="499">
        <f t="shared" ref="S137:S142" si="206">W137*-1</f>
        <v>0</v>
      </c>
      <c r="T137" s="486">
        <v>0</v>
      </c>
      <c r="U137" s="486">
        <v>0</v>
      </c>
      <c r="V137" s="486">
        <f t="shared" ref="V137:V142" si="207">SUM(S137:U137)</f>
        <v>0</v>
      </c>
      <c r="W137" s="486">
        <v>0</v>
      </c>
      <c r="X137" s="486">
        <v>0</v>
      </c>
      <c r="Y137" s="486">
        <f t="shared" ref="Y137:Y142" si="208">SUM(W137:X137)</f>
        <v>0</v>
      </c>
      <c r="Z137" s="486">
        <f t="shared" ref="Z137:Z142" si="209">V137+Y137</f>
        <v>0</v>
      </c>
      <c r="AA137" s="319">
        <f t="shared" ref="AA137:AA142" si="210">ROUND((V137+W137)*33.8%,0)</f>
        <v>0</v>
      </c>
      <c r="AB137" s="178">
        <f t="shared" ref="AB137:AB142" si="211">ROUND(V137*2%,0)</f>
        <v>0</v>
      </c>
      <c r="AC137" s="486">
        <v>0</v>
      </c>
      <c r="AD137" s="486">
        <v>0</v>
      </c>
      <c r="AE137" s="486">
        <f t="shared" si="110"/>
        <v>0</v>
      </c>
      <c r="AF137" s="486">
        <f t="shared" si="111"/>
        <v>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ref="AL137:AL142" si="212">AG137+AI137+AJ137</f>
        <v>0</v>
      </c>
      <c r="AM137" s="501">
        <f t="shared" ref="AM137:AM142" si="213">AH137+AK137</f>
        <v>0</v>
      </c>
      <c r="AN137" s="529">
        <f t="shared" si="114"/>
        <v>0</v>
      </c>
      <c r="AO137" s="530">
        <f t="shared" ref="AO137:AO142" si="214">I137+AF137</f>
        <v>2864735</v>
      </c>
      <c r="AP137" s="486">
        <f t="shared" ref="AP137:AP142" si="215">J137+V137</f>
        <v>2059348</v>
      </c>
      <c r="AQ137" s="486">
        <f t="shared" ref="AQ137:AQ142" si="216">K137+Y137</f>
        <v>30000</v>
      </c>
      <c r="AR137" s="480">
        <f t="shared" ref="AR137:AR142" si="217">L137</f>
        <v>0</v>
      </c>
      <c r="AS137" s="486">
        <f t="shared" ref="AS137:AT142" si="218">M137+AA137</f>
        <v>706200</v>
      </c>
      <c r="AT137" s="486">
        <f t="shared" si="218"/>
        <v>41187</v>
      </c>
      <c r="AU137" s="486">
        <f t="shared" ref="AU137:AU142" si="219">O137+AE137</f>
        <v>28000</v>
      </c>
      <c r="AV137" s="501">
        <f t="shared" ref="AV137:AV142" si="220">P137+AN137</f>
        <v>4.8217999999999996</v>
      </c>
      <c r="AW137" s="501">
        <f t="shared" ref="AW137:AX142" si="221">Q137+AL137</f>
        <v>3.9</v>
      </c>
      <c r="AX137" s="502">
        <f t="shared" si="221"/>
        <v>0.92179999999999995</v>
      </c>
    </row>
    <row r="138" spans="1:50" ht="12.95" customHeight="1" x14ac:dyDescent="0.25">
      <c r="A138" s="305">
        <v>28</v>
      </c>
      <c r="B138" s="555">
        <v>2303</v>
      </c>
      <c r="C138" s="555">
        <v>600080048</v>
      </c>
      <c r="D138" s="83">
        <v>72743689</v>
      </c>
      <c r="E138" s="556" t="s">
        <v>542</v>
      </c>
      <c r="F138" s="555">
        <v>3117</v>
      </c>
      <c r="G138" s="552" t="s">
        <v>335</v>
      </c>
      <c r="H138" s="494" t="s">
        <v>283</v>
      </c>
      <c r="I138" s="495">
        <v>4076534</v>
      </c>
      <c r="J138" s="496">
        <v>2904505</v>
      </c>
      <c r="K138" s="496">
        <v>6216</v>
      </c>
      <c r="L138" s="496">
        <v>6216</v>
      </c>
      <c r="M138" s="411">
        <v>981723</v>
      </c>
      <c r="N138" s="411">
        <v>58090</v>
      </c>
      <c r="O138" s="496">
        <v>126000</v>
      </c>
      <c r="P138" s="497">
        <v>6.1586999999999996</v>
      </c>
      <c r="Q138" s="412">
        <v>3.9281999999999999</v>
      </c>
      <c r="R138" s="498">
        <v>2.2304999999999997</v>
      </c>
      <c r="S138" s="499">
        <f t="shared" si="206"/>
        <v>0</v>
      </c>
      <c r="T138" s="486">
        <v>0</v>
      </c>
      <c r="U138" s="486">
        <v>0</v>
      </c>
      <c r="V138" s="486">
        <f t="shared" si="207"/>
        <v>0</v>
      </c>
      <c r="W138" s="486">
        <v>0</v>
      </c>
      <c r="X138" s="486">
        <v>0</v>
      </c>
      <c r="Y138" s="486">
        <f t="shared" si="208"/>
        <v>0</v>
      </c>
      <c r="Z138" s="486">
        <f t="shared" si="209"/>
        <v>0</v>
      </c>
      <c r="AA138" s="319">
        <f t="shared" si="210"/>
        <v>0</v>
      </c>
      <c r="AB138" s="178">
        <f t="shared" si="211"/>
        <v>0</v>
      </c>
      <c r="AC138" s="486">
        <v>0</v>
      </c>
      <c r="AD138" s="486">
        <v>0</v>
      </c>
      <c r="AE138" s="486">
        <f t="shared" si="110"/>
        <v>0</v>
      </c>
      <c r="AF138" s="486">
        <f t="shared" si="111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212"/>
        <v>0</v>
      </c>
      <c r="AM138" s="501">
        <f t="shared" si="213"/>
        <v>0</v>
      </c>
      <c r="AN138" s="529">
        <f t="shared" si="114"/>
        <v>0</v>
      </c>
      <c r="AO138" s="530">
        <f t="shared" si="214"/>
        <v>4076534</v>
      </c>
      <c r="AP138" s="486">
        <f t="shared" si="215"/>
        <v>2904505</v>
      </c>
      <c r="AQ138" s="486">
        <f t="shared" si="216"/>
        <v>6216</v>
      </c>
      <c r="AR138" s="480">
        <f t="shared" si="217"/>
        <v>6216</v>
      </c>
      <c r="AS138" s="486">
        <f t="shared" si="218"/>
        <v>981723</v>
      </c>
      <c r="AT138" s="486">
        <f t="shared" si="218"/>
        <v>58090</v>
      </c>
      <c r="AU138" s="486">
        <f t="shared" si="219"/>
        <v>126000</v>
      </c>
      <c r="AV138" s="501">
        <f t="shared" si="220"/>
        <v>6.1586999999999996</v>
      </c>
      <c r="AW138" s="501">
        <f t="shared" si="221"/>
        <v>3.9281999999999999</v>
      </c>
      <c r="AX138" s="502">
        <f t="shared" si="221"/>
        <v>2.2304999999999997</v>
      </c>
    </row>
    <row r="139" spans="1:50" ht="12.95" customHeight="1" x14ac:dyDescent="0.25">
      <c r="A139" s="305">
        <v>28</v>
      </c>
      <c r="B139" s="551">
        <v>2303</v>
      </c>
      <c r="C139" s="551">
        <v>600080048</v>
      </c>
      <c r="D139" s="83">
        <v>72743689</v>
      </c>
      <c r="E139" s="550" t="s">
        <v>542</v>
      </c>
      <c r="F139" s="555">
        <v>3117</v>
      </c>
      <c r="G139" s="528" t="s">
        <v>318</v>
      </c>
      <c r="H139" s="494" t="s">
        <v>284</v>
      </c>
      <c r="I139" s="495">
        <v>67280</v>
      </c>
      <c r="J139" s="496">
        <v>49544</v>
      </c>
      <c r="K139" s="496">
        <v>0</v>
      </c>
      <c r="L139" s="496">
        <v>0</v>
      </c>
      <c r="M139" s="411">
        <v>16746</v>
      </c>
      <c r="N139" s="411">
        <v>990</v>
      </c>
      <c r="O139" s="496">
        <v>0</v>
      </c>
      <c r="P139" s="497">
        <v>0.18</v>
      </c>
      <c r="Q139" s="412">
        <v>0.18</v>
      </c>
      <c r="R139" s="498">
        <v>0</v>
      </c>
      <c r="S139" s="499">
        <f t="shared" si="206"/>
        <v>0</v>
      </c>
      <c r="T139" s="486">
        <v>0</v>
      </c>
      <c r="U139" s="486">
        <v>0</v>
      </c>
      <c r="V139" s="486">
        <f t="shared" si="207"/>
        <v>0</v>
      </c>
      <c r="W139" s="486">
        <v>0</v>
      </c>
      <c r="X139" s="486">
        <v>0</v>
      </c>
      <c r="Y139" s="486">
        <f t="shared" si="208"/>
        <v>0</v>
      </c>
      <c r="Z139" s="486">
        <f t="shared" si="209"/>
        <v>0</v>
      </c>
      <c r="AA139" s="319">
        <f t="shared" si="210"/>
        <v>0</v>
      </c>
      <c r="AB139" s="178">
        <f t="shared" si="211"/>
        <v>0</v>
      </c>
      <c r="AC139" s="486">
        <v>0</v>
      </c>
      <c r="AD139" s="486">
        <v>0</v>
      </c>
      <c r="AE139" s="486">
        <f t="shared" si="110"/>
        <v>0</v>
      </c>
      <c r="AF139" s="486">
        <f t="shared" si="111"/>
        <v>0</v>
      </c>
      <c r="AG139" s="501">
        <v>0</v>
      </c>
      <c r="AH139" s="501">
        <v>0</v>
      </c>
      <c r="AI139" s="501">
        <v>0</v>
      </c>
      <c r="AJ139" s="501">
        <v>0</v>
      </c>
      <c r="AK139" s="501">
        <v>0</v>
      </c>
      <c r="AL139" s="501">
        <f t="shared" si="212"/>
        <v>0</v>
      </c>
      <c r="AM139" s="501">
        <f t="shared" si="213"/>
        <v>0</v>
      </c>
      <c r="AN139" s="529">
        <f t="shared" si="114"/>
        <v>0</v>
      </c>
      <c r="AO139" s="530">
        <f t="shared" si="214"/>
        <v>67280</v>
      </c>
      <c r="AP139" s="486">
        <f t="shared" si="215"/>
        <v>49544</v>
      </c>
      <c r="AQ139" s="486">
        <f t="shared" si="216"/>
        <v>0</v>
      </c>
      <c r="AR139" s="480">
        <f t="shared" si="217"/>
        <v>0</v>
      </c>
      <c r="AS139" s="486">
        <f t="shared" si="218"/>
        <v>16746</v>
      </c>
      <c r="AT139" s="486">
        <f t="shared" si="218"/>
        <v>990</v>
      </c>
      <c r="AU139" s="486">
        <f t="shared" si="219"/>
        <v>0</v>
      </c>
      <c r="AV139" s="501">
        <f t="shared" si="220"/>
        <v>0.18</v>
      </c>
      <c r="AW139" s="501">
        <f t="shared" si="221"/>
        <v>0.18</v>
      </c>
      <c r="AX139" s="502">
        <f t="shared" si="221"/>
        <v>0</v>
      </c>
    </row>
    <row r="140" spans="1:50" ht="12.95" customHeight="1" x14ac:dyDescent="0.25">
      <c r="A140" s="305">
        <v>28</v>
      </c>
      <c r="B140" s="551">
        <v>2303</v>
      </c>
      <c r="C140" s="551">
        <v>600080048</v>
      </c>
      <c r="D140" s="83">
        <v>72743689</v>
      </c>
      <c r="E140" s="552" t="s">
        <v>542</v>
      </c>
      <c r="F140" s="551">
        <v>3141</v>
      </c>
      <c r="G140" s="553" t="s">
        <v>321</v>
      </c>
      <c r="H140" s="494" t="s">
        <v>284</v>
      </c>
      <c r="I140" s="495">
        <v>974562</v>
      </c>
      <c r="J140" s="496">
        <v>654941</v>
      </c>
      <c r="K140" s="496">
        <v>60000</v>
      </c>
      <c r="L140" s="496">
        <v>0</v>
      </c>
      <c r="M140" s="411">
        <v>241650</v>
      </c>
      <c r="N140" s="411">
        <v>13099</v>
      </c>
      <c r="O140" s="496">
        <v>4872</v>
      </c>
      <c r="P140" s="497">
        <v>2.2700000000000005</v>
      </c>
      <c r="Q140" s="412">
        <v>0</v>
      </c>
      <c r="R140" s="498">
        <v>2.2700000000000005</v>
      </c>
      <c r="S140" s="499">
        <f t="shared" si="206"/>
        <v>0</v>
      </c>
      <c r="T140" s="486">
        <v>0</v>
      </c>
      <c r="U140" s="486">
        <v>0</v>
      </c>
      <c r="V140" s="486">
        <f t="shared" si="207"/>
        <v>0</v>
      </c>
      <c r="W140" s="486">
        <v>0</v>
      </c>
      <c r="X140" s="486">
        <v>0</v>
      </c>
      <c r="Y140" s="486">
        <f t="shared" si="208"/>
        <v>0</v>
      </c>
      <c r="Z140" s="486">
        <f t="shared" si="209"/>
        <v>0</v>
      </c>
      <c r="AA140" s="319">
        <f t="shared" si="210"/>
        <v>0</v>
      </c>
      <c r="AB140" s="178">
        <f t="shared" si="211"/>
        <v>0</v>
      </c>
      <c r="AC140" s="486">
        <v>0</v>
      </c>
      <c r="AD140" s="486">
        <v>0</v>
      </c>
      <c r="AE140" s="486">
        <f t="shared" si="110"/>
        <v>0</v>
      </c>
      <c r="AF140" s="486">
        <f t="shared" si="111"/>
        <v>0</v>
      </c>
      <c r="AG140" s="501">
        <v>0</v>
      </c>
      <c r="AH140" s="501">
        <v>0</v>
      </c>
      <c r="AI140" s="501">
        <v>0</v>
      </c>
      <c r="AJ140" s="501">
        <v>0</v>
      </c>
      <c r="AK140" s="501">
        <v>0</v>
      </c>
      <c r="AL140" s="501">
        <f t="shared" si="212"/>
        <v>0</v>
      </c>
      <c r="AM140" s="501">
        <f t="shared" si="213"/>
        <v>0</v>
      </c>
      <c r="AN140" s="529">
        <f t="shared" si="114"/>
        <v>0</v>
      </c>
      <c r="AO140" s="530">
        <f t="shared" si="214"/>
        <v>974562</v>
      </c>
      <c r="AP140" s="486">
        <f t="shared" si="215"/>
        <v>654941</v>
      </c>
      <c r="AQ140" s="486">
        <f t="shared" si="216"/>
        <v>60000</v>
      </c>
      <c r="AR140" s="480">
        <f t="shared" si="217"/>
        <v>0</v>
      </c>
      <c r="AS140" s="486">
        <f t="shared" si="218"/>
        <v>241650</v>
      </c>
      <c r="AT140" s="486">
        <f t="shared" si="218"/>
        <v>13099</v>
      </c>
      <c r="AU140" s="486">
        <f t="shared" si="219"/>
        <v>4872</v>
      </c>
      <c r="AV140" s="501">
        <f t="shared" si="220"/>
        <v>2.2700000000000005</v>
      </c>
      <c r="AW140" s="501">
        <f t="shared" si="221"/>
        <v>0</v>
      </c>
      <c r="AX140" s="502">
        <f t="shared" si="221"/>
        <v>2.2700000000000005</v>
      </c>
    </row>
    <row r="141" spans="1:50" ht="12.95" customHeight="1" x14ac:dyDescent="0.25">
      <c r="A141" s="305">
        <v>28</v>
      </c>
      <c r="B141" s="551">
        <v>2303</v>
      </c>
      <c r="C141" s="551">
        <v>600080048</v>
      </c>
      <c r="D141" s="83">
        <v>72743689</v>
      </c>
      <c r="E141" s="550" t="s">
        <v>542</v>
      </c>
      <c r="F141" s="561">
        <v>3143</v>
      </c>
      <c r="G141" s="528" t="s">
        <v>634</v>
      </c>
      <c r="H141" s="494" t="s">
        <v>283</v>
      </c>
      <c r="I141" s="495">
        <v>583102</v>
      </c>
      <c r="J141" s="496">
        <v>429383</v>
      </c>
      <c r="K141" s="496">
        <v>0</v>
      </c>
      <c r="L141" s="496">
        <v>0</v>
      </c>
      <c r="M141" s="411">
        <v>145131</v>
      </c>
      <c r="N141" s="411">
        <v>8588</v>
      </c>
      <c r="O141" s="496">
        <v>0</v>
      </c>
      <c r="P141" s="497">
        <v>0.86</v>
      </c>
      <c r="Q141" s="412">
        <v>0.86</v>
      </c>
      <c r="R141" s="498">
        <v>0</v>
      </c>
      <c r="S141" s="499">
        <f t="shared" si="206"/>
        <v>0</v>
      </c>
      <c r="T141" s="486">
        <v>0</v>
      </c>
      <c r="U141" s="486">
        <v>0</v>
      </c>
      <c r="V141" s="486">
        <f t="shared" si="207"/>
        <v>0</v>
      </c>
      <c r="W141" s="486">
        <v>0</v>
      </c>
      <c r="X141" s="486">
        <v>0</v>
      </c>
      <c r="Y141" s="486">
        <f t="shared" si="208"/>
        <v>0</v>
      </c>
      <c r="Z141" s="486">
        <f t="shared" si="209"/>
        <v>0</v>
      </c>
      <c r="AA141" s="319">
        <f t="shared" si="210"/>
        <v>0</v>
      </c>
      <c r="AB141" s="178">
        <f t="shared" si="211"/>
        <v>0</v>
      </c>
      <c r="AC141" s="486">
        <v>0</v>
      </c>
      <c r="AD141" s="486">
        <v>0</v>
      </c>
      <c r="AE141" s="486">
        <f t="shared" si="110"/>
        <v>0</v>
      </c>
      <c r="AF141" s="486">
        <f t="shared" si="111"/>
        <v>0</v>
      </c>
      <c r="AG141" s="501">
        <v>0</v>
      </c>
      <c r="AH141" s="501">
        <v>0</v>
      </c>
      <c r="AI141" s="501">
        <v>0</v>
      </c>
      <c r="AJ141" s="501">
        <v>0</v>
      </c>
      <c r="AK141" s="501">
        <v>0</v>
      </c>
      <c r="AL141" s="501">
        <f t="shared" si="212"/>
        <v>0</v>
      </c>
      <c r="AM141" s="501">
        <f t="shared" si="213"/>
        <v>0</v>
      </c>
      <c r="AN141" s="529">
        <f t="shared" si="114"/>
        <v>0</v>
      </c>
      <c r="AO141" s="530">
        <f t="shared" si="214"/>
        <v>583102</v>
      </c>
      <c r="AP141" s="486">
        <f t="shared" si="215"/>
        <v>429383</v>
      </c>
      <c r="AQ141" s="486">
        <f t="shared" si="216"/>
        <v>0</v>
      </c>
      <c r="AR141" s="480">
        <f t="shared" si="217"/>
        <v>0</v>
      </c>
      <c r="AS141" s="486">
        <f t="shared" si="218"/>
        <v>145131</v>
      </c>
      <c r="AT141" s="486">
        <f t="shared" si="218"/>
        <v>8588</v>
      </c>
      <c r="AU141" s="486">
        <f t="shared" si="219"/>
        <v>0</v>
      </c>
      <c r="AV141" s="501">
        <f t="shared" si="220"/>
        <v>0.86</v>
      </c>
      <c r="AW141" s="501">
        <f t="shared" si="221"/>
        <v>0.86</v>
      </c>
      <c r="AX141" s="502">
        <f t="shared" si="221"/>
        <v>0</v>
      </c>
    </row>
    <row r="142" spans="1:50" ht="12.95" customHeight="1" x14ac:dyDescent="0.25">
      <c r="A142" s="305">
        <v>28</v>
      </c>
      <c r="B142" s="551">
        <v>2303</v>
      </c>
      <c r="C142" s="551">
        <v>600080048</v>
      </c>
      <c r="D142" s="83">
        <v>72743689</v>
      </c>
      <c r="E142" s="550" t="s">
        <v>542</v>
      </c>
      <c r="F142" s="561">
        <v>3143</v>
      </c>
      <c r="G142" s="528" t="s">
        <v>635</v>
      </c>
      <c r="H142" s="494" t="s">
        <v>284</v>
      </c>
      <c r="I142" s="495">
        <v>17556</v>
      </c>
      <c r="J142" s="496">
        <v>12375</v>
      </c>
      <c r="K142" s="496">
        <v>0</v>
      </c>
      <c r="L142" s="496">
        <v>0</v>
      </c>
      <c r="M142" s="411">
        <v>4183</v>
      </c>
      <c r="N142" s="411">
        <v>248</v>
      </c>
      <c r="O142" s="496">
        <v>750</v>
      </c>
      <c r="P142" s="497">
        <v>0.05</v>
      </c>
      <c r="Q142" s="412">
        <v>0</v>
      </c>
      <c r="R142" s="498">
        <v>0.05</v>
      </c>
      <c r="S142" s="499">
        <f t="shared" si="206"/>
        <v>0</v>
      </c>
      <c r="T142" s="486">
        <v>0</v>
      </c>
      <c r="U142" s="486">
        <v>0</v>
      </c>
      <c r="V142" s="486">
        <f t="shared" si="207"/>
        <v>0</v>
      </c>
      <c r="W142" s="486">
        <v>0</v>
      </c>
      <c r="X142" s="486">
        <v>0</v>
      </c>
      <c r="Y142" s="486">
        <f t="shared" si="208"/>
        <v>0</v>
      </c>
      <c r="Z142" s="486">
        <f t="shared" si="209"/>
        <v>0</v>
      </c>
      <c r="AA142" s="319">
        <f t="shared" si="210"/>
        <v>0</v>
      </c>
      <c r="AB142" s="178">
        <f t="shared" si="211"/>
        <v>0</v>
      </c>
      <c r="AC142" s="486">
        <v>0</v>
      </c>
      <c r="AD142" s="486">
        <v>0</v>
      </c>
      <c r="AE142" s="486">
        <f t="shared" si="110"/>
        <v>0</v>
      </c>
      <c r="AF142" s="486">
        <f t="shared" si="111"/>
        <v>0</v>
      </c>
      <c r="AG142" s="501">
        <v>0</v>
      </c>
      <c r="AH142" s="501">
        <v>0</v>
      </c>
      <c r="AI142" s="501">
        <v>0</v>
      </c>
      <c r="AJ142" s="501">
        <v>0</v>
      </c>
      <c r="AK142" s="501">
        <v>0</v>
      </c>
      <c r="AL142" s="501">
        <f t="shared" si="212"/>
        <v>0</v>
      </c>
      <c r="AM142" s="501">
        <f t="shared" si="213"/>
        <v>0</v>
      </c>
      <c r="AN142" s="529">
        <f t="shared" si="114"/>
        <v>0</v>
      </c>
      <c r="AO142" s="530">
        <f t="shared" si="214"/>
        <v>17556</v>
      </c>
      <c r="AP142" s="486">
        <f t="shared" si="215"/>
        <v>12375</v>
      </c>
      <c r="AQ142" s="486">
        <f t="shared" si="216"/>
        <v>0</v>
      </c>
      <c r="AR142" s="480">
        <f t="shared" si="217"/>
        <v>0</v>
      </c>
      <c r="AS142" s="486">
        <f t="shared" si="218"/>
        <v>4183</v>
      </c>
      <c r="AT142" s="486">
        <f t="shared" si="218"/>
        <v>248</v>
      </c>
      <c r="AU142" s="486">
        <f t="shared" si="219"/>
        <v>750</v>
      </c>
      <c r="AV142" s="501">
        <f t="shared" si="220"/>
        <v>0.05</v>
      </c>
      <c r="AW142" s="501">
        <f t="shared" si="221"/>
        <v>0</v>
      </c>
      <c r="AX142" s="502">
        <f t="shared" si="221"/>
        <v>0.05</v>
      </c>
    </row>
    <row r="143" spans="1:50" ht="12.95" customHeight="1" x14ac:dyDescent="0.25">
      <c r="A143" s="307">
        <v>28</v>
      </c>
      <c r="B143" s="128">
        <v>2303</v>
      </c>
      <c r="C143" s="128">
        <v>600080048</v>
      </c>
      <c r="D143" s="128">
        <v>72743689</v>
      </c>
      <c r="E143" s="562" t="s">
        <v>543</v>
      </c>
      <c r="F143" s="132"/>
      <c r="G143" s="562"/>
      <c r="H143" s="373"/>
      <c r="I143" s="133">
        <v>8583769</v>
      </c>
      <c r="J143" s="239">
        <v>6110096</v>
      </c>
      <c r="K143" s="239">
        <v>96216</v>
      </c>
      <c r="L143" s="239">
        <v>6216</v>
      </c>
      <c r="M143" s="239">
        <v>2095633</v>
      </c>
      <c r="N143" s="239">
        <v>122202</v>
      </c>
      <c r="O143" s="239">
        <v>159622</v>
      </c>
      <c r="P143" s="380">
        <v>14.340499999999999</v>
      </c>
      <c r="Q143" s="380">
        <v>8.8681999999999999</v>
      </c>
      <c r="R143" s="396">
        <v>5.4722999999999997</v>
      </c>
      <c r="S143" s="239">
        <f t="shared" ref="S143:AN143" si="222">SUM(S137:S142)</f>
        <v>0</v>
      </c>
      <c r="T143" s="169">
        <f t="shared" si="222"/>
        <v>0</v>
      </c>
      <c r="U143" s="169">
        <f t="shared" si="222"/>
        <v>0</v>
      </c>
      <c r="V143" s="169">
        <f t="shared" si="222"/>
        <v>0</v>
      </c>
      <c r="W143" s="169">
        <f t="shared" si="222"/>
        <v>0</v>
      </c>
      <c r="X143" s="169">
        <f t="shared" si="222"/>
        <v>0</v>
      </c>
      <c r="Y143" s="169">
        <f t="shared" si="222"/>
        <v>0</v>
      </c>
      <c r="Z143" s="169">
        <f t="shared" si="222"/>
        <v>0</v>
      </c>
      <c r="AA143" s="169">
        <f t="shared" si="222"/>
        <v>0</v>
      </c>
      <c r="AB143" s="169">
        <f t="shared" si="222"/>
        <v>0</v>
      </c>
      <c r="AC143" s="169">
        <f t="shared" si="222"/>
        <v>0</v>
      </c>
      <c r="AD143" s="169">
        <f t="shared" si="222"/>
        <v>0</v>
      </c>
      <c r="AE143" s="169">
        <f t="shared" si="222"/>
        <v>0</v>
      </c>
      <c r="AF143" s="169">
        <f t="shared" si="222"/>
        <v>0</v>
      </c>
      <c r="AG143" s="316">
        <f t="shared" si="222"/>
        <v>0</v>
      </c>
      <c r="AH143" s="316">
        <f t="shared" si="222"/>
        <v>0</v>
      </c>
      <c r="AI143" s="316">
        <f t="shared" si="222"/>
        <v>0</v>
      </c>
      <c r="AJ143" s="316">
        <f t="shared" si="222"/>
        <v>0</v>
      </c>
      <c r="AK143" s="316">
        <f t="shared" si="222"/>
        <v>0</v>
      </c>
      <c r="AL143" s="316">
        <f t="shared" si="222"/>
        <v>0</v>
      </c>
      <c r="AM143" s="316">
        <f t="shared" si="222"/>
        <v>0</v>
      </c>
      <c r="AN143" s="389">
        <f t="shared" si="222"/>
        <v>0</v>
      </c>
      <c r="AO143" s="133">
        <f t="shared" ref="AO143:AX143" si="223">SUM(AO137:AO142)</f>
        <v>8583769</v>
      </c>
      <c r="AP143" s="169">
        <f t="shared" si="223"/>
        <v>6110096</v>
      </c>
      <c r="AQ143" s="169">
        <f t="shared" si="223"/>
        <v>96216</v>
      </c>
      <c r="AR143" s="169">
        <f t="shared" si="223"/>
        <v>6216</v>
      </c>
      <c r="AS143" s="169">
        <f t="shared" si="223"/>
        <v>2095633</v>
      </c>
      <c r="AT143" s="169">
        <f t="shared" si="223"/>
        <v>122202</v>
      </c>
      <c r="AU143" s="169">
        <f t="shared" si="223"/>
        <v>159622</v>
      </c>
      <c r="AV143" s="316">
        <f t="shared" si="223"/>
        <v>14.340499999999999</v>
      </c>
      <c r="AW143" s="316">
        <f t="shared" si="223"/>
        <v>8.8681999999999999</v>
      </c>
      <c r="AX143" s="317">
        <f t="shared" si="223"/>
        <v>5.4722999999999997</v>
      </c>
    </row>
    <row r="144" spans="1:50" ht="12.95" customHeight="1" x14ac:dyDescent="0.25">
      <c r="A144" s="305">
        <v>29</v>
      </c>
      <c r="B144" s="551">
        <v>5437</v>
      </c>
      <c r="C144" s="551">
        <v>600098931</v>
      </c>
      <c r="D144" s="83">
        <v>72742135</v>
      </c>
      <c r="E144" s="552" t="s">
        <v>544</v>
      </c>
      <c r="F144" s="551">
        <v>3111</v>
      </c>
      <c r="G144" s="553" t="s">
        <v>331</v>
      </c>
      <c r="H144" s="494" t="s">
        <v>283</v>
      </c>
      <c r="I144" s="495">
        <v>4584688</v>
      </c>
      <c r="J144" s="496">
        <v>3345131</v>
      </c>
      <c r="K144" s="496">
        <v>0</v>
      </c>
      <c r="L144" s="496">
        <v>0</v>
      </c>
      <c r="M144" s="411">
        <v>1130654</v>
      </c>
      <c r="N144" s="411">
        <v>66903</v>
      </c>
      <c r="O144" s="496">
        <v>42000</v>
      </c>
      <c r="P144" s="497">
        <v>7.9841999999999995</v>
      </c>
      <c r="Q144" s="412">
        <v>6</v>
      </c>
      <c r="R144" s="498">
        <v>1.9842</v>
      </c>
      <c r="S144" s="499">
        <f t="shared" ref="S144:S145" si="224">W144*-1</f>
        <v>0</v>
      </c>
      <c r="T144" s="486">
        <v>0</v>
      </c>
      <c r="U144" s="486">
        <v>0</v>
      </c>
      <c r="V144" s="486">
        <f>SUM(S144:U144)</f>
        <v>0</v>
      </c>
      <c r="W144" s="486">
        <v>0</v>
      </c>
      <c r="X144" s="486">
        <v>0</v>
      </c>
      <c r="Y144" s="486">
        <f>SUM(W144:X144)</f>
        <v>0</v>
      </c>
      <c r="Z144" s="486">
        <f>V144+Y144</f>
        <v>0</v>
      </c>
      <c r="AA144" s="319">
        <f>ROUND((V144+W144)*33.8%,0)</f>
        <v>0</v>
      </c>
      <c r="AB144" s="178">
        <f>ROUND(V144*2%,0)</f>
        <v>0</v>
      </c>
      <c r="AC144" s="486">
        <v>0</v>
      </c>
      <c r="AD144" s="486">
        <v>0</v>
      </c>
      <c r="AE144" s="486">
        <f t="shared" ref="AE144:AE194" si="225">SUM(AC144:AD144)</f>
        <v>0</v>
      </c>
      <c r="AF144" s="486">
        <f t="shared" ref="AF144:AF194" si="226">Z144+AA144+AB144+AE144</f>
        <v>0</v>
      </c>
      <c r="AG144" s="501">
        <v>0</v>
      </c>
      <c r="AH144" s="501">
        <v>0</v>
      </c>
      <c r="AI144" s="501">
        <v>0</v>
      </c>
      <c r="AJ144" s="501">
        <v>0</v>
      </c>
      <c r="AK144" s="501">
        <v>0</v>
      </c>
      <c r="AL144" s="501">
        <f t="shared" ref="AL144:AL145" si="227">AG144+AI144+AJ144</f>
        <v>0</v>
      </c>
      <c r="AM144" s="501">
        <f t="shared" ref="AM144:AM145" si="228">AH144+AK144</f>
        <v>0</v>
      </c>
      <c r="AN144" s="529">
        <f t="shared" ref="AN144:AN194" si="229">SUM(AL144:AM144)</f>
        <v>0</v>
      </c>
      <c r="AO144" s="530">
        <f>I144+AF144</f>
        <v>4584688</v>
      </c>
      <c r="AP144" s="486">
        <f>J144+V144</f>
        <v>3345131</v>
      </c>
      <c r="AQ144" s="486">
        <f>K144+Y144</f>
        <v>0</v>
      </c>
      <c r="AR144" s="480">
        <f>L144</f>
        <v>0</v>
      </c>
      <c r="AS144" s="486">
        <f>M144+AA144</f>
        <v>1130654</v>
      </c>
      <c r="AT144" s="486">
        <f>N144+AB144</f>
        <v>66903</v>
      </c>
      <c r="AU144" s="486">
        <f>O144+AE144</f>
        <v>42000</v>
      </c>
      <c r="AV144" s="501">
        <f>P144+AN144</f>
        <v>7.9841999999999995</v>
      </c>
      <c r="AW144" s="501">
        <f>Q144+AL144</f>
        <v>6</v>
      </c>
      <c r="AX144" s="502">
        <f>R144+AM144</f>
        <v>1.9842</v>
      </c>
    </row>
    <row r="145" spans="1:50" ht="12.95" customHeight="1" x14ac:dyDescent="0.25">
      <c r="A145" s="305">
        <v>29</v>
      </c>
      <c r="B145" s="551">
        <v>5437</v>
      </c>
      <c r="C145" s="551">
        <v>600098931</v>
      </c>
      <c r="D145" s="83">
        <v>72742135</v>
      </c>
      <c r="E145" s="552" t="s">
        <v>544</v>
      </c>
      <c r="F145" s="551">
        <v>3141</v>
      </c>
      <c r="G145" s="553" t="s">
        <v>321</v>
      </c>
      <c r="H145" s="494" t="s">
        <v>284</v>
      </c>
      <c r="I145" s="495">
        <v>1184634</v>
      </c>
      <c r="J145" s="496">
        <v>867768</v>
      </c>
      <c r="K145" s="496">
        <v>0</v>
      </c>
      <c r="L145" s="496">
        <v>0</v>
      </c>
      <c r="M145" s="411">
        <v>293305</v>
      </c>
      <c r="N145" s="411">
        <v>17355</v>
      </c>
      <c r="O145" s="496">
        <v>6206</v>
      </c>
      <c r="P145" s="497">
        <v>2.95</v>
      </c>
      <c r="Q145" s="412">
        <v>0</v>
      </c>
      <c r="R145" s="498">
        <v>2.95</v>
      </c>
      <c r="S145" s="499">
        <f t="shared" si="224"/>
        <v>0</v>
      </c>
      <c r="T145" s="486">
        <v>0</v>
      </c>
      <c r="U145" s="486">
        <v>0</v>
      </c>
      <c r="V145" s="486">
        <f>SUM(S145:U145)</f>
        <v>0</v>
      </c>
      <c r="W145" s="486">
        <v>0</v>
      </c>
      <c r="X145" s="486">
        <v>0</v>
      </c>
      <c r="Y145" s="486">
        <f>SUM(W145:X145)</f>
        <v>0</v>
      </c>
      <c r="Z145" s="486">
        <f>V145+Y145</f>
        <v>0</v>
      </c>
      <c r="AA145" s="319">
        <f>ROUND((V145+W145)*33.8%,0)</f>
        <v>0</v>
      </c>
      <c r="AB145" s="178">
        <f>ROUND(V145*2%,0)</f>
        <v>0</v>
      </c>
      <c r="AC145" s="486">
        <v>0</v>
      </c>
      <c r="AD145" s="486">
        <v>0</v>
      </c>
      <c r="AE145" s="486">
        <f t="shared" si="225"/>
        <v>0</v>
      </c>
      <c r="AF145" s="486">
        <f t="shared" si="226"/>
        <v>0</v>
      </c>
      <c r="AG145" s="501">
        <v>0</v>
      </c>
      <c r="AH145" s="501">
        <v>0</v>
      </c>
      <c r="AI145" s="501">
        <v>0</v>
      </c>
      <c r="AJ145" s="501">
        <v>0</v>
      </c>
      <c r="AK145" s="501">
        <v>0</v>
      </c>
      <c r="AL145" s="501">
        <f t="shared" si="227"/>
        <v>0</v>
      </c>
      <c r="AM145" s="501">
        <f t="shared" si="228"/>
        <v>0</v>
      </c>
      <c r="AN145" s="529">
        <f t="shared" si="229"/>
        <v>0</v>
      </c>
      <c r="AO145" s="530">
        <f>I145+AF145</f>
        <v>1184634</v>
      </c>
      <c r="AP145" s="486">
        <f>J145+V145</f>
        <v>867768</v>
      </c>
      <c r="AQ145" s="486">
        <f>K145+Y145</f>
        <v>0</v>
      </c>
      <c r="AR145" s="480">
        <f>L145</f>
        <v>0</v>
      </c>
      <c r="AS145" s="486">
        <f>M145+AA145</f>
        <v>293305</v>
      </c>
      <c r="AT145" s="486">
        <f>N145+AB145</f>
        <v>17355</v>
      </c>
      <c r="AU145" s="486">
        <f>O145+AE145</f>
        <v>6206</v>
      </c>
      <c r="AV145" s="501">
        <f>P145+AN145</f>
        <v>2.95</v>
      </c>
      <c r="AW145" s="501">
        <f>Q145+AL145</f>
        <v>0</v>
      </c>
      <c r="AX145" s="502">
        <f>R145+AM145</f>
        <v>2.95</v>
      </c>
    </row>
    <row r="146" spans="1:50" ht="12.95" customHeight="1" x14ac:dyDescent="0.25">
      <c r="A146" s="307">
        <v>29</v>
      </c>
      <c r="B146" s="128">
        <v>5437</v>
      </c>
      <c r="C146" s="128">
        <v>600098931</v>
      </c>
      <c r="D146" s="128">
        <v>72742135</v>
      </c>
      <c r="E146" s="554" t="s">
        <v>545</v>
      </c>
      <c r="F146" s="128"/>
      <c r="G146" s="554"/>
      <c r="H146" s="371"/>
      <c r="I146" s="133">
        <v>5769322</v>
      </c>
      <c r="J146" s="239">
        <v>4212899</v>
      </c>
      <c r="K146" s="239">
        <v>0</v>
      </c>
      <c r="L146" s="239">
        <v>0</v>
      </c>
      <c r="M146" s="239">
        <v>1423959</v>
      </c>
      <c r="N146" s="239">
        <v>84258</v>
      </c>
      <c r="O146" s="239">
        <v>48206</v>
      </c>
      <c r="P146" s="380">
        <v>10.934200000000001</v>
      </c>
      <c r="Q146" s="380">
        <v>6</v>
      </c>
      <c r="R146" s="396">
        <v>4.9342000000000006</v>
      </c>
      <c r="S146" s="239">
        <f t="shared" ref="S146:AN146" si="230">SUM(S144:S145)</f>
        <v>0</v>
      </c>
      <c r="T146" s="169">
        <f t="shared" si="230"/>
        <v>0</v>
      </c>
      <c r="U146" s="169">
        <f t="shared" si="230"/>
        <v>0</v>
      </c>
      <c r="V146" s="169">
        <f t="shared" si="230"/>
        <v>0</v>
      </c>
      <c r="W146" s="169">
        <f t="shared" si="230"/>
        <v>0</v>
      </c>
      <c r="X146" s="169">
        <f t="shared" si="230"/>
        <v>0</v>
      </c>
      <c r="Y146" s="169">
        <f t="shared" si="230"/>
        <v>0</v>
      </c>
      <c r="Z146" s="169">
        <f t="shared" si="230"/>
        <v>0</v>
      </c>
      <c r="AA146" s="169">
        <f t="shared" si="230"/>
        <v>0</v>
      </c>
      <c r="AB146" s="169">
        <f t="shared" si="230"/>
        <v>0</v>
      </c>
      <c r="AC146" s="169">
        <f t="shared" si="230"/>
        <v>0</v>
      </c>
      <c r="AD146" s="169">
        <f t="shared" si="230"/>
        <v>0</v>
      </c>
      <c r="AE146" s="169">
        <f t="shared" si="230"/>
        <v>0</v>
      </c>
      <c r="AF146" s="169">
        <f t="shared" si="230"/>
        <v>0</v>
      </c>
      <c r="AG146" s="316">
        <f t="shared" si="230"/>
        <v>0</v>
      </c>
      <c r="AH146" s="316">
        <f t="shared" si="230"/>
        <v>0</v>
      </c>
      <c r="AI146" s="316">
        <f t="shared" si="230"/>
        <v>0</v>
      </c>
      <c r="AJ146" s="316">
        <f t="shared" si="230"/>
        <v>0</v>
      </c>
      <c r="AK146" s="316">
        <f t="shared" si="230"/>
        <v>0</v>
      </c>
      <c r="AL146" s="316">
        <f t="shared" si="230"/>
        <v>0</v>
      </c>
      <c r="AM146" s="316">
        <f t="shared" si="230"/>
        <v>0</v>
      </c>
      <c r="AN146" s="389">
        <f t="shared" si="230"/>
        <v>0</v>
      </c>
      <c r="AO146" s="133">
        <f t="shared" ref="AO146:AX146" si="231">SUM(AO144:AO145)</f>
        <v>5769322</v>
      </c>
      <c r="AP146" s="169">
        <f t="shared" si="231"/>
        <v>4212899</v>
      </c>
      <c r="AQ146" s="169">
        <f t="shared" si="231"/>
        <v>0</v>
      </c>
      <c r="AR146" s="169">
        <f t="shared" si="231"/>
        <v>0</v>
      </c>
      <c r="AS146" s="169">
        <f t="shared" si="231"/>
        <v>1423959</v>
      </c>
      <c r="AT146" s="169">
        <f t="shared" si="231"/>
        <v>84258</v>
      </c>
      <c r="AU146" s="169">
        <f t="shared" si="231"/>
        <v>48206</v>
      </c>
      <c r="AV146" s="316">
        <f t="shared" si="231"/>
        <v>10.934200000000001</v>
      </c>
      <c r="AW146" s="316">
        <f t="shared" si="231"/>
        <v>6</v>
      </c>
      <c r="AX146" s="317">
        <f t="shared" si="231"/>
        <v>4.9342000000000006</v>
      </c>
    </row>
    <row r="147" spans="1:50" ht="12.95" customHeight="1" x14ac:dyDescent="0.25">
      <c r="A147" s="305">
        <v>30</v>
      </c>
      <c r="B147" s="555">
        <v>5438</v>
      </c>
      <c r="C147" s="555">
        <v>600099032</v>
      </c>
      <c r="D147" s="83">
        <v>72742054</v>
      </c>
      <c r="E147" s="556" t="s">
        <v>546</v>
      </c>
      <c r="F147" s="551">
        <v>3117</v>
      </c>
      <c r="G147" s="552" t="s">
        <v>335</v>
      </c>
      <c r="H147" s="494" t="s">
        <v>283</v>
      </c>
      <c r="I147" s="495">
        <v>4062972</v>
      </c>
      <c r="J147" s="496">
        <v>2860570</v>
      </c>
      <c r="K147" s="496">
        <v>22318</v>
      </c>
      <c r="L147" s="496">
        <v>22318</v>
      </c>
      <c r="M147" s="411">
        <v>966873</v>
      </c>
      <c r="N147" s="411">
        <v>57211</v>
      </c>
      <c r="O147" s="496">
        <v>156000</v>
      </c>
      <c r="P147" s="497">
        <v>5.2523</v>
      </c>
      <c r="Q147" s="412">
        <v>3.5569999999999999</v>
      </c>
      <c r="R147" s="498">
        <v>1.6953</v>
      </c>
      <c r="S147" s="499">
        <f t="shared" ref="S147:S150" si="232">W147*-1</f>
        <v>0</v>
      </c>
      <c r="T147" s="486">
        <v>0</v>
      </c>
      <c r="U147" s="486">
        <v>0</v>
      </c>
      <c r="V147" s="486">
        <f>SUM(S147:U147)</f>
        <v>0</v>
      </c>
      <c r="W147" s="486">
        <v>0</v>
      </c>
      <c r="X147" s="486">
        <v>0</v>
      </c>
      <c r="Y147" s="486">
        <f>SUM(W147:X147)</f>
        <v>0</v>
      </c>
      <c r="Z147" s="486">
        <f>V147+Y147</f>
        <v>0</v>
      </c>
      <c r="AA147" s="319">
        <f>ROUND((V147+W147)*33.8%,0)</f>
        <v>0</v>
      </c>
      <c r="AB147" s="178">
        <f>ROUND(V147*2%,0)</f>
        <v>0</v>
      </c>
      <c r="AC147" s="486">
        <v>0</v>
      </c>
      <c r="AD147" s="486">
        <v>0</v>
      </c>
      <c r="AE147" s="486">
        <f t="shared" si="225"/>
        <v>0</v>
      </c>
      <c r="AF147" s="486">
        <f t="shared" si="226"/>
        <v>0</v>
      </c>
      <c r="AG147" s="501">
        <v>0</v>
      </c>
      <c r="AH147" s="501">
        <v>0</v>
      </c>
      <c r="AI147" s="501">
        <v>0</v>
      </c>
      <c r="AJ147" s="501">
        <v>0</v>
      </c>
      <c r="AK147" s="501">
        <v>0</v>
      </c>
      <c r="AL147" s="501">
        <f t="shared" ref="AL147:AL150" si="233">AG147+AI147+AJ147</f>
        <v>0</v>
      </c>
      <c r="AM147" s="501">
        <f t="shared" ref="AM147:AM150" si="234">AH147+AK147</f>
        <v>0</v>
      </c>
      <c r="AN147" s="529">
        <f t="shared" si="229"/>
        <v>0</v>
      </c>
      <c r="AO147" s="530">
        <f>I147+AF147</f>
        <v>4062972</v>
      </c>
      <c r="AP147" s="486">
        <f>J147+V147</f>
        <v>2860570</v>
      </c>
      <c r="AQ147" s="486">
        <f>K147+Y147</f>
        <v>22318</v>
      </c>
      <c r="AR147" s="480">
        <f>L147</f>
        <v>22318</v>
      </c>
      <c r="AS147" s="486">
        <f t="shared" ref="AS147:AT150" si="235">M147+AA147</f>
        <v>966873</v>
      </c>
      <c r="AT147" s="486">
        <f t="shared" si="235"/>
        <v>57211</v>
      </c>
      <c r="AU147" s="486">
        <f>O147+AE147</f>
        <v>156000</v>
      </c>
      <c r="AV147" s="501">
        <f>P147+AN147</f>
        <v>5.2523</v>
      </c>
      <c r="AW147" s="501">
        <f t="shared" ref="AW147:AX150" si="236">Q147+AL147</f>
        <v>3.5569999999999999</v>
      </c>
      <c r="AX147" s="502">
        <f t="shared" si="236"/>
        <v>1.6953</v>
      </c>
    </row>
    <row r="148" spans="1:50" ht="12.95" customHeight="1" x14ac:dyDescent="0.25">
      <c r="A148" s="305">
        <v>30</v>
      </c>
      <c r="B148" s="551">
        <v>5438</v>
      </c>
      <c r="C148" s="551">
        <v>600099032</v>
      </c>
      <c r="D148" s="83">
        <v>72742054</v>
      </c>
      <c r="E148" s="550" t="s">
        <v>546</v>
      </c>
      <c r="F148" s="551">
        <v>3117</v>
      </c>
      <c r="G148" s="528" t="s">
        <v>318</v>
      </c>
      <c r="H148" s="494" t="s">
        <v>284</v>
      </c>
      <c r="I148" s="495">
        <v>115294</v>
      </c>
      <c r="J148" s="496">
        <v>84900</v>
      </c>
      <c r="K148" s="496">
        <v>0</v>
      </c>
      <c r="L148" s="496">
        <v>0</v>
      </c>
      <c r="M148" s="411">
        <v>28696</v>
      </c>
      <c r="N148" s="411">
        <v>1698</v>
      </c>
      <c r="O148" s="496">
        <v>0</v>
      </c>
      <c r="P148" s="497">
        <v>0.25</v>
      </c>
      <c r="Q148" s="412">
        <v>0.25</v>
      </c>
      <c r="R148" s="498">
        <v>0</v>
      </c>
      <c r="S148" s="499">
        <f t="shared" si="232"/>
        <v>0</v>
      </c>
      <c r="T148" s="486">
        <v>0</v>
      </c>
      <c r="U148" s="486">
        <v>0</v>
      </c>
      <c r="V148" s="486">
        <f>SUM(S148:U148)</f>
        <v>0</v>
      </c>
      <c r="W148" s="486">
        <v>0</v>
      </c>
      <c r="X148" s="486">
        <v>0</v>
      </c>
      <c r="Y148" s="486">
        <f>SUM(W148:X148)</f>
        <v>0</v>
      </c>
      <c r="Z148" s="486">
        <f>V148+Y148</f>
        <v>0</v>
      </c>
      <c r="AA148" s="319">
        <f>ROUND((V148+W148)*33.8%,0)</f>
        <v>0</v>
      </c>
      <c r="AB148" s="178">
        <f>ROUND(V148*2%,0)</f>
        <v>0</v>
      </c>
      <c r="AC148" s="486">
        <v>0</v>
      </c>
      <c r="AD148" s="486">
        <v>0</v>
      </c>
      <c r="AE148" s="486">
        <f t="shared" si="225"/>
        <v>0</v>
      </c>
      <c r="AF148" s="486">
        <f t="shared" si="226"/>
        <v>0</v>
      </c>
      <c r="AG148" s="501">
        <v>0</v>
      </c>
      <c r="AH148" s="501">
        <v>0</v>
      </c>
      <c r="AI148" s="501">
        <v>0</v>
      </c>
      <c r="AJ148" s="501">
        <v>0</v>
      </c>
      <c r="AK148" s="501">
        <v>0</v>
      </c>
      <c r="AL148" s="501">
        <f t="shared" si="233"/>
        <v>0</v>
      </c>
      <c r="AM148" s="501">
        <f t="shared" si="234"/>
        <v>0</v>
      </c>
      <c r="AN148" s="529">
        <f t="shared" si="229"/>
        <v>0</v>
      </c>
      <c r="AO148" s="530">
        <f>I148+AF148</f>
        <v>115294</v>
      </c>
      <c r="AP148" s="486">
        <f>J148+V148</f>
        <v>84900</v>
      </c>
      <c r="AQ148" s="486">
        <f>K148+Y148</f>
        <v>0</v>
      </c>
      <c r="AR148" s="480">
        <f>L148</f>
        <v>0</v>
      </c>
      <c r="AS148" s="486">
        <f t="shared" si="235"/>
        <v>28696</v>
      </c>
      <c r="AT148" s="486">
        <f t="shared" si="235"/>
        <v>1698</v>
      </c>
      <c r="AU148" s="486">
        <f>O148+AE148</f>
        <v>0</v>
      </c>
      <c r="AV148" s="501">
        <f>P148+AN148</f>
        <v>0.25</v>
      </c>
      <c r="AW148" s="501">
        <f t="shared" si="236"/>
        <v>0.25</v>
      </c>
      <c r="AX148" s="502">
        <f t="shared" si="236"/>
        <v>0</v>
      </c>
    </row>
    <row r="149" spans="1:50" ht="12.95" customHeight="1" x14ac:dyDescent="0.25">
      <c r="A149" s="305">
        <v>30</v>
      </c>
      <c r="B149" s="551">
        <v>5438</v>
      </c>
      <c r="C149" s="551">
        <v>600099032</v>
      </c>
      <c r="D149" s="83">
        <v>72742054</v>
      </c>
      <c r="E149" s="550" t="s">
        <v>546</v>
      </c>
      <c r="F149" s="561">
        <v>3143</v>
      </c>
      <c r="G149" s="528" t="s">
        <v>634</v>
      </c>
      <c r="H149" s="494" t="s">
        <v>283</v>
      </c>
      <c r="I149" s="495">
        <v>614970</v>
      </c>
      <c r="J149" s="496">
        <v>452850</v>
      </c>
      <c r="K149" s="496">
        <v>0</v>
      </c>
      <c r="L149" s="496">
        <v>0</v>
      </c>
      <c r="M149" s="411">
        <v>153063</v>
      </c>
      <c r="N149" s="411">
        <v>9057</v>
      </c>
      <c r="O149" s="496">
        <v>0</v>
      </c>
      <c r="P149" s="497">
        <v>1.1072</v>
      </c>
      <c r="Q149" s="412">
        <v>1.1072</v>
      </c>
      <c r="R149" s="498">
        <v>0</v>
      </c>
      <c r="S149" s="499">
        <f t="shared" si="232"/>
        <v>0</v>
      </c>
      <c r="T149" s="486">
        <v>0</v>
      </c>
      <c r="U149" s="486">
        <v>0</v>
      </c>
      <c r="V149" s="486">
        <f>SUM(S149:U149)</f>
        <v>0</v>
      </c>
      <c r="W149" s="486">
        <v>0</v>
      </c>
      <c r="X149" s="486">
        <v>0</v>
      </c>
      <c r="Y149" s="486">
        <f>SUM(W149:X149)</f>
        <v>0</v>
      </c>
      <c r="Z149" s="486">
        <f>V149+Y149</f>
        <v>0</v>
      </c>
      <c r="AA149" s="319">
        <f>ROUND((V149+W149)*33.8%,0)</f>
        <v>0</v>
      </c>
      <c r="AB149" s="178">
        <f>ROUND(V149*2%,0)</f>
        <v>0</v>
      </c>
      <c r="AC149" s="486">
        <v>0</v>
      </c>
      <c r="AD149" s="486">
        <v>0</v>
      </c>
      <c r="AE149" s="486">
        <f t="shared" si="225"/>
        <v>0</v>
      </c>
      <c r="AF149" s="486">
        <f t="shared" si="226"/>
        <v>0</v>
      </c>
      <c r="AG149" s="501">
        <v>0</v>
      </c>
      <c r="AH149" s="501">
        <v>0</v>
      </c>
      <c r="AI149" s="501">
        <v>0</v>
      </c>
      <c r="AJ149" s="501">
        <v>0</v>
      </c>
      <c r="AK149" s="501">
        <v>0</v>
      </c>
      <c r="AL149" s="501">
        <f t="shared" si="233"/>
        <v>0</v>
      </c>
      <c r="AM149" s="501">
        <f t="shared" si="234"/>
        <v>0</v>
      </c>
      <c r="AN149" s="529">
        <f t="shared" si="229"/>
        <v>0</v>
      </c>
      <c r="AO149" s="530">
        <f>I149+AF149</f>
        <v>614970</v>
      </c>
      <c r="AP149" s="486">
        <f>J149+V149</f>
        <v>452850</v>
      </c>
      <c r="AQ149" s="486">
        <f>K149+Y149</f>
        <v>0</v>
      </c>
      <c r="AR149" s="480">
        <f>L149</f>
        <v>0</v>
      </c>
      <c r="AS149" s="486">
        <f t="shared" si="235"/>
        <v>153063</v>
      </c>
      <c r="AT149" s="486">
        <f t="shared" si="235"/>
        <v>9057</v>
      </c>
      <c r="AU149" s="486">
        <f>O149+AE149</f>
        <v>0</v>
      </c>
      <c r="AV149" s="501">
        <f>P149+AN149</f>
        <v>1.1072</v>
      </c>
      <c r="AW149" s="501">
        <f t="shared" si="236"/>
        <v>1.1072</v>
      </c>
      <c r="AX149" s="502">
        <f t="shared" si="236"/>
        <v>0</v>
      </c>
    </row>
    <row r="150" spans="1:50" ht="12.95" customHeight="1" x14ac:dyDescent="0.25">
      <c r="A150" s="305">
        <v>30</v>
      </c>
      <c r="B150" s="551">
        <v>5438</v>
      </c>
      <c r="C150" s="551">
        <v>600099032</v>
      </c>
      <c r="D150" s="83">
        <v>72742054</v>
      </c>
      <c r="E150" s="550" t="s">
        <v>546</v>
      </c>
      <c r="F150" s="561">
        <v>3143</v>
      </c>
      <c r="G150" s="528" t="s">
        <v>635</v>
      </c>
      <c r="H150" s="494" t="s">
        <v>284</v>
      </c>
      <c r="I150" s="495">
        <v>18959</v>
      </c>
      <c r="J150" s="496">
        <v>13365</v>
      </c>
      <c r="K150" s="496">
        <v>0</v>
      </c>
      <c r="L150" s="496">
        <v>0</v>
      </c>
      <c r="M150" s="411">
        <v>4517</v>
      </c>
      <c r="N150" s="411">
        <v>267</v>
      </c>
      <c r="O150" s="496">
        <v>810</v>
      </c>
      <c r="P150" s="497">
        <v>0.06</v>
      </c>
      <c r="Q150" s="412">
        <v>0</v>
      </c>
      <c r="R150" s="498">
        <v>0.06</v>
      </c>
      <c r="S150" s="499">
        <f t="shared" si="232"/>
        <v>0</v>
      </c>
      <c r="T150" s="486">
        <v>0</v>
      </c>
      <c r="U150" s="486">
        <v>0</v>
      </c>
      <c r="V150" s="486">
        <f>SUM(S150:U150)</f>
        <v>0</v>
      </c>
      <c r="W150" s="486">
        <v>0</v>
      </c>
      <c r="X150" s="486">
        <v>0</v>
      </c>
      <c r="Y150" s="486">
        <f>SUM(W150:X150)</f>
        <v>0</v>
      </c>
      <c r="Z150" s="486">
        <f>V150+Y150</f>
        <v>0</v>
      </c>
      <c r="AA150" s="319">
        <f>ROUND((V150+W150)*33.8%,0)</f>
        <v>0</v>
      </c>
      <c r="AB150" s="178">
        <f>ROUND(V150*2%,0)</f>
        <v>0</v>
      </c>
      <c r="AC150" s="486">
        <v>0</v>
      </c>
      <c r="AD150" s="486">
        <v>0</v>
      </c>
      <c r="AE150" s="486">
        <f t="shared" si="225"/>
        <v>0</v>
      </c>
      <c r="AF150" s="486">
        <f t="shared" si="226"/>
        <v>0</v>
      </c>
      <c r="AG150" s="501">
        <v>0</v>
      </c>
      <c r="AH150" s="501">
        <v>0</v>
      </c>
      <c r="AI150" s="501">
        <v>0</v>
      </c>
      <c r="AJ150" s="501">
        <v>0</v>
      </c>
      <c r="AK150" s="501">
        <v>0</v>
      </c>
      <c r="AL150" s="501">
        <f t="shared" si="233"/>
        <v>0</v>
      </c>
      <c r="AM150" s="501">
        <f t="shared" si="234"/>
        <v>0</v>
      </c>
      <c r="AN150" s="529">
        <f t="shared" si="229"/>
        <v>0</v>
      </c>
      <c r="AO150" s="530">
        <f>I150+AF150</f>
        <v>18959</v>
      </c>
      <c r="AP150" s="486">
        <f>J150+V150</f>
        <v>13365</v>
      </c>
      <c r="AQ150" s="486">
        <f>K150+Y150</f>
        <v>0</v>
      </c>
      <c r="AR150" s="480">
        <f>L150</f>
        <v>0</v>
      </c>
      <c r="AS150" s="486">
        <f t="shared" si="235"/>
        <v>4517</v>
      </c>
      <c r="AT150" s="486">
        <f t="shared" si="235"/>
        <v>267</v>
      </c>
      <c r="AU150" s="486">
        <f>O150+AE150</f>
        <v>810</v>
      </c>
      <c r="AV150" s="501">
        <f>P150+AN150</f>
        <v>0.06</v>
      </c>
      <c r="AW150" s="501">
        <f t="shared" si="236"/>
        <v>0</v>
      </c>
      <c r="AX150" s="502">
        <f t="shared" si="236"/>
        <v>0.06</v>
      </c>
    </row>
    <row r="151" spans="1:50" ht="12.95" customHeight="1" x14ac:dyDescent="0.25">
      <c r="A151" s="307">
        <v>30</v>
      </c>
      <c r="B151" s="128">
        <v>5438</v>
      </c>
      <c r="C151" s="128">
        <v>600099032</v>
      </c>
      <c r="D151" s="128">
        <v>72742054</v>
      </c>
      <c r="E151" s="562" t="s">
        <v>547</v>
      </c>
      <c r="F151" s="132"/>
      <c r="G151" s="562"/>
      <c r="H151" s="373"/>
      <c r="I151" s="133">
        <v>4812195</v>
      </c>
      <c r="J151" s="239">
        <v>3411685</v>
      </c>
      <c r="K151" s="239">
        <v>22318</v>
      </c>
      <c r="L151" s="239">
        <v>22318</v>
      </c>
      <c r="M151" s="239">
        <v>1153149</v>
      </c>
      <c r="N151" s="239">
        <v>68233</v>
      </c>
      <c r="O151" s="239">
        <v>156810</v>
      </c>
      <c r="P151" s="380">
        <v>6.6694999999999993</v>
      </c>
      <c r="Q151" s="380">
        <v>4.9142000000000001</v>
      </c>
      <c r="R151" s="396">
        <v>1.7553000000000001</v>
      </c>
      <c r="S151" s="239">
        <f t="shared" ref="S151:AN151" si="237">SUM(S147:S150)</f>
        <v>0</v>
      </c>
      <c r="T151" s="169">
        <f t="shared" si="237"/>
        <v>0</v>
      </c>
      <c r="U151" s="169">
        <f t="shared" si="237"/>
        <v>0</v>
      </c>
      <c r="V151" s="169">
        <f t="shared" si="237"/>
        <v>0</v>
      </c>
      <c r="W151" s="169">
        <f t="shared" si="237"/>
        <v>0</v>
      </c>
      <c r="X151" s="169">
        <f t="shared" si="237"/>
        <v>0</v>
      </c>
      <c r="Y151" s="169">
        <f t="shared" si="237"/>
        <v>0</v>
      </c>
      <c r="Z151" s="169">
        <f t="shared" si="237"/>
        <v>0</v>
      </c>
      <c r="AA151" s="169">
        <f t="shared" si="237"/>
        <v>0</v>
      </c>
      <c r="AB151" s="169">
        <f t="shared" si="237"/>
        <v>0</v>
      </c>
      <c r="AC151" s="169">
        <f t="shared" si="237"/>
        <v>0</v>
      </c>
      <c r="AD151" s="169">
        <f t="shared" si="237"/>
        <v>0</v>
      </c>
      <c r="AE151" s="169">
        <f t="shared" si="237"/>
        <v>0</v>
      </c>
      <c r="AF151" s="169">
        <f t="shared" si="237"/>
        <v>0</v>
      </c>
      <c r="AG151" s="316">
        <f t="shared" si="237"/>
        <v>0</v>
      </c>
      <c r="AH151" s="316">
        <f t="shared" si="237"/>
        <v>0</v>
      </c>
      <c r="AI151" s="316">
        <f t="shared" si="237"/>
        <v>0</v>
      </c>
      <c r="AJ151" s="316">
        <f t="shared" si="237"/>
        <v>0</v>
      </c>
      <c r="AK151" s="316">
        <f t="shared" si="237"/>
        <v>0</v>
      </c>
      <c r="AL151" s="316">
        <f t="shared" si="237"/>
        <v>0</v>
      </c>
      <c r="AM151" s="316">
        <f t="shared" si="237"/>
        <v>0</v>
      </c>
      <c r="AN151" s="389">
        <f t="shared" si="237"/>
        <v>0</v>
      </c>
      <c r="AO151" s="133">
        <f t="shared" ref="AO151:AX151" si="238">SUM(AO147:AO150)</f>
        <v>4812195</v>
      </c>
      <c r="AP151" s="169">
        <f t="shared" si="238"/>
        <v>3411685</v>
      </c>
      <c r="AQ151" s="169">
        <f t="shared" si="238"/>
        <v>22318</v>
      </c>
      <c r="AR151" s="169">
        <f t="shared" si="238"/>
        <v>22318</v>
      </c>
      <c r="AS151" s="169">
        <f t="shared" si="238"/>
        <v>1153149</v>
      </c>
      <c r="AT151" s="169">
        <f t="shared" si="238"/>
        <v>68233</v>
      </c>
      <c r="AU151" s="169">
        <f t="shared" si="238"/>
        <v>156810</v>
      </c>
      <c r="AV151" s="316">
        <f t="shared" si="238"/>
        <v>6.6694999999999993</v>
      </c>
      <c r="AW151" s="316">
        <f t="shared" si="238"/>
        <v>4.9142000000000001</v>
      </c>
      <c r="AX151" s="317">
        <f t="shared" si="238"/>
        <v>1.7553000000000001</v>
      </c>
    </row>
    <row r="152" spans="1:50" ht="12.95" customHeight="1" x14ac:dyDescent="0.25">
      <c r="A152" s="305">
        <v>31</v>
      </c>
      <c r="B152" s="551">
        <v>2441</v>
      </c>
      <c r="C152" s="551">
        <v>600079406</v>
      </c>
      <c r="D152" s="83">
        <v>70695920</v>
      </c>
      <c r="E152" s="552" t="s">
        <v>548</v>
      </c>
      <c r="F152" s="551">
        <v>3111</v>
      </c>
      <c r="G152" s="553" t="s">
        <v>331</v>
      </c>
      <c r="H152" s="494" t="s">
        <v>283</v>
      </c>
      <c r="I152" s="495">
        <v>3330258</v>
      </c>
      <c r="J152" s="496">
        <v>2427583</v>
      </c>
      <c r="K152" s="496">
        <v>0</v>
      </c>
      <c r="L152" s="496">
        <v>0</v>
      </c>
      <c r="M152" s="411">
        <v>820523</v>
      </c>
      <c r="N152" s="411">
        <v>48552</v>
      </c>
      <c r="O152" s="496">
        <v>33600</v>
      </c>
      <c r="P152" s="497">
        <v>5.4897999999999998</v>
      </c>
      <c r="Q152" s="412">
        <v>4</v>
      </c>
      <c r="R152" s="498">
        <v>1.4898</v>
      </c>
      <c r="S152" s="499">
        <f t="shared" ref="S152:S153" si="239">W152*-1</f>
        <v>0</v>
      </c>
      <c r="T152" s="486">
        <v>0</v>
      </c>
      <c r="U152" s="486">
        <v>0</v>
      </c>
      <c r="V152" s="486">
        <f>SUM(S152:U152)</f>
        <v>0</v>
      </c>
      <c r="W152" s="486">
        <v>0</v>
      </c>
      <c r="X152" s="486">
        <v>0</v>
      </c>
      <c r="Y152" s="486">
        <f>SUM(W152:X152)</f>
        <v>0</v>
      </c>
      <c r="Z152" s="486">
        <f>V152+Y152</f>
        <v>0</v>
      </c>
      <c r="AA152" s="319">
        <f>ROUND((V152+W152)*33.8%,0)</f>
        <v>0</v>
      </c>
      <c r="AB152" s="178">
        <f>ROUND(V152*2%,0)</f>
        <v>0</v>
      </c>
      <c r="AC152" s="486">
        <v>0</v>
      </c>
      <c r="AD152" s="486">
        <v>0</v>
      </c>
      <c r="AE152" s="486">
        <f t="shared" si="225"/>
        <v>0</v>
      </c>
      <c r="AF152" s="486">
        <f t="shared" si="226"/>
        <v>0</v>
      </c>
      <c r="AG152" s="501">
        <v>0</v>
      </c>
      <c r="AH152" s="501">
        <v>0</v>
      </c>
      <c r="AI152" s="501">
        <v>0</v>
      </c>
      <c r="AJ152" s="501">
        <v>0</v>
      </c>
      <c r="AK152" s="501">
        <v>0</v>
      </c>
      <c r="AL152" s="501">
        <f t="shared" ref="AL152:AL153" si="240">AG152+AI152+AJ152</f>
        <v>0</v>
      </c>
      <c r="AM152" s="501">
        <f t="shared" ref="AM152:AM153" si="241">AH152+AK152</f>
        <v>0</v>
      </c>
      <c r="AN152" s="529">
        <f t="shared" si="229"/>
        <v>0</v>
      </c>
      <c r="AO152" s="530">
        <f>I152+AF152</f>
        <v>3330258</v>
      </c>
      <c r="AP152" s="486">
        <f>J152+V152</f>
        <v>2427583</v>
      </c>
      <c r="AQ152" s="486">
        <f>K152+Y152</f>
        <v>0</v>
      </c>
      <c r="AR152" s="480">
        <f>L152</f>
        <v>0</v>
      </c>
      <c r="AS152" s="486">
        <f>M152+AA152</f>
        <v>820523</v>
      </c>
      <c r="AT152" s="486">
        <f>N152+AB152</f>
        <v>48552</v>
      </c>
      <c r="AU152" s="486">
        <f>O152+AE152</f>
        <v>33600</v>
      </c>
      <c r="AV152" s="501">
        <f>P152+AN152</f>
        <v>5.4897999999999998</v>
      </c>
      <c r="AW152" s="501">
        <f>Q152+AL152</f>
        <v>4</v>
      </c>
      <c r="AX152" s="502">
        <f>R152+AM152</f>
        <v>1.4898</v>
      </c>
    </row>
    <row r="153" spans="1:50" ht="12.95" customHeight="1" x14ac:dyDescent="0.25">
      <c r="A153" s="305">
        <v>31</v>
      </c>
      <c r="B153" s="555">
        <v>2441</v>
      </c>
      <c r="C153" s="555">
        <v>600079406</v>
      </c>
      <c r="D153" s="83">
        <v>70695920</v>
      </c>
      <c r="E153" s="556" t="s">
        <v>548</v>
      </c>
      <c r="F153" s="551">
        <v>3141</v>
      </c>
      <c r="G153" s="553" t="s">
        <v>321</v>
      </c>
      <c r="H153" s="494" t="s">
        <v>284</v>
      </c>
      <c r="I153" s="495">
        <v>616480</v>
      </c>
      <c r="J153" s="496">
        <v>451911</v>
      </c>
      <c r="K153" s="496">
        <v>0</v>
      </c>
      <c r="L153" s="496">
        <v>0</v>
      </c>
      <c r="M153" s="411">
        <v>152746</v>
      </c>
      <c r="N153" s="411">
        <v>9039</v>
      </c>
      <c r="O153" s="496">
        <v>2784</v>
      </c>
      <c r="P153" s="497">
        <v>1.54</v>
      </c>
      <c r="Q153" s="412">
        <v>0</v>
      </c>
      <c r="R153" s="498">
        <v>1.54</v>
      </c>
      <c r="S153" s="499">
        <f t="shared" si="239"/>
        <v>0</v>
      </c>
      <c r="T153" s="486">
        <v>0</v>
      </c>
      <c r="U153" s="486">
        <v>0</v>
      </c>
      <c r="V153" s="486">
        <f>SUM(S153:U153)</f>
        <v>0</v>
      </c>
      <c r="W153" s="486">
        <v>0</v>
      </c>
      <c r="X153" s="486">
        <v>0</v>
      </c>
      <c r="Y153" s="486">
        <f>SUM(W153:X153)</f>
        <v>0</v>
      </c>
      <c r="Z153" s="486">
        <f>V153+Y153</f>
        <v>0</v>
      </c>
      <c r="AA153" s="319">
        <f>ROUND((V153+W153)*33.8%,0)</f>
        <v>0</v>
      </c>
      <c r="AB153" s="178">
        <f>ROUND(V153*2%,0)</f>
        <v>0</v>
      </c>
      <c r="AC153" s="486">
        <v>0</v>
      </c>
      <c r="AD153" s="486">
        <v>0</v>
      </c>
      <c r="AE153" s="486">
        <f t="shared" si="225"/>
        <v>0</v>
      </c>
      <c r="AF153" s="486">
        <f t="shared" si="226"/>
        <v>0</v>
      </c>
      <c r="AG153" s="501">
        <v>0</v>
      </c>
      <c r="AH153" s="501">
        <v>0</v>
      </c>
      <c r="AI153" s="501">
        <v>0</v>
      </c>
      <c r="AJ153" s="501">
        <v>0</v>
      </c>
      <c r="AK153" s="501">
        <v>0</v>
      </c>
      <c r="AL153" s="501">
        <f t="shared" si="240"/>
        <v>0</v>
      </c>
      <c r="AM153" s="501">
        <f t="shared" si="241"/>
        <v>0</v>
      </c>
      <c r="AN153" s="529">
        <f t="shared" si="229"/>
        <v>0</v>
      </c>
      <c r="AO153" s="530">
        <f>I153+AF153</f>
        <v>616480</v>
      </c>
      <c r="AP153" s="486">
        <f>J153+V153</f>
        <v>451911</v>
      </c>
      <c r="AQ153" s="486">
        <f>K153+Y153</f>
        <v>0</v>
      </c>
      <c r="AR153" s="480">
        <f>L153</f>
        <v>0</v>
      </c>
      <c r="AS153" s="486">
        <f>M153+AA153</f>
        <v>152746</v>
      </c>
      <c r="AT153" s="486">
        <f>N153+AB153</f>
        <v>9039</v>
      </c>
      <c r="AU153" s="486">
        <f>O153+AE153</f>
        <v>2784</v>
      </c>
      <c r="AV153" s="501">
        <f>P153+AN153</f>
        <v>1.54</v>
      </c>
      <c r="AW153" s="501">
        <f>Q153+AL153</f>
        <v>0</v>
      </c>
      <c r="AX153" s="502">
        <f>R153+AM153</f>
        <v>1.54</v>
      </c>
    </row>
    <row r="154" spans="1:50" ht="12.95" customHeight="1" x14ac:dyDescent="0.25">
      <c r="A154" s="307">
        <v>31</v>
      </c>
      <c r="B154" s="131">
        <v>2441</v>
      </c>
      <c r="C154" s="131">
        <v>600079406</v>
      </c>
      <c r="D154" s="131">
        <v>70695920</v>
      </c>
      <c r="E154" s="554" t="s">
        <v>549</v>
      </c>
      <c r="F154" s="135"/>
      <c r="G154" s="564"/>
      <c r="H154" s="375"/>
      <c r="I154" s="133">
        <v>3946738</v>
      </c>
      <c r="J154" s="239">
        <v>2879494</v>
      </c>
      <c r="K154" s="239">
        <v>0</v>
      </c>
      <c r="L154" s="239">
        <v>0</v>
      </c>
      <c r="M154" s="239">
        <v>973269</v>
      </c>
      <c r="N154" s="239">
        <v>57591</v>
      </c>
      <c r="O154" s="239">
        <v>36384</v>
      </c>
      <c r="P154" s="380">
        <v>7.0297999999999998</v>
      </c>
      <c r="Q154" s="380">
        <v>4</v>
      </c>
      <c r="R154" s="396">
        <v>3.0297999999999998</v>
      </c>
      <c r="S154" s="239">
        <f t="shared" ref="S154:AN154" si="242">SUM(S152:S153)</f>
        <v>0</v>
      </c>
      <c r="T154" s="169">
        <f t="shared" si="242"/>
        <v>0</v>
      </c>
      <c r="U154" s="169">
        <f t="shared" si="242"/>
        <v>0</v>
      </c>
      <c r="V154" s="169">
        <f t="shared" si="242"/>
        <v>0</v>
      </c>
      <c r="W154" s="169">
        <f t="shared" si="242"/>
        <v>0</v>
      </c>
      <c r="X154" s="169">
        <f t="shared" si="242"/>
        <v>0</v>
      </c>
      <c r="Y154" s="169">
        <f t="shared" si="242"/>
        <v>0</v>
      </c>
      <c r="Z154" s="169">
        <f t="shared" si="242"/>
        <v>0</v>
      </c>
      <c r="AA154" s="169">
        <f t="shared" si="242"/>
        <v>0</v>
      </c>
      <c r="AB154" s="169">
        <f t="shared" si="242"/>
        <v>0</v>
      </c>
      <c r="AC154" s="169">
        <f t="shared" si="242"/>
        <v>0</v>
      </c>
      <c r="AD154" s="169">
        <f t="shared" si="242"/>
        <v>0</v>
      </c>
      <c r="AE154" s="169">
        <f t="shared" si="242"/>
        <v>0</v>
      </c>
      <c r="AF154" s="169">
        <f t="shared" si="242"/>
        <v>0</v>
      </c>
      <c r="AG154" s="316">
        <f t="shared" si="242"/>
        <v>0</v>
      </c>
      <c r="AH154" s="316">
        <f t="shared" si="242"/>
        <v>0</v>
      </c>
      <c r="AI154" s="316">
        <f t="shared" si="242"/>
        <v>0</v>
      </c>
      <c r="AJ154" s="316">
        <f t="shared" si="242"/>
        <v>0</v>
      </c>
      <c r="AK154" s="316">
        <f t="shared" si="242"/>
        <v>0</v>
      </c>
      <c r="AL154" s="316">
        <f t="shared" si="242"/>
        <v>0</v>
      </c>
      <c r="AM154" s="316">
        <f t="shared" si="242"/>
        <v>0</v>
      </c>
      <c r="AN154" s="389">
        <f t="shared" si="242"/>
        <v>0</v>
      </c>
      <c r="AO154" s="133">
        <f t="shared" ref="AO154:AX154" si="243">SUM(AO152:AO153)</f>
        <v>3946738</v>
      </c>
      <c r="AP154" s="169">
        <f t="shared" si="243"/>
        <v>2879494</v>
      </c>
      <c r="AQ154" s="169">
        <f t="shared" si="243"/>
        <v>0</v>
      </c>
      <c r="AR154" s="169">
        <f t="shared" si="243"/>
        <v>0</v>
      </c>
      <c r="AS154" s="169">
        <f t="shared" si="243"/>
        <v>973269</v>
      </c>
      <c r="AT154" s="169">
        <f t="shared" si="243"/>
        <v>57591</v>
      </c>
      <c r="AU154" s="169">
        <f t="shared" si="243"/>
        <v>36384</v>
      </c>
      <c r="AV154" s="316">
        <f t="shared" si="243"/>
        <v>7.0297999999999998</v>
      </c>
      <c r="AW154" s="316">
        <f t="shared" si="243"/>
        <v>4</v>
      </c>
      <c r="AX154" s="317">
        <f t="shared" si="243"/>
        <v>3.0297999999999998</v>
      </c>
    </row>
    <row r="155" spans="1:50" ht="12.95" customHeight="1" x14ac:dyDescent="0.25">
      <c r="A155" s="305">
        <v>32</v>
      </c>
      <c r="B155" s="551">
        <v>2496</v>
      </c>
      <c r="C155" s="551">
        <v>600080251</v>
      </c>
      <c r="D155" s="83">
        <v>70695938</v>
      </c>
      <c r="E155" s="552" t="s">
        <v>550</v>
      </c>
      <c r="F155" s="551">
        <v>3117</v>
      </c>
      <c r="G155" s="552" t="s">
        <v>335</v>
      </c>
      <c r="H155" s="494" t="s">
        <v>283</v>
      </c>
      <c r="I155" s="495">
        <v>5634832</v>
      </c>
      <c r="J155" s="496">
        <v>3996075</v>
      </c>
      <c r="K155" s="496">
        <v>14472</v>
      </c>
      <c r="L155" s="496">
        <v>9472</v>
      </c>
      <c r="M155" s="411">
        <v>1352363</v>
      </c>
      <c r="N155" s="411">
        <v>79922</v>
      </c>
      <c r="O155" s="496">
        <v>192000</v>
      </c>
      <c r="P155" s="497">
        <v>8.1888000000000005</v>
      </c>
      <c r="Q155" s="412">
        <v>5.91</v>
      </c>
      <c r="R155" s="498">
        <v>2.2787999999999999</v>
      </c>
      <c r="S155" s="499">
        <f t="shared" ref="S155:S159" si="244">W155*-1</f>
        <v>0</v>
      </c>
      <c r="T155" s="486">
        <v>0</v>
      </c>
      <c r="U155" s="486">
        <v>0</v>
      </c>
      <c r="V155" s="486">
        <f>SUM(S155:U155)</f>
        <v>0</v>
      </c>
      <c r="W155" s="486">
        <v>0</v>
      </c>
      <c r="X155" s="486">
        <v>0</v>
      </c>
      <c r="Y155" s="486">
        <f>SUM(W155:X155)</f>
        <v>0</v>
      </c>
      <c r="Z155" s="486">
        <f>V155+Y155</f>
        <v>0</v>
      </c>
      <c r="AA155" s="319">
        <f>ROUND((V155+W155)*33.8%,0)</f>
        <v>0</v>
      </c>
      <c r="AB155" s="178">
        <f>ROUND(V155*2%,0)</f>
        <v>0</v>
      </c>
      <c r="AC155" s="486">
        <v>0</v>
      </c>
      <c r="AD155" s="486">
        <v>0</v>
      </c>
      <c r="AE155" s="486">
        <f t="shared" si="225"/>
        <v>0</v>
      </c>
      <c r="AF155" s="486">
        <f t="shared" si="226"/>
        <v>0</v>
      </c>
      <c r="AG155" s="501">
        <v>0</v>
      </c>
      <c r="AH155" s="501">
        <v>0</v>
      </c>
      <c r="AI155" s="501">
        <v>0</v>
      </c>
      <c r="AJ155" s="501">
        <v>0</v>
      </c>
      <c r="AK155" s="501">
        <v>0</v>
      </c>
      <c r="AL155" s="501">
        <f t="shared" ref="AL155:AL159" si="245">AG155+AI155+AJ155</f>
        <v>0</v>
      </c>
      <c r="AM155" s="501">
        <f t="shared" ref="AM155:AM159" si="246">AH155+AK155</f>
        <v>0</v>
      </c>
      <c r="AN155" s="529">
        <f t="shared" si="229"/>
        <v>0</v>
      </c>
      <c r="AO155" s="530">
        <f>I155+AF155</f>
        <v>5634832</v>
      </c>
      <c r="AP155" s="486">
        <f>J155+V155</f>
        <v>3996075</v>
      </c>
      <c r="AQ155" s="486">
        <f>K155+Y155</f>
        <v>14472</v>
      </c>
      <c r="AR155" s="480">
        <f>L155</f>
        <v>9472</v>
      </c>
      <c r="AS155" s="486">
        <f t="shared" ref="AS155:AT159" si="247">M155+AA155</f>
        <v>1352363</v>
      </c>
      <c r="AT155" s="486">
        <f t="shared" si="247"/>
        <v>79922</v>
      </c>
      <c r="AU155" s="486">
        <f>O155+AE155</f>
        <v>192000</v>
      </c>
      <c r="AV155" s="501">
        <f>P155+AN155</f>
        <v>8.1888000000000005</v>
      </c>
      <c r="AW155" s="501">
        <f t="shared" ref="AW155:AX159" si="248">Q155+AL155</f>
        <v>5.91</v>
      </c>
      <c r="AX155" s="502">
        <f t="shared" si="248"/>
        <v>2.2787999999999999</v>
      </c>
    </row>
    <row r="156" spans="1:50" ht="12.95" customHeight="1" x14ac:dyDescent="0.25">
      <c r="A156" s="305">
        <v>32</v>
      </c>
      <c r="B156" s="551">
        <v>2496</v>
      </c>
      <c r="C156" s="551">
        <v>600080251</v>
      </c>
      <c r="D156" s="83">
        <v>70695938</v>
      </c>
      <c r="E156" s="552" t="s">
        <v>550</v>
      </c>
      <c r="F156" s="551">
        <v>3117</v>
      </c>
      <c r="G156" s="528" t="s">
        <v>318</v>
      </c>
      <c r="H156" s="494" t="s">
        <v>284</v>
      </c>
      <c r="I156" s="495">
        <v>144778</v>
      </c>
      <c r="J156" s="496">
        <v>106611</v>
      </c>
      <c r="K156" s="496">
        <v>0</v>
      </c>
      <c r="L156" s="496">
        <v>0</v>
      </c>
      <c r="M156" s="411">
        <v>36035</v>
      </c>
      <c r="N156" s="411">
        <v>2132</v>
      </c>
      <c r="O156" s="496">
        <v>0</v>
      </c>
      <c r="P156" s="497">
        <v>0.31</v>
      </c>
      <c r="Q156" s="412">
        <v>0.31</v>
      </c>
      <c r="R156" s="498">
        <v>0</v>
      </c>
      <c r="S156" s="499">
        <f t="shared" si="244"/>
        <v>0</v>
      </c>
      <c r="T156" s="486">
        <v>0</v>
      </c>
      <c r="U156" s="486">
        <v>0</v>
      </c>
      <c r="V156" s="486">
        <f>SUM(S156:U156)</f>
        <v>0</v>
      </c>
      <c r="W156" s="486">
        <v>0</v>
      </c>
      <c r="X156" s="486">
        <v>0</v>
      </c>
      <c r="Y156" s="486">
        <f>SUM(W156:X156)</f>
        <v>0</v>
      </c>
      <c r="Z156" s="486">
        <f>V156+Y156</f>
        <v>0</v>
      </c>
      <c r="AA156" s="319">
        <f>ROUND((V156+W156)*33.8%,0)</f>
        <v>0</v>
      </c>
      <c r="AB156" s="178">
        <f>ROUND(V156*2%,0)</f>
        <v>0</v>
      </c>
      <c r="AC156" s="486">
        <v>0</v>
      </c>
      <c r="AD156" s="486">
        <v>0</v>
      </c>
      <c r="AE156" s="486">
        <f t="shared" si="225"/>
        <v>0</v>
      </c>
      <c r="AF156" s="486">
        <f t="shared" si="226"/>
        <v>0</v>
      </c>
      <c r="AG156" s="501">
        <v>0</v>
      </c>
      <c r="AH156" s="501">
        <v>0</v>
      </c>
      <c r="AI156" s="501">
        <v>0</v>
      </c>
      <c r="AJ156" s="501">
        <v>0</v>
      </c>
      <c r="AK156" s="501">
        <v>0</v>
      </c>
      <c r="AL156" s="501">
        <f t="shared" si="245"/>
        <v>0</v>
      </c>
      <c r="AM156" s="501">
        <f t="shared" si="246"/>
        <v>0</v>
      </c>
      <c r="AN156" s="529">
        <f t="shared" si="229"/>
        <v>0</v>
      </c>
      <c r="AO156" s="530">
        <f>I156+AF156</f>
        <v>144778</v>
      </c>
      <c r="AP156" s="486">
        <f>J156+V156</f>
        <v>106611</v>
      </c>
      <c r="AQ156" s="486">
        <f>K156+Y156</f>
        <v>0</v>
      </c>
      <c r="AR156" s="480">
        <f>L156</f>
        <v>0</v>
      </c>
      <c r="AS156" s="486">
        <f t="shared" si="247"/>
        <v>36035</v>
      </c>
      <c r="AT156" s="486">
        <f t="shared" si="247"/>
        <v>2132</v>
      </c>
      <c r="AU156" s="486">
        <f>O156+AE156</f>
        <v>0</v>
      </c>
      <c r="AV156" s="501">
        <f>P156+AN156</f>
        <v>0.31</v>
      </c>
      <c r="AW156" s="501">
        <f t="shared" si="248"/>
        <v>0.31</v>
      </c>
      <c r="AX156" s="502">
        <f t="shared" si="248"/>
        <v>0</v>
      </c>
    </row>
    <row r="157" spans="1:50" ht="12.95" customHeight="1" x14ac:dyDescent="0.25">
      <c r="A157" s="305">
        <v>32</v>
      </c>
      <c r="B157" s="555">
        <v>2496</v>
      </c>
      <c r="C157" s="555">
        <v>600080251</v>
      </c>
      <c r="D157" s="83">
        <v>70695938</v>
      </c>
      <c r="E157" s="556" t="s">
        <v>550</v>
      </c>
      <c r="F157" s="551">
        <v>3141</v>
      </c>
      <c r="G157" s="553" t="s">
        <v>321</v>
      </c>
      <c r="H157" s="494" t="s">
        <v>284</v>
      </c>
      <c r="I157" s="495">
        <v>570760</v>
      </c>
      <c r="J157" s="496">
        <v>417561</v>
      </c>
      <c r="K157" s="496">
        <v>0</v>
      </c>
      <c r="L157" s="496">
        <v>0</v>
      </c>
      <c r="M157" s="411">
        <v>141135</v>
      </c>
      <c r="N157" s="411">
        <v>8352</v>
      </c>
      <c r="O157" s="496">
        <v>3712</v>
      </c>
      <c r="P157" s="497">
        <v>1.42</v>
      </c>
      <c r="Q157" s="412">
        <v>0</v>
      </c>
      <c r="R157" s="498">
        <v>1.42</v>
      </c>
      <c r="S157" s="499">
        <f t="shared" si="244"/>
        <v>0</v>
      </c>
      <c r="T157" s="486">
        <v>0</v>
      </c>
      <c r="U157" s="486">
        <v>0</v>
      </c>
      <c r="V157" s="486">
        <f>SUM(S157:U157)</f>
        <v>0</v>
      </c>
      <c r="W157" s="486">
        <v>0</v>
      </c>
      <c r="X157" s="486">
        <v>0</v>
      </c>
      <c r="Y157" s="486">
        <f>SUM(W157:X157)</f>
        <v>0</v>
      </c>
      <c r="Z157" s="486">
        <f>V157+Y157</f>
        <v>0</v>
      </c>
      <c r="AA157" s="319">
        <f>ROUND((V157+W157)*33.8%,0)</f>
        <v>0</v>
      </c>
      <c r="AB157" s="178">
        <f>ROUND(V157*2%,0)</f>
        <v>0</v>
      </c>
      <c r="AC157" s="486">
        <v>0</v>
      </c>
      <c r="AD157" s="486">
        <v>0</v>
      </c>
      <c r="AE157" s="486">
        <f t="shared" si="225"/>
        <v>0</v>
      </c>
      <c r="AF157" s="486">
        <f t="shared" si="226"/>
        <v>0</v>
      </c>
      <c r="AG157" s="501">
        <v>0</v>
      </c>
      <c r="AH157" s="501">
        <v>0</v>
      </c>
      <c r="AI157" s="501">
        <v>0</v>
      </c>
      <c r="AJ157" s="501">
        <v>0</v>
      </c>
      <c r="AK157" s="501">
        <v>0</v>
      </c>
      <c r="AL157" s="501">
        <f t="shared" si="245"/>
        <v>0</v>
      </c>
      <c r="AM157" s="501">
        <f t="shared" si="246"/>
        <v>0</v>
      </c>
      <c r="AN157" s="529">
        <f t="shared" si="229"/>
        <v>0</v>
      </c>
      <c r="AO157" s="530">
        <f>I157+AF157</f>
        <v>570760</v>
      </c>
      <c r="AP157" s="486">
        <f>J157+V157</f>
        <v>417561</v>
      </c>
      <c r="AQ157" s="486">
        <f>K157+Y157</f>
        <v>0</v>
      </c>
      <c r="AR157" s="480">
        <f>L157</f>
        <v>0</v>
      </c>
      <c r="AS157" s="486">
        <f t="shared" si="247"/>
        <v>141135</v>
      </c>
      <c r="AT157" s="486">
        <f t="shared" si="247"/>
        <v>8352</v>
      </c>
      <c r="AU157" s="486">
        <f>O157+AE157</f>
        <v>3712</v>
      </c>
      <c r="AV157" s="501">
        <f>P157+AN157</f>
        <v>1.42</v>
      </c>
      <c r="AW157" s="501">
        <f t="shared" si="248"/>
        <v>0</v>
      </c>
      <c r="AX157" s="502">
        <f t="shared" si="248"/>
        <v>1.42</v>
      </c>
    </row>
    <row r="158" spans="1:50" ht="12.95" customHeight="1" x14ac:dyDescent="0.25">
      <c r="A158" s="305">
        <v>32</v>
      </c>
      <c r="B158" s="551">
        <v>2496</v>
      </c>
      <c r="C158" s="551">
        <v>600080251</v>
      </c>
      <c r="D158" s="83">
        <v>70695938</v>
      </c>
      <c r="E158" s="552" t="s">
        <v>550</v>
      </c>
      <c r="F158" s="551">
        <v>3143</v>
      </c>
      <c r="G158" s="528" t="s">
        <v>634</v>
      </c>
      <c r="H158" s="494" t="s">
        <v>283</v>
      </c>
      <c r="I158" s="495">
        <v>994155</v>
      </c>
      <c r="J158" s="496">
        <v>732073</v>
      </c>
      <c r="K158" s="496">
        <v>0</v>
      </c>
      <c r="L158" s="496">
        <v>0</v>
      </c>
      <c r="M158" s="411">
        <v>247441</v>
      </c>
      <c r="N158" s="411">
        <v>14641</v>
      </c>
      <c r="O158" s="496">
        <v>0</v>
      </c>
      <c r="P158" s="497">
        <v>1.6</v>
      </c>
      <c r="Q158" s="412">
        <v>1.6</v>
      </c>
      <c r="R158" s="498">
        <v>0</v>
      </c>
      <c r="S158" s="499">
        <f t="shared" si="244"/>
        <v>0</v>
      </c>
      <c r="T158" s="486">
        <v>0</v>
      </c>
      <c r="U158" s="486">
        <v>0</v>
      </c>
      <c r="V158" s="486">
        <f>SUM(S158:U158)</f>
        <v>0</v>
      </c>
      <c r="W158" s="486">
        <v>0</v>
      </c>
      <c r="X158" s="486">
        <v>0</v>
      </c>
      <c r="Y158" s="486">
        <f>SUM(W158:X158)</f>
        <v>0</v>
      </c>
      <c r="Z158" s="486">
        <f>V158+Y158</f>
        <v>0</v>
      </c>
      <c r="AA158" s="319">
        <f>ROUND((V158+W158)*33.8%,0)</f>
        <v>0</v>
      </c>
      <c r="AB158" s="178">
        <f>ROUND(V158*2%,0)</f>
        <v>0</v>
      </c>
      <c r="AC158" s="486">
        <v>0</v>
      </c>
      <c r="AD158" s="486">
        <v>0</v>
      </c>
      <c r="AE158" s="486">
        <f t="shared" si="225"/>
        <v>0</v>
      </c>
      <c r="AF158" s="486">
        <f t="shared" si="226"/>
        <v>0</v>
      </c>
      <c r="AG158" s="501">
        <v>0</v>
      </c>
      <c r="AH158" s="501">
        <v>0</v>
      </c>
      <c r="AI158" s="501">
        <v>0</v>
      </c>
      <c r="AJ158" s="501">
        <v>0</v>
      </c>
      <c r="AK158" s="501">
        <v>0</v>
      </c>
      <c r="AL158" s="501">
        <f t="shared" si="245"/>
        <v>0</v>
      </c>
      <c r="AM158" s="501">
        <f t="shared" si="246"/>
        <v>0</v>
      </c>
      <c r="AN158" s="529">
        <f t="shared" si="229"/>
        <v>0</v>
      </c>
      <c r="AO158" s="530">
        <f>I158+AF158</f>
        <v>994155</v>
      </c>
      <c r="AP158" s="486">
        <f>J158+V158</f>
        <v>732073</v>
      </c>
      <c r="AQ158" s="486">
        <f>K158+Y158</f>
        <v>0</v>
      </c>
      <c r="AR158" s="480">
        <f>L158</f>
        <v>0</v>
      </c>
      <c r="AS158" s="486">
        <f t="shared" si="247"/>
        <v>247441</v>
      </c>
      <c r="AT158" s="486">
        <f t="shared" si="247"/>
        <v>14641</v>
      </c>
      <c r="AU158" s="486">
        <f>O158+AE158</f>
        <v>0</v>
      </c>
      <c r="AV158" s="501">
        <f>P158+AN158</f>
        <v>1.6</v>
      </c>
      <c r="AW158" s="501">
        <f t="shared" si="248"/>
        <v>1.6</v>
      </c>
      <c r="AX158" s="502">
        <f t="shared" si="248"/>
        <v>0</v>
      </c>
    </row>
    <row r="159" spans="1:50" ht="12.95" customHeight="1" x14ac:dyDescent="0.25">
      <c r="A159" s="305">
        <v>32</v>
      </c>
      <c r="B159" s="551">
        <v>2496</v>
      </c>
      <c r="C159" s="551">
        <v>600080251</v>
      </c>
      <c r="D159" s="83">
        <v>70695938</v>
      </c>
      <c r="E159" s="552" t="s">
        <v>550</v>
      </c>
      <c r="F159" s="551">
        <v>3143</v>
      </c>
      <c r="G159" s="528" t="s">
        <v>635</v>
      </c>
      <c r="H159" s="494" t="s">
        <v>284</v>
      </c>
      <c r="I159" s="495">
        <v>32301</v>
      </c>
      <c r="J159" s="496">
        <v>22770</v>
      </c>
      <c r="K159" s="496">
        <v>0</v>
      </c>
      <c r="L159" s="496">
        <v>0</v>
      </c>
      <c r="M159" s="411">
        <v>7696</v>
      </c>
      <c r="N159" s="411">
        <v>455</v>
      </c>
      <c r="O159" s="496">
        <v>1380</v>
      </c>
      <c r="P159" s="497">
        <v>0.1</v>
      </c>
      <c r="Q159" s="412">
        <v>0</v>
      </c>
      <c r="R159" s="498">
        <v>0.1</v>
      </c>
      <c r="S159" s="499">
        <f t="shared" si="244"/>
        <v>0</v>
      </c>
      <c r="T159" s="486">
        <v>0</v>
      </c>
      <c r="U159" s="486">
        <v>0</v>
      </c>
      <c r="V159" s="486">
        <f>SUM(S159:U159)</f>
        <v>0</v>
      </c>
      <c r="W159" s="486">
        <v>0</v>
      </c>
      <c r="X159" s="486">
        <v>0</v>
      </c>
      <c r="Y159" s="486">
        <f>SUM(W159:X159)</f>
        <v>0</v>
      </c>
      <c r="Z159" s="486">
        <f>V159+Y159</f>
        <v>0</v>
      </c>
      <c r="AA159" s="319">
        <f>ROUND((V159+W159)*33.8%,0)</f>
        <v>0</v>
      </c>
      <c r="AB159" s="178">
        <f>ROUND(V159*2%,0)</f>
        <v>0</v>
      </c>
      <c r="AC159" s="486">
        <v>0</v>
      </c>
      <c r="AD159" s="486">
        <v>0</v>
      </c>
      <c r="AE159" s="486">
        <f t="shared" si="225"/>
        <v>0</v>
      </c>
      <c r="AF159" s="486">
        <f t="shared" si="226"/>
        <v>0</v>
      </c>
      <c r="AG159" s="501">
        <v>0</v>
      </c>
      <c r="AH159" s="501">
        <v>0</v>
      </c>
      <c r="AI159" s="501">
        <v>0</v>
      </c>
      <c r="AJ159" s="501">
        <v>0</v>
      </c>
      <c r="AK159" s="501">
        <v>0</v>
      </c>
      <c r="AL159" s="501">
        <f t="shared" si="245"/>
        <v>0</v>
      </c>
      <c r="AM159" s="501">
        <f t="shared" si="246"/>
        <v>0</v>
      </c>
      <c r="AN159" s="529">
        <f t="shared" si="229"/>
        <v>0</v>
      </c>
      <c r="AO159" s="530">
        <f>I159+AF159</f>
        <v>32301</v>
      </c>
      <c r="AP159" s="486">
        <f>J159+V159</f>
        <v>22770</v>
      </c>
      <c r="AQ159" s="486">
        <f>K159+Y159</f>
        <v>0</v>
      </c>
      <c r="AR159" s="480">
        <f>L159</f>
        <v>0</v>
      </c>
      <c r="AS159" s="486">
        <f t="shared" si="247"/>
        <v>7696</v>
      </c>
      <c r="AT159" s="486">
        <f t="shared" si="247"/>
        <v>455</v>
      </c>
      <c r="AU159" s="486">
        <f>O159+AE159</f>
        <v>1380</v>
      </c>
      <c r="AV159" s="501">
        <f>P159+AN159</f>
        <v>0.1</v>
      </c>
      <c r="AW159" s="501">
        <f t="shared" si="248"/>
        <v>0</v>
      </c>
      <c r="AX159" s="502">
        <f t="shared" si="248"/>
        <v>0.1</v>
      </c>
    </row>
    <row r="160" spans="1:50" ht="12.95" customHeight="1" x14ac:dyDescent="0.25">
      <c r="A160" s="307">
        <v>32</v>
      </c>
      <c r="B160" s="128">
        <v>2496</v>
      </c>
      <c r="C160" s="128">
        <v>600080251</v>
      </c>
      <c r="D160" s="128">
        <v>70695938</v>
      </c>
      <c r="E160" s="554" t="s">
        <v>551</v>
      </c>
      <c r="F160" s="128"/>
      <c r="G160" s="554"/>
      <c r="H160" s="371"/>
      <c r="I160" s="133">
        <v>7376826</v>
      </c>
      <c r="J160" s="239">
        <v>5275090</v>
      </c>
      <c r="K160" s="239">
        <v>14472</v>
      </c>
      <c r="L160" s="239">
        <v>9472</v>
      </c>
      <c r="M160" s="239">
        <v>1784670</v>
      </c>
      <c r="N160" s="239">
        <v>105502</v>
      </c>
      <c r="O160" s="239">
        <v>197092</v>
      </c>
      <c r="P160" s="380">
        <v>11.6188</v>
      </c>
      <c r="Q160" s="380">
        <v>7.82</v>
      </c>
      <c r="R160" s="396">
        <v>3.7988</v>
      </c>
      <c r="S160" s="239">
        <f t="shared" ref="S160:AN160" si="249">SUM(S155:S159)</f>
        <v>0</v>
      </c>
      <c r="T160" s="169">
        <f t="shared" si="249"/>
        <v>0</v>
      </c>
      <c r="U160" s="169">
        <f t="shared" si="249"/>
        <v>0</v>
      </c>
      <c r="V160" s="169">
        <f t="shared" si="249"/>
        <v>0</v>
      </c>
      <c r="W160" s="169">
        <f t="shared" si="249"/>
        <v>0</v>
      </c>
      <c r="X160" s="169">
        <f t="shared" si="249"/>
        <v>0</v>
      </c>
      <c r="Y160" s="169">
        <f t="shared" si="249"/>
        <v>0</v>
      </c>
      <c r="Z160" s="169">
        <f t="shared" si="249"/>
        <v>0</v>
      </c>
      <c r="AA160" s="169">
        <f t="shared" si="249"/>
        <v>0</v>
      </c>
      <c r="AB160" s="169">
        <f t="shared" si="249"/>
        <v>0</v>
      </c>
      <c r="AC160" s="169">
        <f t="shared" si="249"/>
        <v>0</v>
      </c>
      <c r="AD160" s="169">
        <f t="shared" si="249"/>
        <v>0</v>
      </c>
      <c r="AE160" s="169">
        <f t="shared" si="249"/>
        <v>0</v>
      </c>
      <c r="AF160" s="169">
        <f t="shared" si="249"/>
        <v>0</v>
      </c>
      <c r="AG160" s="316">
        <f t="shared" si="249"/>
        <v>0</v>
      </c>
      <c r="AH160" s="316">
        <f t="shared" si="249"/>
        <v>0</v>
      </c>
      <c r="AI160" s="316">
        <f t="shared" si="249"/>
        <v>0</v>
      </c>
      <c r="AJ160" s="316">
        <f t="shared" si="249"/>
        <v>0</v>
      </c>
      <c r="AK160" s="316">
        <f t="shared" si="249"/>
        <v>0</v>
      </c>
      <c r="AL160" s="316">
        <f t="shared" si="249"/>
        <v>0</v>
      </c>
      <c r="AM160" s="316">
        <f t="shared" si="249"/>
        <v>0</v>
      </c>
      <c r="AN160" s="389">
        <f t="shared" si="249"/>
        <v>0</v>
      </c>
      <c r="AO160" s="133">
        <f t="shared" ref="AO160:AX160" si="250">SUM(AO155:AO159)</f>
        <v>7376826</v>
      </c>
      <c r="AP160" s="169">
        <f t="shared" si="250"/>
        <v>5275090</v>
      </c>
      <c r="AQ160" s="169">
        <f t="shared" si="250"/>
        <v>14472</v>
      </c>
      <c r="AR160" s="169">
        <f t="shared" si="250"/>
        <v>9472</v>
      </c>
      <c r="AS160" s="169">
        <f t="shared" si="250"/>
        <v>1784670</v>
      </c>
      <c r="AT160" s="169">
        <f t="shared" si="250"/>
        <v>105502</v>
      </c>
      <c r="AU160" s="169">
        <f t="shared" si="250"/>
        <v>197092</v>
      </c>
      <c r="AV160" s="316">
        <f t="shared" si="250"/>
        <v>11.6188</v>
      </c>
      <c r="AW160" s="316">
        <f t="shared" si="250"/>
        <v>7.82</v>
      </c>
      <c r="AX160" s="317">
        <f t="shared" si="250"/>
        <v>3.7988</v>
      </c>
    </row>
    <row r="161" spans="1:50" ht="12.95" customHeight="1" x14ac:dyDescent="0.25">
      <c r="A161" s="305">
        <v>33</v>
      </c>
      <c r="B161" s="551">
        <v>5440</v>
      </c>
      <c r="C161" s="551">
        <v>600098559</v>
      </c>
      <c r="D161" s="83">
        <v>70998108</v>
      </c>
      <c r="E161" s="552" t="s">
        <v>552</v>
      </c>
      <c r="F161" s="551">
        <v>3111</v>
      </c>
      <c r="G161" s="553" t="s">
        <v>331</v>
      </c>
      <c r="H161" s="494" t="s">
        <v>283</v>
      </c>
      <c r="I161" s="495">
        <v>3377503</v>
      </c>
      <c r="J161" s="496">
        <v>2423326</v>
      </c>
      <c r="K161" s="496">
        <v>6000</v>
      </c>
      <c r="L161" s="496">
        <v>0</v>
      </c>
      <c r="M161" s="411">
        <v>821112</v>
      </c>
      <c r="N161" s="411">
        <v>48466</v>
      </c>
      <c r="O161" s="496">
        <v>78599</v>
      </c>
      <c r="P161" s="497">
        <v>5.4597999999999995</v>
      </c>
      <c r="Q161" s="412">
        <v>4</v>
      </c>
      <c r="R161" s="498">
        <v>1.4598</v>
      </c>
      <c r="S161" s="499">
        <f t="shared" ref="S161:S162" si="251">W161*-1</f>
        <v>0</v>
      </c>
      <c r="T161" s="486">
        <v>0</v>
      </c>
      <c r="U161" s="486">
        <v>0</v>
      </c>
      <c r="V161" s="486">
        <f>SUM(S161:U161)</f>
        <v>0</v>
      </c>
      <c r="W161" s="486">
        <v>0</v>
      </c>
      <c r="X161" s="486">
        <v>0</v>
      </c>
      <c r="Y161" s="486">
        <f>SUM(W161:X161)</f>
        <v>0</v>
      </c>
      <c r="Z161" s="486">
        <f>V161+Y161</f>
        <v>0</v>
      </c>
      <c r="AA161" s="319">
        <f>ROUND((V161+W161)*33.8%,0)</f>
        <v>0</v>
      </c>
      <c r="AB161" s="178">
        <f>ROUND(V161*2%,0)</f>
        <v>0</v>
      </c>
      <c r="AC161" s="486">
        <v>0</v>
      </c>
      <c r="AD161" s="486">
        <v>0</v>
      </c>
      <c r="AE161" s="486">
        <f t="shared" si="225"/>
        <v>0</v>
      </c>
      <c r="AF161" s="486">
        <f t="shared" si="226"/>
        <v>0</v>
      </c>
      <c r="AG161" s="501">
        <v>0</v>
      </c>
      <c r="AH161" s="501">
        <v>0</v>
      </c>
      <c r="AI161" s="501">
        <v>0</v>
      </c>
      <c r="AJ161" s="501">
        <v>0</v>
      </c>
      <c r="AK161" s="501">
        <v>0</v>
      </c>
      <c r="AL161" s="501">
        <f t="shared" ref="AL161:AL162" si="252">AG161+AI161+AJ161</f>
        <v>0</v>
      </c>
      <c r="AM161" s="501">
        <f t="shared" ref="AM161:AM162" si="253">AH161+AK161</f>
        <v>0</v>
      </c>
      <c r="AN161" s="529">
        <f t="shared" si="229"/>
        <v>0</v>
      </c>
      <c r="AO161" s="530">
        <f>I161+AF161</f>
        <v>3377503</v>
      </c>
      <c r="AP161" s="486">
        <f>J161+V161</f>
        <v>2423326</v>
      </c>
      <c r="AQ161" s="486">
        <f>K161+Y161</f>
        <v>6000</v>
      </c>
      <c r="AR161" s="480">
        <f>L161</f>
        <v>0</v>
      </c>
      <c r="AS161" s="486">
        <f>M161+AA161</f>
        <v>821112</v>
      </c>
      <c r="AT161" s="486">
        <f>N161+AB161</f>
        <v>48466</v>
      </c>
      <c r="AU161" s="486">
        <f>O161+AE161</f>
        <v>78599</v>
      </c>
      <c r="AV161" s="501">
        <f>P161+AN161</f>
        <v>5.4597999999999995</v>
      </c>
      <c r="AW161" s="501">
        <f>Q161+AL161</f>
        <v>4</v>
      </c>
      <c r="AX161" s="502">
        <f>R161+AM161</f>
        <v>1.4598</v>
      </c>
    </row>
    <row r="162" spans="1:50" ht="12.95" customHeight="1" x14ac:dyDescent="0.25">
      <c r="A162" s="305">
        <v>33</v>
      </c>
      <c r="B162" s="555">
        <v>5440</v>
      </c>
      <c r="C162" s="555">
        <v>600098559</v>
      </c>
      <c r="D162" s="83">
        <v>70998108</v>
      </c>
      <c r="E162" s="552" t="s">
        <v>552</v>
      </c>
      <c r="F162" s="551">
        <v>3141</v>
      </c>
      <c r="G162" s="553" t="s">
        <v>321</v>
      </c>
      <c r="H162" s="494" t="s">
        <v>284</v>
      </c>
      <c r="I162" s="495">
        <v>246114</v>
      </c>
      <c r="J162" s="496">
        <v>179889</v>
      </c>
      <c r="K162" s="496">
        <v>0</v>
      </c>
      <c r="L162" s="496">
        <v>0</v>
      </c>
      <c r="M162" s="411">
        <v>60803</v>
      </c>
      <c r="N162" s="411">
        <v>3598</v>
      </c>
      <c r="O162" s="496">
        <v>1824</v>
      </c>
      <c r="P162" s="497">
        <v>0.61</v>
      </c>
      <c r="Q162" s="412">
        <v>0</v>
      </c>
      <c r="R162" s="498">
        <v>0.61</v>
      </c>
      <c r="S162" s="499">
        <f t="shared" si="251"/>
        <v>0</v>
      </c>
      <c r="T162" s="486">
        <v>0</v>
      </c>
      <c r="U162" s="486">
        <v>0</v>
      </c>
      <c r="V162" s="486">
        <f>SUM(S162:U162)</f>
        <v>0</v>
      </c>
      <c r="W162" s="486">
        <v>0</v>
      </c>
      <c r="X162" s="486">
        <v>0</v>
      </c>
      <c r="Y162" s="486">
        <f>SUM(W162:X162)</f>
        <v>0</v>
      </c>
      <c r="Z162" s="486">
        <f>V162+Y162</f>
        <v>0</v>
      </c>
      <c r="AA162" s="319">
        <f>ROUND((V162+W162)*33.8%,0)</f>
        <v>0</v>
      </c>
      <c r="AB162" s="178">
        <f>ROUND(V162*2%,0)</f>
        <v>0</v>
      </c>
      <c r="AC162" s="486">
        <v>0</v>
      </c>
      <c r="AD162" s="486">
        <v>0</v>
      </c>
      <c r="AE162" s="486">
        <f t="shared" si="225"/>
        <v>0</v>
      </c>
      <c r="AF162" s="486">
        <f t="shared" si="226"/>
        <v>0</v>
      </c>
      <c r="AG162" s="501">
        <v>0</v>
      </c>
      <c r="AH162" s="501">
        <v>0</v>
      </c>
      <c r="AI162" s="501">
        <v>0</v>
      </c>
      <c r="AJ162" s="501">
        <v>0</v>
      </c>
      <c r="AK162" s="501">
        <v>0</v>
      </c>
      <c r="AL162" s="501">
        <f t="shared" si="252"/>
        <v>0</v>
      </c>
      <c r="AM162" s="501">
        <f t="shared" si="253"/>
        <v>0</v>
      </c>
      <c r="AN162" s="529">
        <f t="shared" si="229"/>
        <v>0</v>
      </c>
      <c r="AO162" s="530">
        <f>I162+AF162</f>
        <v>246114</v>
      </c>
      <c r="AP162" s="486">
        <f>J162+V162</f>
        <v>179889</v>
      </c>
      <c r="AQ162" s="486">
        <f>K162+Y162</f>
        <v>0</v>
      </c>
      <c r="AR162" s="480">
        <f>L162</f>
        <v>0</v>
      </c>
      <c r="AS162" s="486">
        <f>M162+AA162</f>
        <v>60803</v>
      </c>
      <c r="AT162" s="486">
        <f>N162+AB162</f>
        <v>3598</v>
      </c>
      <c r="AU162" s="486">
        <f>O162+AE162</f>
        <v>1824</v>
      </c>
      <c r="AV162" s="501">
        <f>P162+AN162</f>
        <v>0.61</v>
      </c>
      <c r="AW162" s="501">
        <f>Q162+AL162</f>
        <v>0</v>
      </c>
      <c r="AX162" s="502">
        <f>R162+AM162</f>
        <v>0.61</v>
      </c>
    </row>
    <row r="163" spans="1:50" ht="12.95" customHeight="1" x14ac:dyDescent="0.25">
      <c r="A163" s="307">
        <v>33</v>
      </c>
      <c r="B163" s="131">
        <v>5440</v>
      </c>
      <c r="C163" s="131">
        <v>600098559</v>
      </c>
      <c r="D163" s="131">
        <v>70998108</v>
      </c>
      <c r="E163" s="554" t="s">
        <v>553</v>
      </c>
      <c r="F163" s="128"/>
      <c r="G163" s="554"/>
      <c r="H163" s="371"/>
      <c r="I163" s="129">
        <v>3623617</v>
      </c>
      <c r="J163" s="238">
        <v>2603215</v>
      </c>
      <c r="K163" s="238">
        <v>6000</v>
      </c>
      <c r="L163" s="238">
        <v>0</v>
      </c>
      <c r="M163" s="238">
        <v>881915</v>
      </c>
      <c r="N163" s="238">
        <v>52064</v>
      </c>
      <c r="O163" s="238">
        <v>80423</v>
      </c>
      <c r="P163" s="378">
        <v>6.0697999999999999</v>
      </c>
      <c r="Q163" s="378">
        <v>4</v>
      </c>
      <c r="R163" s="394">
        <v>2.0697999999999999</v>
      </c>
      <c r="S163" s="238">
        <f t="shared" ref="S163:AN163" si="254">SUM(S161:S162)</f>
        <v>0</v>
      </c>
      <c r="T163" s="168">
        <f t="shared" si="254"/>
        <v>0</v>
      </c>
      <c r="U163" s="168">
        <f t="shared" si="254"/>
        <v>0</v>
      </c>
      <c r="V163" s="168">
        <f t="shared" si="254"/>
        <v>0</v>
      </c>
      <c r="W163" s="168">
        <f t="shared" si="254"/>
        <v>0</v>
      </c>
      <c r="X163" s="168">
        <f t="shared" si="254"/>
        <v>0</v>
      </c>
      <c r="Y163" s="168">
        <f t="shared" si="254"/>
        <v>0</v>
      </c>
      <c r="Z163" s="168">
        <f t="shared" si="254"/>
        <v>0</v>
      </c>
      <c r="AA163" s="168">
        <f t="shared" si="254"/>
        <v>0</v>
      </c>
      <c r="AB163" s="168">
        <f t="shared" si="254"/>
        <v>0</v>
      </c>
      <c r="AC163" s="168">
        <f t="shared" si="254"/>
        <v>0</v>
      </c>
      <c r="AD163" s="168">
        <f t="shared" si="254"/>
        <v>0</v>
      </c>
      <c r="AE163" s="168">
        <f t="shared" si="254"/>
        <v>0</v>
      </c>
      <c r="AF163" s="168">
        <f t="shared" si="254"/>
        <v>0</v>
      </c>
      <c r="AG163" s="314">
        <f t="shared" si="254"/>
        <v>0</v>
      </c>
      <c r="AH163" s="314">
        <f t="shared" si="254"/>
        <v>0</v>
      </c>
      <c r="AI163" s="314">
        <f t="shared" si="254"/>
        <v>0</v>
      </c>
      <c r="AJ163" s="314">
        <f t="shared" si="254"/>
        <v>0</v>
      </c>
      <c r="AK163" s="314">
        <f t="shared" si="254"/>
        <v>0</v>
      </c>
      <c r="AL163" s="314">
        <f t="shared" si="254"/>
        <v>0</v>
      </c>
      <c r="AM163" s="314">
        <f t="shared" si="254"/>
        <v>0</v>
      </c>
      <c r="AN163" s="387">
        <f t="shared" si="254"/>
        <v>0</v>
      </c>
      <c r="AO163" s="129">
        <f t="shared" ref="AO163:AX163" si="255">SUM(AO161:AO162)</f>
        <v>3623617</v>
      </c>
      <c r="AP163" s="168">
        <f t="shared" si="255"/>
        <v>2603215</v>
      </c>
      <c r="AQ163" s="168">
        <f t="shared" si="255"/>
        <v>6000</v>
      </c>
      <c r="AR163" s="168">
        <f t="shared" si="255"/>
        <v>0</v>
      </c>
      <c r="AS163" s="168">
        <f t="shared" si="255"/>
        <v>881915</v>
      </c>
      <c r="AT163" s="168">
        <f t="shared" si="255"/>
        <v>52064</v>
      </c>
      <c r="AU163" s="168">
        <f t="shared" si="255"/>
        <v>80423</v>
      </c>
      <c r="AV163" s="314">
        <f t="shared" si="255"/>
        <v>6.0697999999999999</v>
      </c>
      <c r="AW163" s="314">
        <f t="shared" si="255"/>
        <v>4</v>
      </c>
      <c r="AX163" s="315">
        <f t="shared" si="255"/>
        <v>2.0697999999999999</v>
      </c>
    </row>
    <row r="164" spans="1:50" ht="12.95" customHeight="1" x14ac:dyDescent="0.25">
      <c r="A164" s="305">
        <v>34</v>
      </c>
      <c r="B164" s="551">
        <v>5441</v>
      </c>
      <c r="C164" s="551">
        <v>600099270</v>
      </c>
      <c r="D164" s="83">
        <v>856118</v>
      </c>
      <c r="E164" s="552" t="s">
        <v>554</v>
      </c>
      <c r="F164" s="551">
        <v>3113</v>
      </c>
      <c r="G164" s="552" t="s">
        <v>335</v>
      </c>
      <c r="H164" s="494" t="s">
        <v>283</v>
      </c>
      <c r="I164" s="495">
        <v>12456412</v>
      </c>
      <c r="J164" s="496">
        <v>8760184</v>
      </c>
      <c r="K164" s="496">
        <v>181064</v>
      </c>
      <c r="L164" s="496">
        <v>67814</v>
      </c>
      <c r="M164" s="411">
        <v>2985161</v>
      </c>
      <c r="N164" s="411">
        <v>175203</v>
      </c>
      <c r="O164" s="496">
        <v>354800</v>
      </c>
      <c r="P164" s="497">
        <v>17.438199999999998</v>
      </c>
      <c r="Q164" s="412">
        <v>12.693700000000002</v>
      </c>
      <c r="R164" s="498">
        <v>4.7444999999999995</v>
      </c>
      <c r="S164" s="499">
        <f t="shared" ref="S164:S168" si="256">W164*-1</f>
        <v>0</v>
      </c>
      <c r="T164" s="486">
        <v>0</v>
      </c>
      <c r="U164" s="486">
        <v>0</v>
      </c>
      <c r="V164" s="486">
        <f>SUM(S164:U164)</f>
        <v>0</v>
      </c>
      <c r="W164" s="486">
        <v>0</v>
      </c>
      <c r="X164" s="486">
        <v>0</v>
      </c>
      <c r="Y164" s="486">
        <f>SUM(W164:X164)</f>
        <v>0</v>
      </c>
      <c r="Z164" s="486">
        <f>V164+Y164</f>
        <v>0</v>
      </c>
      <c r="AA164" s="319">
        <f>ROUND((V164+W164)*33.8%,0)</f>
        <v>0</v>
      </c>
      <c r="AB164" s="178">
        <f>ROUND(V164*2%,0)</f>
        <v>0</v>
      </c>
      <c r="AC164" s="486">
        <v>0</v>
      </c>
      <c r="AD164" s="486">
        <v>0</v>
      </c>
      <c r="AE164" s="486">
        <f t="shared" si="225"/>
        <v>0</v>
      </c>
      <c r="AF164" s="486">
        <f t="shared" si="226"/>
        <v>0</v>
      </c>
      <c r="AG164" s="501">
        <v>0</v>
      </c>
      <c r="AH164" s="501">
        <v>0</v>
      </c>
      <c r="AI164" s="501">
        <v>0</v>
      </c>
      <c r="AJ164" s="501">
        <v>0</v>
      </c>
      <c r="AK164" s="501">
        <v>0</v>
      </c>
      <c r="AL164" s="501">
        <f t="shared" ref="AL164:AL168" si="257">AG164+AI164+AJ164</f>
        <v>0</v>
      </c>
      <c r="AM164" s="501">
        <f t="shared" ref="AM164:AM168" si="258">AH164+AK164</f>
        <v>0</v>
      </c>
      <c r="AN164" s="529">
        <f t="shared" si="229"/>
        <v>0</v>
      </c>
      <c r="AO164" s="530">
        <f>I164+AF164</f>
        <v>12456412</v>
      </c>
      <c r="AP164" s="486">
        <f>J164+V164</f>
        <v>8760184</v>
      </c>
      <c r="AQ164" s="486">
        <f>K164+Y164</f>
        <v>181064</v>
      </c>
      <c r="AR164" s="480">
        <f>L164</f>
        <v>67814</v>
      </c>
      <c r="AS164" s="486">
        <f t="shared" ref="AS164:AT168" si="259">M164+AA164</f>
        <v>2985161</v>
      </c>
      <c r="AT164" s="486">
        <f t="shared" si="259"/>
        <v>175203</v>
      </c>
      <c r="AU164" s="486">
        <f>O164+AE164</f>
        <v>354800</v>
      </c>
      <c r="AV164" s="501">
        <f>P164+AN164</f>
        <v>17.438199999999998</v>
      </c>
      <c r="AW164" s="501">
        <f t="shared" ref="AW164:AX168" si="260">Q164+AL164</f>
        <v>12.693700000000002</v>
      </c>
      <c r="AX164" s="502">
        <f t="shared" si="260"/>
        <v>4.7444999999999995</v>
      </c>
    </row>
    <row r="165" spans="1:50" ht="12.95" customHeight="1" x14ac:dyDescent="0.25">
      <c r="A165" s="305">
        <v>34</v>
      </c>
      <c r="B165" s="551">
        <v>5441</v>
      </c>
      <c r="C165" s="551">
        <v>600099270</v>
      </c>
      <c r="D165" s="83">
        <v>856118</v>
      </c>
      <c r="E165" s="552" t="s">
        <v>554</v>
      </c>
      <c r="F165" s="551">
        <v>3113</v>
      </c>
      <c r="G165" s="528" t="s">
        <v>318</v>
      </c>
      <c r="H165" s="494" t="s">
        <v>284</v>
      </c>
      <c r="I165" s="495">
        <v>672621</v>
      </c>
      <c r="J165" s="496">
        <v>495302</v>
      </c>
      <c r="K165" s="496">
        <v>0</v>
      </c>
      <c r="L165" s="496">
        <v>0</v>
      </c>
      <c r="M165" s="411">
        <v>167412</v>
      </c>
      <c r="N165" s="411">
        <v>9907</v>
      </c>
      <c r="O165" s="496">
        <v>0</v>
      </c>
      <c r="P165" s="497">
        <v>1.49</v>
      </c>
      <c r="Q165" s="412">
        <v>1.49</v>
      </c>
      <c r="R165" s="498">
        <v>0</v>
      </c>
      <c r="S165" s="499">
        <f t="shared" si="256"/>
        <v>0</v>
      </c>
      <c r="T165" s="486">
        <v>0</v>
      </c>
      <c r="U165" s="486">
        <v>0</v>
      </c>
      <c r="V165" s="486">
        <f>SUM(S165:U165)</f>
        <v>0</v>
      </c>
      <c r="W165" s="486">
        <v>0</v>
      </c>
      <c r="X165" s="486">
        <v>0</v>
      </c>
      <c r="Y165" s="486">
        <f>SUM(W165:X165)</f>
        <v>0</v>
      </c>
      <c r="Z165" s="486">
        <f>V165+Y165</f>
        <v>0</v>
      </c>
      <c r="AA165" s="319">
        <f>ROUND((V165+W165)*33.8%,0)</f>
        <v>0</v>
      </c>
      <c r="AB165" s="178">
        <f>ROUND(V165*2%,0)</f>
        <v>0</v>
      </c>
      <c r="AC165" s="486">
        <v>0</v>
      </c>
      <c r="AD165" s="486">
        <v>0</v>
      </c>
      <c r="AE165" s="486">
        <f t="shared" si="225"/>
        <v>0</v>
      </c>
      <c r="AF165" s="486">
        <f t="shared" si="226"/>
        <v>0</v>
      </c>
      <c r="AG165" s="501">
        <v>0</v>
      </c>
      <c r="AH165" s="501">
        <v>0</v>
      </c>
      <c r="AI165" s="501">
        <v>0</v>
      </c>
      <c r="AJ165" s="501">
        <v>0</v>
      </c>
      <c r="AK165" s="501">
        <v>0</v>
      </c>
      <c r="AL165" s="501">
        <f t="shared" si="257"/>
        <v>0</v>
      </c>
      <c r="AM165" s="501">
        <f t="shared" si="258"/>
        <v>0</v>
      </c>
      <c r="AN165" s="529">
        <f t="shared" si="229"/>
        <v>0</v>
      </c>
      <c r="AO165" s="530">
        <f>I165+AF165</f>
        <v>672621</v>
      </c>
      <c r="AP165" s="486">
        <f>J165+V165</f>
        <v>495302</v>
      </c>
      <c r="AQ165" s="486">
        <f>K165+Y165</f>
        <v>0</v>
      </c>
      <c r="AR165" s="480">
        <f>L165</f>
        <v>0</v>
      </c>
      <c r="AS165" s="486">
        <f t="shared" si="259"/>
        <v>167412</v>
      </c>
      <c r="AT165" s="486">
        <f t="shared" si="259"/>
        <v>9907</v>
      </c>
      <c r="AU165" s="486">
        <f>O165+AE165</f>
        <v>0</v>
      </c>
      <c r="AV165" s="501">
        <f>P165+AN165</f>
        <v>1.49</v>
      </c>
      <c r="AW165" s="501">
        <f t="shared" si="260"/>
        <v>1.49</v>
      </c>
      <c r="AX165" s="502">
        <f t="shared" si="260"/>
        <v>0</v>
      </c>
    </row>
    <row r="166" spans="1:50" ht="12.95" customHeight="1" x14ac:dyDescent="0.25">
      <c r="A166" s="305">
        <v>34</v>
      </c>
      <c r="B166" s="555">
        <v>5441</v>
      </c>
      <c r="C166" s="555">
        <v>600099270</v>
      </c>
      <c r="D166" s="83">
        <v>856118</v>
      </c>
      <c r="E166" s="556" t="s">
        <v>554</v>
      </c>
      <c r="F166" s="551">
        <v>3141</v>
      </c>
      <c r="G166" s="553" t="s">
        <v>321</v>
      </c>
      <c r="H166" s="494" t="s">
        <v>284</v>
      </c>
      <c r="I166" s="495">
        <v>1422219</v>
      </c>
      <c r="J166" s="496">
        <v>990902</v>
      </c>
      <c r="K166" s="496">
        <v>49625</v>
      </c>
      <c r="L166" s="496">
        <v>0</v>
      </c>
      <c r="M166" s="411">
        <v>351698</v>
      </c>
      <c r="N166" s="411">
        <v>19818</v>
      </c>
      <c r="O166" s="496">
        <v>10176</v>
      </c>
      <c r="P166" s="497">
        <v>3.5300000000000002</v>
      </c>
      <c r="Q166" s="412">
        <v>0</v>
      </c>
      <c r="R166" s="498">
        <v>3.5300000000000002</v>
      </c>
      <c r="S166" s="499">
        <f t="shared" si="256"/>
        <v>0</v>
      </c>
      <c r="T166" s="486">
        <v>0</v>
      </c>
      <c r="U166" s="486">
        <v>0</v>
      </c>
      <c r="V166" s="486">
        <f>SUM(S166:U166)</f>
        <v>0</v>
      </c>
      <c r="W166" s="486">
        <v>0</v>
      </c>
      <c r="X166" s="486">
        <v>0</v>
      </c>
      <c r="Y166" s="486">
        <f>SUM(W166:X166)</f>
        <v>0</v>
      </c>
      <c r="Z166" s="486">
        <f>V166+Y166</f>
        <v>0</v>
      </c>
      <c r="AA166" s="319">
        <f>ROUND((V166+W166)*33.8%,0)</f>
        <v>0</v>
      </c>
      <c r="AB166" s="178">
        <f>ROUND(V166*2%,0)</f>
        <v>0</v>
      </c>
      <c r="AC166" s="486">
        <v>0</v>
      </c>
      <c r="AD166" s="486">
        <v>0</v>
      </c>
      <c r="AE166" s="486">
        <f t="shared" si="225"/>
        <v>0</v>
      </c>
      <c r="AF166" s="486">
        <f t="shared" si="226"/>
        <v>0</v>
      </c>
      <c r="AG166" s="501">
        <v>0</v>
      </c>
      <c r="AH166" s="501">
        <v>0</v>
      </c>
      <c r="AI166" s="501">
        <v>0</v>
      </c>
      <c r="AJ166" s="501">
        <v>0</v>
      </c>
      <c r="AK166" s="501">
        <v>0</v>
      </c>
      <c r="AL166" s="501">
        <f t="shared" si="257"/>
        <v>0</v>
      </c>
      <c r="AM166" s="501">
        <f t="shared" si="258"/>
        <v>0</v>
      </c>
      <c r="AN166" s="529">
        <f t="shared" si="229"/>
        <v>0</v>
      </c>
      <c r="AO166" s="530">
        <f>I166+AF166</f>
        <v>1422219</v>
      </c>
      <c r="AP166" s="486">
        <f>J166+V166</f>
        <v>990902</v>
      </c>
      <c r="AQ166" s="486">
        <f>K166+Y166</f>
        <v>49625</v>
      </c>
      <c r="AR166" s="480">
        <f>L166</f>
        <v>0</v>
      </c>
      <c r="AS166" s="486">
        <f t="shared" si="259"/>
        <v>351698</v>
      </c>
      <c r="AT166" s="486">
        <f t="shared" si="259"/>
        <v>19818</v>
      </c>
      <c r="AU166" s="486">
        <f>O166+AE166</f>
        <v>10176</v>
      </c>
      <c r="AV166" s="501">
        <f>P166+AN166</f>
        <v>3.5300000000000002</v>
      </c>
      <c r="AW166" s="501">
        <f t="shared" si="260"/>
        <v>0</v>
      </c>
      <c r="AX166" s="502">
        <f t="shared" si="260"/>
        <v>3.5300000000000002</v>
      </c>
    </row>
    <row r="167" spans="1:50" ht="12.95" customHeight="1" x14ac:dyDescent="0.25">
      <c r="A167" s="305">
        <v>34</v>
      </c>
      <c r="B167" s="551">
        <v>5441</v>
      </c>
      <c r="C167" s="551">
        <v>600099270</v>
      </c>
      <c r="D167" s="83">
        <v>856118</v>
      </c>
      <c r="E167" s="552" t="s">
        <v>554</v>
      </c>
      <c r="F167" s="551">
        <v>3143</v>
      </c>
      <c r="G167" s="528" t="s">
        <v>634</v>
      </c>
      <c r="H167" s="494" t="s">
        <v>283</v>
      </c>
      <c r="I167" s="495">
        <v>1026796</v>
      </c>
      <c r="J167" s="496">
        <v>753719</v>
      </c>
      <c r="K167" s="496">
        <v>2425</v>
      </c>
      <c r="L167" s="496">
        <v>0</v>
      </c>
      <c r="M167" s="411">
        <v>255577</v>
      </c>
      <c r="N167" s="411">
        <v>15075</v>
      </c>
      <c r="O167" s="496">
        <v>0</v>
      </c>
      <c r="P167" s="497">
        <v>1.6</v>
      </c>
      <c r="Q167" s="412">
        <v>1.6</v>
      </c>
      <c r="R167" s="498">
        <v>0</v>
      </c>
      <c r="S167" s="499">
        <f t="shared" si="256"/>
        <v>0</v>
      </c>
      <c r="T167" s="486">
        <v>0</v>
      </c>
      <c r="U167" s="486">
        <v>0</v>
      </c>
      <c r="V167" s="486">
        <f>SUM(S167:U167)</f>
        <v>0</v>
      </c>
      <c r="W167" s="486">
        <v>0</v>
      </c>
      <c r="X167" s="486">
        <v>0</v>
      </c>
      <c r="Y167" s="486">
        <f>SUM(W167:X167)</f>
        <v>0</v>
      </c>
      <c r="Z167" s="486">
        <f>V167+Y167</f>
        <v>0</v>
      </c>
      <c r="AA167" s="319">
        <f>ROUND((V167+W167)*33.8%,0)</f>
        <v>0</v>
      </c>
      <c r="AB167" s="178">
        <f>ROUND(V167*2%,0)</f>
        <v>0</v>
      </c>
      <c r="AC167" s="486">
        <v>0</v>
      </c>
      <c r="AD167" s="486">
        <v>0</v>
      </c>
      <c r="AE167" s="486">
        <f t="shared" si="225"/>
        <v>0</v>
      </c>
      <c r="AF167" s="486">
        <f t="shared" si="226"/>
        <v>0</v>
      </c>
      <c r="AG167" s="501">
        <v>0</v>
      </c>
      <c r="AH167" s="501">
        <v>0</v>
      </c>
      <c r="AI167" s="501">
        <v>0</v>
      </c>
      <c r="AJ167" s="501">
        <v>0</v>
      </c>
      <c r="AK167" s="501">
        <v>0</v>
      </c>
      <c r="AL167" s="501">
        <f t="shared" si="257"/>
        <v>0</v>
      </c>
      <c r="AM167" s="501">
        <f t="shared" si="258"/>
        <v>0</v>
      </c>
      <c r="AN167" s="529">
        <f t="shared" si="229"/>
        <v>0</v>
      </c>
      <c r="AO167" s="530">
        <f>I167+AF167</f>
        <v>1026796</v>
      </c>
      <c r="AP167" s="486">
        <f>J167+V167</f>
        <v>753719</v>
      </c>
      <c r="AQ167" s="486">
        <f>K167+Y167</f>
        <v>2425</v>
      </c>
      <c r="AR167" s="480">
        <f>L167</f>
        <v>0</v>
      </c>
      <c r="AS167" s="486">
        <f t="shared" si="259"/>
        <v>255577</v>
      </c>
      <c r="AT167" s="486">
        <f t="shared" si="259"/>
        <v>15075</v>
      </c>
      <c r="AU167" s="486">
        <f>O167+AE167</f>
        <v>0</v>
      </c>
      <c r="AV167" s="501">
        <f>P167+AN167</f>
        <v>1.6</v>
      </c>
      <c r="AW167" s="501">
        <f t="shared" si="260"/>
        <v>1.6</v>
      </c>
      <c r="AX167" s="502">
        <f t="shared" si="260"/>
        <v>0</v>
      </c>
    </row>
    <row r="168" spans="1:50" ht="12.95" customHeight="1" x14ac:dyDescent="0.25">
      <c r="A168" s="305">
        <v>34</v>
      </c>
      <c r="B168" s="551">
        <v>5441</v>
      </c>
      <c r="C168" s="551">
        <v>600099270</v>
      </c>
      <c r="D168" s="83">
        <v>856118</v>
      </c>
      <c r="E168" s="552" t="s">
        <v>554</v>
      </c>
      <c r="F168" s="551">
        <v>3143</v>
      </c>
      <c r="G168" s="528" t="s">
        <v>635</v>
      </c>
      <c r="H168" s="494" t="s">
        <v>284</v>
      </c>
      <c r="I168" s="495">
        <v>35111</v>
      </c>
      <c r="J168" s="496">
        <v>24750</v>
      </c>
      <c r="K168" s="496">
        <v>0</v>
      </c>
      <c r="L168" s="496">
        <v>0</v>
      </c>
      <c r="M168" s="411">
        <v>8366</v>
      </c>
      <c r="N168" s="411">
        <v>495</v>
      </c>
      <c r="O168" s="496">
        <v>1500</v>
      </c>
      <c r="P168" s="497">
        <v>0.1</v>
      </c>
      <c r="Q168" s="412">
        <v>0</v>
      </c>
      <c r="R168" s="498">
        <v>0.1</v>
      </c>
      <c r="S168" s="499">
        <f t="shared" si="256"/>
        <v>0</v>
      </c>
      <c r="T168" s="486">
        <v>0</v>
      </c>
      <c r="U168" s="486">
        <v>0</v>
      </c>
      <c r="V168" s="486">
        <f>SUM(S168:U168)</f>
        <v>0</v>
      </c>
      <c r="W168" s="486">
        <v>0</v>
      </c>
      <c r="X168" s="486">
        <v>0</v>
      </c>
      <c r="Y168" s="486">
        <f>SUM(W168:X168)</f>
        <v>0</v>
      </c>
      <c r="Z168" s="486">
        <f>V168+Y168</f>
        <v>0</v>
      </c>
      <c r="AA168" s="319">
        <f>ROUND((V168+W168)*33.8%,0)</f>
        <v>0</v>
      </c>
      <c r="AB168" s="178">
        <f>ROUND(V168*2%,0)</f>
        <v>0</v>
      </c>
      <c r="AC168" s="486">
        <v>0</v>
      </c>
      <c r="AD168" s="486">
        <v>0</v>
      </c>
      <c r="AE168" s="486">
        <f t="shared" si="225"/>
        <v>0</v>
      </c>
      <c r="AF168" s="486">
        <f t="shared" si="226"/>
        <v>0</v>
      </c>
      <c r="AG168" s="501">
        <v>0</v>
      </c>
      <c r="AH168" s="501">
        <v>0</v>
      </c>
      <c r="AI168" s="501">
        <v>0</v>
      </c>
      <c r="AJ168" s="501">
        <v>0</v>
      </c>
      <c r="AK168" s="501">
        <v>0</v>
      </c>
      <c r="AL168" s="501">
        <f t="shared" si="257"/>
        <v>0</v>
      </c>
      <c r="AM168" s="501">
        <f t="shared" si="258"/>
        <v>0</v>
      </c>
      <c r="AN168" s="529">
        <f t="shared" si="229"/>
        <v>0</v>
      </c>
      <c r="AO168" s="530">
        <f>I168+AF168</f>
        <v>35111</v>
      </c>
      <c r="AP168" s="486">
        <f>J168+V168</f>
        <v>24750</v>
      </c>
      <c r="AQ168" s="486">
        <f>K168+Y168</f>
        <v>0</v>
      </c>
      <c r="AR168" s="480">
        <f>L168</f>
        <v>0</v>
      </c>
      <c r="AS168" s="486">
        <f t="shared" si="259"/>
        <v>8366</v>
      </c>
      <c r="AT168" s="486">
        <f t="shared" si="259"/>
        <v>495</v>
      </c>
      <c r="AU168" s="486">
        <f>O168+AE168</f>
        <v>1500</v>
      </c>
      <c r="AV168" s="501">
        <f>P168+AN168</f>
        <v>0.1</v>
      </c>
      <c r="AW168" s="501">
        <f t="shared" si="260"/>
        <v>0</v>
      </c>
      <c r="AX168" s="502">
        <f t="shared" si="260"/>
        <v>0.1</v>
      </c>
    </row>
    <row r="169" spans="1:50" ht="12.95" customHeight="1" x14ac:dyDescent="0.25">
      <c r="A169" s="307">
        <v>34</v>
      </c>
      <c r="B169" s="128">
        <v>5441</v>
      </c>
      <c r="C169" s="128">
        <v>600099270</v>
      </c>
      <c r="D169" s="128">
        <v>856118</v>
      </c>
      <c r="E169" s="554" t="s">
        <v>555</v>
      </c>
      <c r="F169" s="128"/>
      <c r="G169" s="554"/>
      <c r="H169" s="371"/>
      <c r="I169" s="133">
        <v>15613159</v>
      </c>
      <c r="J169" s="239">
        <v>11024857</v>
      </c>
      <c r="K169" s="239">
        <v>233114</v>
      </c>
      <c r="L169" s="239">
        <v>67814</v>
      </c>
      <c r="M169" s="239">
        <v>3768214</v>
      </c>
      <c r="N169" s="239">
        <v>220498</v>
      </c>
      <c r="O169" s="239">
        <v>366476</v>
      </c>
      <c r="P169" s="380">
        <v>24.158200000000001</v>
      </c>
      <c r="Q169" s="380">
        <v>15.783700000000001</v>
      </c>
      <c r="R169" s="396">
        <v>8.3744999999999994</v>
      </c>
      <c r="S169" s="239">
        <f t="shared" ref="S169:AN169" si="261">SUM(S164:S168)</f>
        <v>0</v>
      </c>
      <c r="T169" s="169">
        <f t="shared" si="261"/>
        <v>0</v>
      </c>
      <c r="U169" s="169">
        <f t="shared" si="261"/>
        <v>0</v>
      </c>
      <c r="V169" s="169">
        <f t="shared" si="261"/>
        <v>0</v>
      </c>
      <c r="W169" s="169">
        <f t="shared" si="261"/>
        <v>0</v>
      </c>
      <c r="X169" s="169">
        <f t="shared" si="261"/>
        <v>0</v>
      </c>
      <c r="Y169" s="169">
        <f t="shared" si="261"/>
        <v>0</v>
      </c>
      <c r="Z169" s="169">
        <f t="shared" si="261"/>
        <v>0</v>
      </c>
      <c r="AA169" s="169">
        <f t="shared" si="261"/>
        <v>0</v>
      </c>
      <c r="AB169" s="169">
        <f t="shared" si="261"/>
        <v>0</v>
      </c>
      <c r="AC169" s="169">
        <f t="shared" si="261"/>
        <v>0</v>
      </c>
      <c r="AD169" s="169">
        <f t="shared" si="261"/>
        <v>0</v>
      </c>
      <c r="AE169" s="169">
        <f t="shared" si="261"/>
        <v>0</v>
      </c>
      <c r="AF169" s="169">
        <f t="shared" si="261"/>
        <v>0</v>
      </c>
      <c r="AG169" s="316">
        <f t="shared" si="261"/>
        <v>0</v>
      </c>
      <c r="AH169" s="316">
        <f t="shared" si="261"/>
        <v>0</v>
      </c>
      <c r="AI169" s="316">
        <f t="shared" si="261"/>
        <v>0</v>
      </c>
      <c r="AJ169" s="316">
        <f t="shared" si="261"/>
        <v>0</v>
      </c>
      <c r="AK169" s="316">
        <f t="shared" si="261"/>
        <v>0</v>
      </c>
      <c r="AL169" s="316">
        <f t="shared" si="261"/>
        <v>0</v>
      </c>
      <c r="AM169" s="316">
        <f t="shared" si="261"/>
        <v>0</v>
      </c>
      <c r="AN169" s="389">
        <f t="shared" si="261"/>
        <v>0</v>
      </c>
      <c r="AO169" s="133">
        <f t="shared" ref="AO169:AX169" si="262">SUM(AO164:AO168)</f>
        <v>15613159</v>
      </c>
      <c r="AP169" s="169">
        <f t="shared" si="262"/>
        <v>11024857</v>
      </c>
      <c r="AQ169" s="169">
        <f t="shared" si="262"/>
        <v>233114</v>
      </c>
      <c r="AR169" s="169">
        <f t="shared" si="262"/>
        <v>67814</v>
      </c>
      <c r="AS169" s="169">
        <f t="shared" si="262"/>
        <v>3768214</v>
      </c>
      <c r="AT169" s="169">
        <f t="shared" si="262"/>
        <v>220498</v>
      </c>
      <c r="AU169" s="169">
        <f t="shared" si="262"/>
        <v>366476</v>
      </c>
      <c r="AV169" s="316">
        <f t="shared" si="262"/>
        <v>24.158200000000001</v>
      </c>
      <c r="AW169" s="316">
        <f t="shared" si="262"/>
        <v>15.783700000000001</v>
      </c>
      <c r="AX169" s="317">
        <f t="shared" si="262"/>
        <v>8.3744999999999994</v>
      </c>
    </row>
    <row r="170" spans="1:50" ht="12.95" customHeight="1" x14ac:dyDescent="0.25">
      <c r="A170" s="305">
        <v>35</v>
      </c>
      <c r="B170" s="555">
        <v>2306</v>
      </c>
      <c r="C170" s="555">
        <v>650025873</v>
      </c>
      <c r="D170" s="83">
        <v>70695946</v>
      </c>
      <c r="E170" s="552" t="s">
        <v>556</v>
      </c>
      <c r="F170" s="551">
        <v>3111</v>
      </c>
      <c r="G170" s="553" t="s">
        <v>331</v>
      </c>
      <c r="H170" s="494" t="s">
        <v>283</v>
      </c>
      <c r="I170" s="495">
        <v>2203565</v>
      </c>
      <c r="J170" s="496">
        <v>1602036</v>
      </c>
      <c r="K170" s="496">
        <v>0</v>
      </c>
      <c r="L170" s="496">
        <v>0</v>
      </c>
      <c r="M170" s="411">
        <v>541488</v>
      </c>
      <c r="N170" s="411">
        <v>32041</v>
      </c>
      <c r="O170" s="496">
        <v>28000</v>
      </c>
      <c r="P170" s="497">
        <v>3.9218000000000002</v>
      </c>
      <c r="Q170" s="412">
        <v>3</v>
      </c>
      <c r="R170" s="498">
        <v>0.92179999999999995</v>
      </c>
      <c r="S170" s="499">
        <f t="shared" ref="S170:S175" si="263">W170*-1</f>
        <v>0</v>
      </c>
      <c r="T170" s="486">
        <v>0</v>
      </c>
      <c r="U170" s="486">
        <v>0</v>
      </c>
      <c r="V170" s="486">
        <f t="shared" ref="V170:V175" si="264">SUM(S170:U170)</f>
        <v>0</v>
      </c>
      <c r="W170" s="486">
        <v>0</v>
      </c>
      <c r="X170" s="486">
        <v>0</v>
      </c>
      <c r="Y170" s="486">
        <f t="shared" ref="Y170:Y175" si="265">SUM(W170:X170)</f>
        <v>0</v>
      </c>
      <c r="Z170" s="486">
        <f t="shared" ref="Z170:Z175" si="266">V170+Y170</f>
        <v>0</v>
      </c>
      <c r="AA170" s="319">
        <f t="shared" ref="AA170:AA175" si="267">ROUND((V170+W170)*33.8%,0)</f>
        <v>0</v>
      </c>
      <c r="AB170" s="178">
        <f t="shared" ref="AB170:AB175" si="268">ROUND(V170*2%,0)</f>
        <v>0</v>
      </c>
      <c r="AC170" s="486">
        <v>0</v>
      </c>
      <c r="AD170" s="486">
        <v>0</v>
      </c>
      <c r="AE170" s="486">
        <f t="shared" si="225"/>
        <v>0</v>
      </c>
      <c r="AF170" s="486">
        <f t="shared" si="226"/>
        <v>0</v>
      </c>
      <c r="AG170" s="501">
        <v>0</v>
      </c>
      <c r="AH170" s="501">
        <v>0</v>
      </c>
      <c r="AI170" s="501">
        <v>0</v>
      </c>
      <c r="AJ170" s="501">
        <v>0</v>
      </c>
      <c r="AK170" s="501">
        <v>0</v>
      </c>
      <c r="AL170" s="501">
        <f t="shared" ref="AL170:AL175" si="269">AG170+AI170+AJ170</f>
        <v>0</v>
      </c>
      <c r="AM170" s="501">
        <f t="shared" ref="AM170:AM175" si="270">AH170+AK170</f>
        <v>0</v>
      </c>
      <c r="AN170" s="529">
        <f t="shared" si="229"/>
        <v>0</v>
      </c>
      <c r="AO170" s="530">
        <f t="shared" ref="AO170:AO175" si="271">I170+AF170</f>
        <v>2203565</v>
      </c>
      <c r="AP170" s="486">
        <f t="shared" ref="AP170:AP175" si="272">J170+V170</f>
        <v>1602036</v>
      </c>
      <c r="AQ170" s="486">
        <f t="shared" ref="AQ170:AQ175" si="273">K170+Y170</f>
        <v>0</v>
      </c>
      <c r="AR170" s="480">
        <f t="shared" ref="AR170:AR175" si="274">L170</f>
        <v>0</v>
      </c>
      <c r="AS170" s="486">
        <f t="shared" ref="AS170:AT175" si="275">M170+AA170</f>
        <v>541488</v>
      </c>
      <c r="AT170" s="486">
        <f t="shared" si="275"/>
        <v>32041</v>
      </c>
      <c r="AU170" s="486">
        <f t="shared" ref="AU170:AU175" si="276">O170+AE170</f>
        <v>28000</v>
      </c>
      <c r="AV170" s="501">
        <f t="shared" ref="AV170:AV175" si="277">P170+AN170</f>
        <v>3.9218000000000002</v>
      </c>
      <c r="AW170" s="501">
        <f t="shared" ref="AW170:AX175" si="278">Q170+AL170</f>
        <v>3</v>
      </c>
      <c r="AX170" s="502">
        <f t="shared" si="278"/>
        <v>0.92179999999999995</v>
      </c>
    </row>
    <row r="171" spans="1:50" ht="12.95" customHeight="1" x14ac:dyDescent="0.25">
      <c r="A171" s="305">
        <v>35</v>
      </c>
      <c r="B171" s="555">
        <v>2306</v>
      </c>
      <c r="C171" s="555">
        <v>650025873</v>
      </c>
      <c r="D171" s="83">
        <v>70695946</v>
      </c>
      <c r="E171" s="556" t="s">
        <v>556</v>
      </c>
      <c r="F171" s="555">
        <v>3117</v>
      </c>
      <c r="G171" s="552" t="s">
        <v>335</v>
      </c>
      <c r="H171" s="494" t="s">
        <v>283</v>
      </c>
      <c r="I171" s="495">
        <v>3189844</v>
      </c>
      <c r="J171" s="496">
        <v>2279384</v>
      </c>
      <c r="K171" s="496">
        <v>4440</v>
      </c>
      <c r="L171" s="496">
        <v>4440</v>
      </c>
      <c r="M171" s="411">
        <v>770432</v>
      </c>
      <c r="N171" s="411">
        <v>45588</v>
      </c>
      <c r="O171" s="496">
        <v>90000</v>
      </c>
      <c r="P171" s="497">
        <v>4.6417000000000002</v>
      </c>
      <c r="Q171" s="412">
        <v>2.8182</v>
      </c>
      <c r="R171" s="498">
        <v>1.8234999999999999</v>
      </c>
      <c r="S171" s="499">
        <f t="shared" si="263"/>
        <v>0</v>
      </c>
      <c r="T171" s="486">
        <v>0</v>
      </c>
      <c r="U171" s="486">
        <v>0</v>
      </c>
      <c r="V171" s="486">
        <f t="shared" si="264"/>
        <v>0</v>
      </c>
      <c r="W171" s="486">
        <v>0</v>
      </c>
      <c r="X171" s="486">
        <v>0</v>
      </c>
      <c r="Y171" s="486">
        <f t="shared" si="265"/>
        <v>0</v>
      </c>
      <c r="Z171" s="486">
        <f t="shared" si="266"/>
        <v>0</v>
      </c>
      <c r="AA171" s="319">
        <f t="shared" si="267"/>
        <v>0</v>
      </c>
      <c r="AB171" s="178">
        <f t="shared" si="268"/>
        <v>0</v>
      </c>
      <c r="AC171" s="486">
        <v>0</v>
      </c>
      <c r="AD171" s="486">
        <v>0</v>
      </c>
      <c r="AE171" s="486">
        <f t="shared" si="225"/>
        <v>0</v>
      </c>
      <c r="AF171" s="486">
        <f t="shared" si="226"/>
        <v>0</v>
      </c>
      <c r="AG171" s="501">
        <v>0</v>
      </c>
      <c r="AH171" s="501">
        <v>0</v>
      </c>
      <c r="AI171" s="501">
        <v>0</v>
      </c>
      <c r="AJ171" s="501">
        <v>0</v>
      </c>
      <c r="AK171" s="501">
        <v>0</v>
      </c>
      <c r="AL171" s="501">
        <f t="shared" si="269"/>
        <v>0</v>
      </c>
      <c r="AM171" s="501">
        <f t="shared" si="270"/>
        <v>0</v>
      </c>
      <c r="AN171" s="529">
        <f t="shared" si="229"/>
        <v>0</v>
      </c>
      <c r="AO171" s="530">
        <f t="shared" si="271"/>
        <v>3189844</v>
      </c>
      <c r="AP171" s="486">
        <f t="shared" si="272"/>
        <v>2279384</v>
      </c>
      <c r="AQ171" s="486">
        <f t="shared" si="273"/>
        <v>4440</v>
      </c>
      <c r="AR171" s="480">
        <f t="shared" si="274"/>
        <v>4440</v>
      </c>
      <c r="AS171" s="486">
        <f t="shared" si="275"/>
        <v>770432</v>
      </c>
      <c r="AT171" s="486">
        <f t="shared" si="275"/>
        <v>45588</v>
      </c>
      <c r="AU171" s="486">
        <f t="shared" si="276"/>
        <v>90000</v>
      </c>
      <c r="AV171" s="501">
        <f t="shared" si="277"/>
        <v>4.6417000000000002</v>
      </c>
      <c r="AW171" s="501">
        <f t="shared" si="278"/>
        <v>2.8182</v>
      </c>
      <c r="AX171" s="502">
        <f t="shared" si="278"/>
        <v>1.8234999999999999</v>
      </c>
    </row>
    <row r="172" spans="1:50" ht="12.95" customHeight="1" x14ac:dyDescent="0.25">
      <c r="A172" s="305">
        <v>35</v>
      </c>
      <c r="B172" s="551">
        <v>2306</v>
      </c>
      <c r="C172" s="551">
        <v>650025873</v>
      </c>
      <c r="D172" s="83">
        <v>70695946</v>
      </c>
      <c r="E172" s="556" t="s">
        <v>556</v>
      </c>
      <c r="F172" s="555">
        <v>3117</v>
      </c>
      <c r="G172" s="528" t="s">
        <v>318</v>
      </c>
      <c r="H172" s="494" t="s">
        <v>284</v>
      </c>
      <c r="I172" s="495">
        <v>2567</v>
      </c>
      <c r="J172" s="496">
        <v>1890</v>
      </c>
      <c r="K172" s="496">
        <v>0</v>
      </c>
      <c r="L172" s="496">
        <v>0</v>
      </c>
      <c r="M172" s="411">
        <v>639</v>
      </c>
      <c r="N172" s="411">
        <v>38</v>
      </c>
      <c r="O172" s="496">
        <v>0</v>
      </c>
      <c r="P172" s="497">
        <v>0</v>
      </c>
      <c r="Q172" s="412">
        <v>0</v>
      </c>
      <c r="R172" s="498">
        <v>0</v>
      </c>
      <c r="S172" s="499">
        <f t="shared" si="263"/>
        <v>0</v>
      </c>
      <c r="T172" s="486">
        <v>0</v>
      </c>
      <c r="U172" s="486">
        <v>0</v>
      </c>
      <c r="V172" s="486">
        <f t="shared" si="264"/>
        <v>0</v>
      </c>
      <c r="W172" s="486">
        <v>0</v>
      </c>
      <c r="X172" s="486">
        <v>0</v>
      </c>
      <c r="Y172" s="486">
        <f t="shared" si="265"/>
        <v>0</v>
      </c>
      <c r="Z172" s="486">
        <f t="shared" si="266"/>
        <v>0</v>
      </c>
      <c r="AA172" s="319">
        <f t="shared" si="267"/>
        <v>0</v>
      </c>
      <c r="AB172" s="178">
        <f t="shared" si="268"/>
        <v>0</v>
      </c>
      <c r="AC172" s="486">
        <v>0</v>
      </c>
      <c r="AD172" s="486">
        <v>0</v>
      </c>
      <c r="AE172" s="486">
        <f t="shared" si="225"/>
        <v>0</v>
      </c>
      <c r="AF172" s="486">
        <f t="shared" si="226"/>
        <v>0</v>
      </c>
      <c r="AG172" s="501">
        <v>0</v>
      </c>
      <c r="AH172" s="501">
        <v>0</v>
      </c>
      <c r="AI172" s="501">
        <v>0</v>
      </c>
      <c r="AJ172" s="501">
        <v>0</v>
      </c>
      <c r="AK172" s="501">
        <v>0</v>
      </c>
      <c r="AL172" s="501">
        <f t="shared" si="269"/>
        <v>0</v>
      </c>
      <c r="AM172" s="501">
        <f t="shared" si="270"/>
        <v>0</v>
      </c>
      <c r="AN172" s="529">
        <f t="shared" si="229"/>
        <v>0</v>
      </c>
      <c r="AO172" s="530">
        <f t="shared" si="271"/>
        <v>2567</v>
      </c>
      <c r="AP172" s="486">
        <f t="shared" si="272"/>
        <v>1890</v>
      </c>
      <c r="AQ172" s="486">
        <f t="shared" si="273"/>
        <v>0</v>
      </c>
      <c r="AR172" s="480">
        <f t="shared" si="274"/>
        <v>0</v>
      </c>
      <c r="AS172" s="486">
        <f t="shared" si="275"/>
        <v>639</v>
      </c>
      <c r="AT172" s="486">
        <f t="shared" si="275"/>
        <v>38</v>
      </c>
      <c r="AU172" s="486">
        <f t="shared" si="276"/>
        <v>0</v>
      </c>
      <c r="AV172" s="501">
        <f t="shared" si="277"/>
        <v>0</v>
      </c>
      <c r="AW172" s="501">
        <f t="shared" si="278"/>
        <v>0</v>
      </c>
      <c r="AX172" s="502">
        <f t="shared" si="278"/>
        <v>0</v>
      </c>
    </row>
    <row r="173" spans="1:50" ht="12.95" customHeight="1" x14ac:dyDescent="0.25">
      <c r="A173" s="305">
        <v>35</v>
      </c>
      <c r="B173" s="551">
        <v>2306</v>
      </c>
      <c r="C173" s="551">
        <v>650025873</v>
      </c>
      <c r="D173" s="83">
        <v>70695946</v>
      </c>
      <c r="E173" s="550" t="s">
        <v>556</v>
      </c>
      <c r="F173" s="561">
        <v>3141</v>
      </c>
      <c r="G173" s="553" t="s">
        <v>321</v>
      </c>
      <c r="H173" s="494" t="s">
        <v>284</v>
      </c>
      <c r="I173" s="495">
        <v>882197</v>
      </c>
      <c r="J173" s="496">
        <v>646640</v>
      </c>
      <c r="K173" s="496">
        <v>0</v>
      </c>
      <c r="L173" s="496">
        <v>0</v>
      </c>
      <c r="M173" s="411">
        <v>218564</v>
      </c>
      <c r="N173" s="411">
        <v>12933</v>
      </c>
      <c r="O173" s="496">
        <v>4060</v>
      </c>
      <c r="P173" s="497">
        <v>2.2000000000000002</v>
      </c>
      <c r="Q173" s="412">
        <v>0</v>
      </c>
      <c r="R173" s="498">
        <v>2.2000000000000002</v>
      </c>
      <c r="S173" s="499">
        <f t="shared" si="263"/>
        <v>0</v>
      </c>
      <c r="T173" s="486">
        <v>0</v>
      </c>
      <c r="U173" s="486">
        <v>0</v>
      </c>
      <c r="V173" s="486">
        <f t="shared" si="264"/>
        <v>0</v>
      </c>
      <c r="W173" s="486">
        <v>0</v>
      </c>
      <c r="X173" s="486">
        <v>0</v>
      </c>
      <c r="Y173" s="486">
        <f t="shared" si="265"/>
        <v>0</v>
      </c>
      <c r="Z173" s="486">
        <f t="shared" si="266"/>
        <v>0</v>
      </c>
      <c r="AA173" s="319">
        <f t="shared" si="267"/>
        <v>0</v>
      </c>
      <c r="AB173" s="178">
        <f t="shared" si="268"/>
        <v>0</v>
      </c>
      <c r="AC173" s="486">
        <v>0</v>
      </c>
      <c r="AD173" s="486">
        <v>0</v>
      </c>
      <c r="AE173" s="486">
        <f t="shared" si="225"/>
        <v>0</v>
      </c>
      <c r="AF173" s="486">
        <f t="shared" si="226"/>
        <v>0</v>
      </c>
      <c r="AG173" s="501">
        <v>0</v>
      </c>
      <c r="AH173" s="501">
        <v>0</v>
      </c>
      <c r="AI173" s="501">
        <v>0</v>
      </c>
      <c r="AJ173" s="501">
        <v>0</v>
      </c>
      <c r="AK173" s="501">
        <v>0</v>
      </c>
      <c r="AL173" s="501">
        <f t="shared" si="269"/>
        <v>0</v>
      </c>
      <c r="AM173" s="501">
        <f t="shared" si="270"/>
        <v>0</v>
      </c>
      <c r="AN173" s="529">
        <f t="shared" si="229"/>
        <v>0</v>
      </c>
      <c r="AO173" s="530">
        <f t="shared" si="271"/>
        <v>882197</v>
      </c>
      <c r="AP173" s="486">
        <f t="shared" si="272"/>
        <v>646640</v>
      </c>
      <c r="AQ173" s="486">
        <f t="shared" si="273"/>
        <v>0</v>
      </c>
      <c r="AR173" s="480">
        <f t="shared" si="274"/>
        <v>0</v>
      </c>
      <c r="AS173" s="486">
        <f t="shared" si="275"/>
        <v>218564</v>
      </c>
      <c r="AT173" s="486">
        <f t="shared" si="275"/>
        <v>12933</v>
      </c>
      <c r="AU173" s="486">
        <f t="shared" si="276"/>
        <v>4060</v>
      </c>
      <c r="AV173" s="501">
        <f t="shared" si="277"/>
        <v>2.2000000000000002</v>
      </c>
      <c r="AW173" s="501">
        <f t="shared" si="278"/>
        <v>0</v>
      </c>
      <c r="AX173" s="502">
        <f t="shared" si="278"/>
        <v>2.2000000000000002</v>
      </c>
    </row>
    <row r="174" spans="1:50" ht="12.95" customHeight="1" x14ac:dyDescent="0.25">
      <c r="A174" s="305">
        <v>35</v>
      </c>
      <c r="B174" s="551">
        <v>2306</v>
      </c>
      <c r="C174" s="551">
        <v>650025873</v>
      </c>
      <c r="D174" s="83">
        <v>70695946</v>
      </c>
      <c r="E174" s="556" t="s">
        <v>556</v>
      </c>
      <c r="F174" s="551">
        <v>3143</v>
      </c>
      <c r="G174" s="528" t="s">
        <v>634</v>
      </c>
      <c r="H174" s="494" t="s">
        <v>283</v>
      </c>
      <c r="I174" s="495">
        <v>479330</v>
      </c>
      <c r="J174" s="496">
        <v>352968</v>
      </c>
      <c r="K174" s="496">
        <v>0</v>
      </c>
      <c r="L174" s="496">
        <v>0</v>
      </c>
      <c r="M174" s="411">
        <v>119303</v>
      </c>
      <c r="N174" s="411">
        <v>7059</v>
      </c>
      <c r="O174" s="496">
        <v>0</v>
      </c>
      <c r="P174" s="497">
        <v>0.83309999999999995</v>
      </c>
      <c r="Q174" s="412">
        <v>0.83309999999999995</v>
      </c>
      <c r="R174" s="498">
        <v>0</v>
      </c>
      <c r="S174" s="499">
        <f t="shared" si="263"/>
        <v>0</v>
      </c>
      <c r="T174" s="486">
        <v>0</v>
      </c>
      <c r="U174" s="486">
        <v>0</v>
      </c>
      <c r="V174" s="486">
        <f t="shared" si="264"/>
        <v>0</v>
      </c>
      <c r="W174" s="486">
        <v>0</v>
      </c>
      <c r="X174" s="486">
        <v>0</v>
      </c>
      <c r="Y174" s="486">
        <f t="shared" si="265"/>
        <v>0</v>
      </c>
      <c r="Z174" s="486">
        <f t="shared" si="266"/>
        <v>0</v>
      </c>
      <c r="AA174" s="319">
        <f t="shared" si="267"/>
        <v>0</v>
      </c>
      <c r="AB174" s="178">
        <f t="shared" si="268"/>
        <v>0</v>
      </c>
      <c r="AC174" s="486">
        <v>0</v>
      </c>
      <c r="AD174" s="486">
        <v>0</v>
      </c>
      <c r="AE174" s="486">
        <f t="shared" si="225"/>
        <v>0</v>
      </c>
      <c r="AF174" s="486">
        <f t="shared" si="226"/>
        <v>0</v>
      </c>
      <c r="AG174" s="501">
        <v>0</v>
      </c>
      <c r="AH174" s="501">
        <v>0</v>
      </c>
      <c r="AI174" s="501">
        <v>0</v>
      </c>
      <c r="AJ174" s="501">
        <v>0</v>
      </c>
      <c r="AK174" s="501">
        <v>0</v>
      </c>
      <c r="AL174" s="501">
        <f t="shared" si="269"/>
        <v>0</v>
      </c>
      <c r="AM174" s="501">
        <f t="shared" si="270"/>
        <v>0</v>
      </c>
      <c r="AN174" s="529">
        <f t="shared" si="229"/>
        <v>0</v>
      </c>
      <c r="AO174" s="530">
        <f t="shared" si="271"/>
        <v>479330</v>
      </c>
      <c r="AP174" s="486">
        <f t="shared" si="272"/>
        <v>352968</v>
      </c>
      <c r="AQ174" s="486">
        <f t="shared" si="273"/>
        <v>0</v>
      </c>
      <c r="AR174" s="480">
        <f t="shared" si="274"/>
        <v>0</v>
      </c>
      <c r="AS174" s="486">
        <f t="shared" si="275"/>
        <v>119303</v>
      </c>
      <c r="AT174" s="486">
        <f t="shared" si="275"/>
        <v>7059</v>
      </c>
      <c r="AU174" s="486">
        <f t="shared" si="276"/>
        <v>0</v>
      </c>
      <c r="AV174" s="501">
        <f t="shared" si="277"/>
        <v>0.83309999999999995</v>
      </c>
      <c r="AW174" s="501">
        <f t="shared" si="278"/>
        <v>0.83309999999999995</v>
      </c>
      <c r="AX174" s="502">
        <f t="shared" si="278"/>
        <v>0</v>
      </c>
    </row>
    <row r="175" spans="1:50" ht="12.95" customHeight="1" x14ac:dyDescent="0.25">
      <c r="A175" s="305">
        <v>35</v>
      </c>
      <c r="B175" s="551">
        <v>2306</v>
      </c>
      <c r="C175" s="551">
        <v>650025873</v>
      </c>
      <c r="D175" s="83">
        <v>70695946</v>
      </c>
      <c r="E175" s="556" t="s">
        <v>556</v>
      </c>
      <c r="F175" s="551">
        <v>3143</v>
      </c>
      <c r="G175" s="528" t="s">
        <v>635</v>
      </c>
      <c r="H175" s="494" t="s">
        <v>284</v>
      </c>
      <c r="I175" s="495">
        <v>10534</v>
      </c>
      <c r="J175" s="496">
        <v>7425</v>
      </c>
      <c r="K175" s="496">
        <v>0</v>
      </c>
      <c r="L175" s="496">
        <v>0</v>
      </c>
      <c r="M175" s="411">
        <v>2510</v>
      </c>
      <c r="N175" s="411">
        <v>149</v>
      </c>
      <c r="O175" s="496">
        <v>450</v>
      </c>
      <c r="P175" s="497">
        <v>0.03</v>
      </c>
      <c r="Q175" s="412">
        <v>0</v>
      </c>
      <c r="R175" s="498">
        <v>0.03</v>
      </c>
      <c r="S175" s="499">
        <f t="shared" si="263"/>
        <v>0</v>
      </c>
      <c r="T175" s="486">
        <v>0</v>
      </c>
      <c r="U175" s="486">
        <v>0</v>
      </c>
      <c r="V175" s="486">
        <f t="shared" si="264"/>
        <v>0</v>
      </c>
      <c r="W175" s="486">
        <v>0</v>
      </c>
      <c r="X175" s="486">
        <v>0</v>
      </c>
      <c r="Y175" s="486">
        <f t="shared" si="265"/>
        <v>0</v>
      </c>
      <c r="Z175" s="486">
        <f t="shared" si="266"/>
        <v>0</v>
      </c>
      <c r="AA175" s="319">
        <f t="shared" si="267"/>
        <v>0</v>
      </c>
      <c r="AB175" s="178">
        <f t="shared" si="268"/>
        <v>0</v>
      </c>
      <c r="AC175" s="486">
        <v>0</v>
      </c>
      <c r="AD175" s="486">
        <v>0</v>
      </c>
      <c r="AE175" s="486">
        <f t="shared" si="225"/>
        <v>0</v>
      </c>
      <c r="AF175" s="486">
        <f t="shared" si="226"/>
        <v>0</v>
      </c>
      <c r="AG175" s="501">
        <v>0</v>
      </c>
      <c r="AH175" s="501">
        <v>0</v>
      </c>
      <c r="AI175" s="501">
        <v>0</v>
      </c>
      <c r="AJ175" s="501">
        <v>0</v>
      </c>
      <c r="AK175" s="501">
        <v>0</v>
      </c>
      <c r="AL175" s="501">
        <f t="shared" si="269"/>
        <v>0</v>
      </c>
      <c r="AM175" s="501">
        <f t="shared" si="270"/>
        <v>0</v>
      </c>
      <c r="AN175" s="529">
        <f t="shared" si="229"/>
        <v>0</v>
      </c>
      <c r="AO175" s="530">
        <f t="shared" si="271"/>
        <v>10534</v>
      </c>
      <c r="AP175" s="486">
        <f t="shared" si="272"/>
        <v>7425</v>
      </c>
      <c r="AQ175" s="486">
        <f t="shared" si="273"/>
        <v>0</v>
      </c>
      <c r="AR175" s="480">
        <f t="shared" si="274"/>
        <v>0</v>
      </c>
      <c r="AS175" s="486">
        <f t="shared" si="275"/>
        <v>2510</v>
      </c>
      <c r="AT175" s="486">
        <f t="shared" si="275"/>
        <v>149</v>
      </c>
      <c r="AU175" s="486">
        <f t="shared" si="276"/>
        <v>450</v>
      </c>
      <c r="AV175" s="501">
        <f t="shared" si="277"/>
        <v>0.03</v>
      </c>
      <c r="AW175" s="501">
        <f t="shared" si="278"/>
        <v>0</v>
      </c>
      <c r="AX175" s="502">
        <f t="shared" si="278"/>
        <v>0.03</v>
      </c>
    </row>
    <row r="176" spans="1:50" ht="12.95" customHeight="1" x14ac:dyDescent="0.25">
      <c r="A176" s="308">
        <v>35</v>
      </c>
      <c r="B176" s="128">
        <v>2306</v>
      </c>
      <c r="C176" s="128">
        <v>650025873</v>
      </c>
      <c r="D176" s="128">
        <v>70695946</v>
      </c>
      <c r="E176" s="554" t="s">
        <v>557</v>
      </c>
      <c r="F176" s="128"/>
      <c r="G176" s="554"/>
      <c r="H176" s="371"/>
      <c r="I176" s="130">
        <v>6768037</v>
      </c>
      <c r="J176" s="141">
        <v>4890343</v>
      </c>
      <c r="K176" s="141">
        <v>4440</v>
      </c>
      <c r="L176" s="141">
        <v>4440</v>
      </c>
      <c r="M176" s="141">
        <v>1652936</v>
      </c>
      <c r="N176" s="141">
        <v>97808</v>
      </c>
      <c r="O176" s="141">
        <v>122510</v>
      </c>
      <c r="P176" s="379">
        <v>11.6266</v>
      </c>
      <c r="Q176" s="379">
        <v>6.6513</v>
      </c>
      <c r="R176" s="395">
        <v>4.9752999999999998</v>
      </c>
      <c r="S176" s="141">
        <f t="shared" ref="S176:AN176" si="279">SUM(S170:S175)</f>
        <v>0</v>
      </c>
      <c r="T176" s="87">
        <f t="shared" si="279"/>
        <v>0</v>
      </c>
      <c r="U176" s="87">
        <f t="shared" si="279"/>
        <v>0</v>
      </c>
      <c r="V176" s="87">
        <f t="shared" si="279"/>
        <v>0</v>
      </c>
      <c r="W176" s="87">
        <f t="shared" si="279"/>
        <v>0</v>
      </c>
      <c r="X176" s="87">
        <f t="shared" si="279"/>
        <v>0</v>
      </c>
      <c r="Y176" s="87">
        <f t="shared" si="279"/>
        <v>0</v>
      </c>
      <c r="Z176" s="87">
        <f t="shared" si="279"/>
        <v>0</v>
      </c>
      <c r="AA176" s="87">
        <f t="shared" si="279"/>
        <v>0</v>
      </c>
      <c r="AB176" s="87">
        <f t="shared" si="279"/>
        <v>0</v>
      </c>
      <c r="AC176" s="87">
        <f t="shared" si="279"/>
        <v>0</v>
      </c>
      <c r="AD176" s="87">
        <f t="shared" si="279"/>
        <v>0</v>
      </c>
      <c r="AE176" s="87">
        <f t="shared" si="279"/>
        <v>0</v>
      </c>
      <c r="AF176" s="87">
        <f t="shared" si="279"/>
        <v>0</v>
      </c>
      <c r="AG176" s="88">
        <f t="shared" si="279"/>
        <v>0</v>
      </c>
      <c r="AH176" s="88">
        <f t="shared" si="279"/>
        <v>0</v>
      </c>
      <c r="AI176" s="88">
        <f t="shared" si="279"/>
        <v>0</v>
      </c>
      <c r="AJ176" s="88">
        <f t="shared" si="279"/>
        <v>0</v>
      </c>
      <c r="AK176" s="88">
        <f t="shared" si="279"/>
        <v>0</v>
      </c>
      <c r="AL176" s="88">
        <f t="shared" si="279"/>
        <v>0</v>
      </c>
      <c r="AM176" s="88">
        <f t="shared" si="279"/>
        <v>0</v>
      </c>
      <c r="AN176" s="388">
        <f t="shared" si="279"/>
        <v>0</v>
      </c>
      <c r="AO176" s="130">
        <f t="shared" ref="AO176:AX176" si="280">SUM(AO170:AO175)</f>
        <v>6768037</v>
      </c>
      <c r="AP176" s="87">
        <f t="shared" si="280"/>
        <v>4890343</v>
      </c>
      <c r="AQ176" s="87">
        <f t="shared" si="280"/>
        <v>4440</v>
      </c>
      <c r="AR176" s="87">
        <f t="shared" si="280"/>
        <v>4440</v>
      </c>
      <c r="AS176" s="87">
        <f t="shared" si="280"/>
        <v>1652936</v>
      </c>
      <c r="AT176" s="87">
        <f t="shared" si="280"/>
        <v>97808</v>
      </c>
      <c r="AU176" s="87">
        <f t="shared" si="280"/>
        <v>122510</v>
      </c>
      <c r="AV176" s="88">
        <f t="shared" si="280"/>
        <v>11.6266</v>
      </c>
      <c r="AW176" s="88">
        <f t="shared" si="280"/>
        <v>6.6513</v>
      </c>
      <c r="AX176" s="274">
        <f t="shared" si="280"/>
        <v>4.9752999999999998</v>
      </c>
    </row>
    <row r="177" spans="1:50" ht="12.95" customHeight="1" x14ac:dyDescent="0.25">
      <c r="A177" s="305">
        <v>36</v>
      </c>
      <c r="B177" s="560">
        <v>2447</v>
      </c>
      <c r="C177" s="560">
        <v>600080111</v>
      </c>
      <c r="D177" s="83">
        <v>72744961</v>
      </c>
      <c r="E177" s="566" t="s">
        <v>558</v>
      </c>
      <c r="F177" s="560">
        <v>3117</v>
      </c>
      <c r="G177" s="552" t="s">
        <v>335</v>
      </c>
      <c r="H177" s="494" t="s">
        <v>283</v>
      </c>
      <c r="I177" s="495">
        <v>3683769</v>
      </c>
      <c r="J177" s="496">
        <v>2585957</v>
      </c>
      <c r="K177" s="496">
        <v>24956</v>
      </c>
      <c r="L177" s="496">
        <v>6956</v>
      </c>
      <c r="M177" s="411">
        <v>880137</v>
      </c>
      <c r="N177" s="411">
        <v>51719</v>
      </c>
      <c r="O177" s="496">
        <v>141000</v>
      </c>
      <c r="P177" s="497">
        <v>4.7242999999999995</v>
      </c>
      <c r="Q177" s="412">
        <v>3.32</v>
      </c>
      <c r="R177" s="498">
        <v>1.4042999999999999</v>
      </c>
      <c r="S177" s="499">
        <f t="shared" ref="S177:S181" si="281">W177*-1</f>
        <v>0</v>
      </c>
      <c r="T177" s="486">
        <v>0</v>
      </c>
      <c r="U177" s="486">
        <v>0</v>
      </c>
      <c r="V177" s="486">
        <f>SUM(S177:U177)</f>
        <v>0</v>
      </c>
      <c r="W177" s="486">
        <v>0</v>
      </c>
      <c r="X177" s="486">
        <v>0</v>
      </c>
      <c r="Y177" s="486">
        <f>SUM(W177:X177)</f>
        <v>0</v>
      </c>
      <c r="Z177" s="486">
        <f>V177+Y177</f>
        <v>0</v>
      </c>
      <c r="AA177" s="319">
        <f>ROUND((V177+W177)*33.8%,0)</f>
        <v>0</v>
      </c>
      <c r="AB177" s="178">
        <f>ROUND(V177*2%,0)</f>
        <v>0</v>
      </c>
      <c r="AC177" s="486">
        <v>0</v>
      </c>
      <c r="AD177" s="486">
        <v>0</v>
      </c>
      <c r="AE177" s="486">
        <f t="shared" si="225"/>
        <v>0</v>
      </c>
      <c r="AF177" s="486">
        <f t="shared" si="226"/>
        <v>0</v>
      </c>
      <c r="AG177" s="501">
        <v>0</v>
      </c>
      <c r="AH177" s="501">
        <v>0</v>
      </c>
      <c r="AI177" s="501">
        <v>0</v>
      </c>
      <c r="AJ177" s="501">
        <v>0</v>
      </c>
      <c r="AK177" s="501">
        <v>0</v>
      </c>
      <c r="AL177" s="501">
        <f t="shared" ref="AL177:AL181" si="282">AG177+AI177+AJ177</f>
        <v>0</v>
      </c>
      <c r="AM177" s="501">
        <f t="shared" ref="AM177:AM181" si="283">AH177+AK177</f>
        <v>0</v>
      </c>
      <c r="AN177" s="529">
        <f t="shared" si="229"/>
        <v>0</v>
      </c>
      <c r="AO177" s="530">
        <f>I177+AF177</f>
        <v>3683769</v>
      </c>
      <c r="AP177" s="486">
        <f>J177+V177</f>
        <v>2585957</v>
      </c>
      <c r="AQ177" s="486">
        <f>K177+Y177</f>
        <v>24956</v>
      </c>
      <c r="AR177" s="480">
        <f>L177</f>
        <v>6956</v>
      </c>
      <c r="AS177" s="486">
        <f t="shared" ref="AS177:AT181" si="284">M177+AA177</f>
        <v>880137</v>
      </c>
      <c r="AT177" s="486">
        <f t="shared" si="284"/>
        <v>51719</v>
      </c>
      <c r="AU177" s="486">
        <f>O177+AE177</f>
        <v>141000</v>
      </c>
      <c r="AV177" s="501">
        <f>P177+AN177</f>
        <v>4.7242999999999995</v>
      </c>
      <c r="AW177" s="501">
        <f t="shared" ref="AW177:AX181" si="285">Q177+AL177</f>
        <v>3.32</v>
      </c>
      <c r="AX177" s="502">
        <f t="shared" si="285"/>
        <v>1.4042999999999999</v>
      </c>
    </row>
    <row r="178" spans="1:50" ht="12.95" customHeight="1" x14ac:dyDescent="0.25">
      <c r="A178" s="305">
        <v>36</v>
      </c>
      <c r="B178" s="555">
        <v>2447</v>
      </c>
      <c r="C178" s="555">
        <v>600080111</v>
      </c>
      <c r="D178" s="83">
        <v>72744961</v>
      </c>
      <c r="E178" s="556" t="s">
        <v>558</v>
      </c>
      <c r="F178" s="560">
        <v>3117</v>
      </c>
      <c r="G178" s="528" t="s">
        <v>318</v>
      </c>
      <c r="H178" s="494" t="s">
        <v>284</v>
      </c>
      <c r="I178" s="495">
        <v>7699</v>
      </c>
      <c r="J178" s="496">
        <v>5670</v>
      </c>
      <c r="K178" s="496">
        <v>0</v>
      </c>
      <c r="L178" s="496">
        <v>0</v>
      </c>
      <c r="M178" s="411">
        <v>1916</v>
      </c>
      <c r="N178" s="411">
        <v>113</v>
      </c>
      <c r="O178" s="496">
        <v>0</v>
      </c>
      <c r="P178" s="497">
        <v>0.01</v>
      </c>
      <c r="Q178" s="412">
        <v>0.01</v>
      </c>
      <c r="R178" s="498">
        <v>0</v>
      </c>
      <c r="S178" s="499">
        <f t="shared" si="281"/>
        <v>0</v>
      </c>
      <c r="T178" s="486">
        <v>0</v>
      </c>
      <c r="U178" s="486">
        <v>0</v>
      </c>
      <c r="V178" s="486">
        <f>SUM(S178:U178)</f>
        <v>0</v>
      </c>
      <c r="W178" s="486">
        <v>0</v>
      </c>
      <c r="X178" s="486">
        <v>0</v>
      </c>
      <c r="Y178" s="486">
        <f>SUM(W178:X178)</f>
        <v>0</v>
      </c>
      <c r="Z178" s="486">
        <f>V178+Y178</f>
        <v>0</v>
      </c>
      <c r="AA178" s="319">
        <f>ROUND((V178+W178)*33.8%,0)</f>
        <v>0</v>
      </c>
      <c r="AB178" s="178">
        <f>ROUND(V178*2%,0)</f>
        <v>0</v>
      </c>
      <c r="AC178" s="486">
        <v>0</v>
      </c>
      <c r="AD178" s="486">
        <v>0</v>
      </c>
      <c r="AE178" s="486">
        <f t="shared" si="225"/>
        <v>0</v>
      </c>
      <c r="AF178" s="486">
        <f t="shared" si="226"/>
        <v>0</v>
      </c>
      <c r="AG178" s="501">
        <v>0</v>
      </c>
      <c r="AH178" s="501">
        <v>0</v>
      </c>
      <c r="AI178" s="501">
        <v>0</v>
      </c>
      <c r="AJ178" s="501">
        <v>0</v>
      </c>
      <c r="AK178" s="501">
        <v>0</v>
      </c>
      <c r="AL178" s="501">
        <f t="shared" si="282"/>
        <v>0</v>
      </c>
      <c r="AM178" s="501">
        <f t="shared" si="283"/>
        <v>0</v>
      </c>
      <c r="AN178" s="529">
        <f t="shared" si="229"/>
        <v>0</v>
      </c>
      <c r="AO178" s="530">
        <f>I178+AF178</f>
        <v>7699</v>
      </c>
      <c r="AP178" s="486">
        <f>J178+V178</f>
        <v>5670</v>
      </c>
      <c r="AQ178" s="486">
        <f>K178+Y178</f>
        <v>0</v>
      </c>
      <c r="AR178" s="480">
        <f>L178</f>
        <v>0</v>
      </c>
      <c r="AS178" s="486">
        <f t="shared" si="284"/>
        <v>1916</v>
      </c>
      <c r="AT178" s="486">
        <f t="shared" si="284"/>
        <v>113</v>
      </c>
      <c r="AU178" s="486">
        <f>O178+AE178</f>
        <v>0</v>
      </c>
      <c r="AV178" s="501">
        <f>P178+AN178</f>
        <v>0.01</v>
      </c>
      <c r="AW178" s="501">
        <f t="shared" si="285"/>
        <v>0.01</v>
      </c>
      <c r="AX178" s="502">
        <f t="shared" si="285"/>
        <v>0</v>
      </c>
    </row>
    <row r="179" spans="1:50" ht="12.95" customHeight="1" x14ac:dyDescent="0.25">
      <c r="A179" s="305">
        <v>36</v>
      </c>
      <c r="B179" s="551">
        <v>2447</v>
      </c>
      <c r="C179" s="551">
        <v>600080111</v>
      </c>
      <c r="D179" s="83">
        <v>72744961</v>
      </c>
      <c r="E179" s="550" t="s">
        <v>558</v>
      </c>
      <c r="F179" s="561">
        <v>3141</v>
      </c>
      <c r="G179" s="553" t="s">
        <v>321</v>
      </c>
      <c r="H179" s="494" t="s">
        <v>284</v>
      </c>
      <c r="I179" s="495">
        <v>180426</v>
      </c>
      <c r="J179" s="496">
        <v>131603</v>
      </c>
      <c r="K179" s="496">
        <v>0</v>
      </c>
      <c r="L179" s="496">
        <v>0</v>
      </c>
      <c r="M179" s="411">
        <v>44481</v>
      </c>
      <c r="N179" s="411">
        <v>2632</v>
      </c>
      <c r="O179" s="496">
        <v>1710</v>
      </c>
      <c r="P179" s="497">
        <v>0.45</v>
      </c>
      <c r="Q179" s="412">
        <v>0</v>
      </c>
      <c r="R179" s="498">
        <v>0.45</v>
      </c>
      <c r="S179" s="499">
        <f t="shared" si="281"/>
        <v>0</v>
      </c>
      <c r="T179" s="486">
        <v>0</v>
      </c>
      <c r="U179" s="486">
        <v>0</v>
      </c>
      <c r="V179" s="486">
        <f>SUM(S179:U179)</f>
        <v>0</v>
      </c>
      <c r="W179" s="486">
        <v>0</v>
      </c>
      <c r="X179" s="486">
        <v>0</v>
      </c>
      <c r="Y179" s="486">
        <f>SUM(W179:X179)</f>
        <v>0</v>
      </c>
      <c r="Z179" s="486">
        <f>V179+Y179</f>
        <v>0</v>
      </c>
      <c r="AA179" s="319">
        <f>ROUND((V179+W179)*33.8%,0)</f>
        <v>0</v>
      </c>
      <c r="AB179" s="178">
        <f>ROUND(V179*2%,0)</f>
        <v>0</v>
      </c>
      <c r="AC179" s="486">
        <v>0</v>
      </c>
      <c r="AD179" s="486">
        <v>0</v>
      </c>
      <c r="AE179" s="486">
        <f t="shared" si="225"/>
        <v>0</v>
      </c>
      <c r="AF179" s="486">
        <f t="shared" si="226"/>
        <v>0</v>
      </c>
      <c r="AG179" s="501">
        <v>0</v>
      </c>
      <c r="AH179" s="501">
        <v>0</v>
      </c>
      <c r="AI179" s="501">
        <v>0</v>
      </c>
      <c r="AJ179" s="501">
        <v>0</v>
      </c>
      <c r="AK179" s="501">
        <v>0</v>
      </c>
      <c r="AL179" s="501">
        <f t="shared" si="282"/>
        <v>0</v>
      </c>
      <c r="AM179" s="501">
        <f t="shared" si="283"/>
        <v>0</v>
      </c>
      <c r="AN179" s="529">
        <f t="shared" si="229"/>
        <v>0</v>
      </c>
      <c r="AO179" s="530">
        <f>I179+AF179</f>
        <v>180426</v>
      </c>
      <c r="AP179" s="486">
        <f>J179+V179</f>
        <v>131603</v>
      </c>
      <c r="AQ179" s="486">
        <f>K179+Y179</f>
        <v>0</v>
      </c>
      <c r="AR179" s="480">
        <f>L179</f>
        <v>0</v>
      </c>
      <c r="AS179" s="486">
        <f t="shared" si="284"/>
        <v>44481</v>
      </c>
      <c r="AT179" s="486">
        <f t="shared" si="284"/>
        <v>2632</v>
      </c>
      <c r="AU179" s="486">
        <f>O179+AE179</f>
        <v>1710</v>
      </c>
      <c r="AV179" s="501">
        <f>P179+AN179</f>
        <v>0.45</v>
      </c>
      <c r="AW179" s="501">
        <f t="shared" si="285"/>
        <v>0</v>
      </c>
      <c r="AX179" s="502">
        <f t="shared" si="285"/>
        <v>0.45</v>
      </c>
    </row>
    <row r="180" spans="1:50" ht="12.95" customHeight="1" x14ac:dyDescent="0.25">
      <c r="A180" s="305">
        <v>36</v>
      </c>
      <c r="B180" s="555">
        <v>2447</v>
      </c>
      <c r="C180" s="555">
        <v>600080111</v>
      </c>
      <c r="D180" s="83">
        <v>72744961</v>
      </c>
      <c r="E180" s="556" t="s">
        <v>558</v>
      </c>
      <c r="F180" s="555">
        <v>3143</v>
      </c>
      <c r="G180" s="528" t="s">
        <v>634</v>
      </c>
      <c r="H180" s="494" t="s">
        <v>283</v>
      </c>
      <c r="I180" s="495">
        <v>655483</v>
      </c>
      <c r="J180" s="496">
        <v>482682</v>
      </c>
      <c r="K180" s="496">
        <v>0</v>
      </c>
      <c r="L180" s="496">
        <v>0</v>
      </c>
      <c r="M180" s="411">
        <v>163147</v>
      </c>
      <c r="N180" s="411">
        <v>9654</v>
      </c>
      <c r="O180" s="496">
        <v>0</v>
      </c>
      <c r="P180" s="497">
        <v>1</v>
      </c>
      <c r="Q180" s="412">
        <v>1</v>
      </c>
      <c r="R180" s="498">
        <v>0</v>
      </c>
      <c r="S180" s="499">
        <f t="shared" si="281"/>
        <v>0</v>
      </c>
      <c r="T180" s="486">
        <v>0</v>
      </c>
      <c r="U180" s="486">
        <v>0</v>
      </c>
      <c r="V180" s="486">
        <f>SUM(S180:U180)</f>
        <v>0</v>
      </c>
      <c r="W180" s="486">
        <v>0</v>
      </c>
      <c r="X180" s="486">
        <v>0</v>
      </c>
      <c r="Y180" s="486">
        <f>SUM(W180:X180)</f>
        <v>0</v>
      </c>
      <c r="Z180" s="486">
        <f>V180+Y180</f>
        <v>0</v>
      </c>
      <c r="AA180" s="319">
        <f>ROUND((V180+W180)*33.8%,0)</f>
        <v>0</v>
      </c>
      <c r="AB180" s="178">
        <f>ROUND(V180*2%,0)</f>
        <v>0</v>
      </c>
      <c r="AC180" s="486">
        <v>0</v>
      </c>
      <c r="AD180" s="486">
        <v>0</v>
      </c>
      <c r="AE180" s="486">
        <f t="shared" si="225"/>
        <v>0</v>
      </c>
      <c r="AF180" s="486">
        <f t="shared" si="226"/>
        <v>0</v>
      </c>
      <c r="AG180" s="501">
        <v>0</v>
      </c>
      <c r="AH180" s="501">
        <v>0</v>
      </c>
      <c r="AI180" s="501">
        <v>0</v>
      </c>
      <c r="AJ180" s="501">
        <v>0</v>
      </c>
      <c r="AK180" s="501">
        <v>0</v>
      </c>
      <c r="AL180" s="501">
        <f t="shared" si="282"/>
        <v>0</v>
      </c>
      <c r="AM180" s="501">
        <f t="shared" si="283"/>
        <v>0</v>
      </c>
      <c r="AN180" s="529">
        <f t="shared" si="229"/>
        <v>0</v>
      </c>
      <c r="AO180" s="530">
        <f>I180+AF180</f>
        <v>655483</v>
      </c>
      <c r="AP180" s="486">
        <f>J180+V180</f>
        <v>482682</v>
      </c>
      <c r="AQ180" s="486">
        <f>K180+Y180</f>
        <v>0</v>
      </c>
      <c r="AR180" s="480">
        <f>L180</f>
        <v>0</v>
      </c>
      <c r="AS180" s="486">
        <f t="shared" si="284"/>
        <v>163147</v>
      </c>
      <c r="AT180" s="486">
        <f t="shared" si="284"/>
        <v>9654</v>
      </c>
      <c r="AU180" s="486">
        <f>O180+AE180</f>
        <v>0</v>
      </c>
      <c r="AV180" s="501">
        <f>P180+AN180</f>
        <v>1</v>
      </c>
      <c r="AW180" s="501">
        <f t="shared" si="285"/>
        <v>1</v>
      </c>
      <c r="AX180" s="502">
        <f t="shared" si="285"/>
        <v>0</v>
      </c>
    </row>
    <row r="181" spans="1:50" ht="12.95" customHeight="1" x14ac:dyDescent="0.25">
      <c r="A181" s="305">
        <v>36</v>
      </c>
      <c r="B181" s="555">
        <v>2447</v>
      </c>
      <c r="C181" s="555">
        <v>600080111</v>
      </c>
      <c r="D181" s="83">
        <v>72744961</v>
      </c>
      <c r="E181" s="556" t="s">
        <v>558</v>
      </c>
      <c r="F181" s="555">
        <v>3143</v>
      </c>
      <c r="G181" s="528" t="s">
        <v>635</v>
      </c>
      <c r="H181" s="494" t="s">
        <v>284</v>
      </c>
      <c r="I181" s="495">
        <v>21066</v>
      </c>
      <c r="J181" s="496">
        <v>14850</v>
      </c>
      <c r="K181" s="496">
        <v>0</v>
      </c>
      <c r="L181" s="496">
        <v>0</v>
      </c>
      <c r="M181" s="411">
        <v>5019</v>
      </c>
      <c r="N181" s="411">
        <v>297</v>
      </c>
      <c r="O181" s="496">
        <v>900</v>
      </c>
      <c r="P181" s="497">
        <v>0.06</v>
      </c>
      <c r="Q181" s="412">
        <v>0</v>
      </c>
      <c r="R181" s="498">
        <v>0.06</v>
      </c>
      <c r="S181" s="499">
        <f t="shared" si="281"/>
        <v>0</v>
      </c>
      <c r="T181" s="486">
        <v>0</v>
      </c>
      <c r="U181" s="486">
        <v>0</v>
      </c>
      <c r="V181" s="486">
        <f>SUM(S181:U181)</f>
        <v>0</v>
      </c>
      <c r="W181" s="486">
        <v>0</v>
      </c>
      <c r="X181" s="486">
        <v>0</v>
      </c>
      <c r="Y181" s="486">
        <f>SUM(W181:X181)</f>
        <v>0</v>
      </c>
      <c r="Z181" s="486">
        <f>V181+Y181</f>
        <v>0</v>
      </c>
      <c r="AA181" s="319">
        <f>ROUND((V181+W181)*33.8%,0)</f>
        <v>0</v>
      </c>
      <c r="AB181" s="178">
        <f>ROUND(V181*2%,0)</f>
        <v>0</v>
      </c>
      <c r="AC181" s="486">
        <v>0</v>
      </c>
      <c r="AD181" s="486">
        <v>0</v>
      </c>
      <c r="AE181" s="486">
        <f t="shared" si="225"/>
        <v>0</v>
      </c>
      <c r="AF181" s="486">
        <f t="shared" si="226"/>
        <v>0</v>
      </c>
      <c r="AG181" s="501">
        <v>0</v>
      </c>
      <c r="AH181" s="501">
        <v>0</v>
      </c>
      <c r="AI181" s="501">
        <v>0</v>
      </c>
      <c r="AJ181" s="501">
        <v>0</v>
      </c>
      <c r="AK181" s="501">
        <v>0</v>
      </c>
      <c r="AL181" s="501">
        <f t="shared" si="282"/>
        <v>0</v>
      </c>
      <c r="AM181" s="501">
        <f t="shared" si="283"/>
        <v>0</v>
      </c>
      <c r="AN181" s="529">
        <f t="shared" si="229"/>
        <v>0</v>
      </c>
      <c r="AO181" s="530">
        <f>I181+AF181</f>
        <v>21066</v>
      </c>
      <c r="AP181" s="486">
        <f>J181+V181</f>
        <v>14850</v>
      </c>
      <c r="AQ181" s="486">
        <f>K181+Y181</f>
        <v>0</v>
      </c>
      <c r="AR181" s="480">
        <f>L181</f>
        <v>0</v>
      </c>
      <c r="AS181" s="486">
        <f t="shared" si="284"/>
        <v>5019</v>
      </c>
      <c r="AT181" s="486">
        <f t="shared" si="284"/>
        <v>297</v>
      </c>
      <c r="AU181" s="486">
        <f>O181+AE181</f>
        <v>900</v>
      </c>
      <c r="AV181" s="501">
        <f>P181+AN181</f>
        <v>0.06</v>
      </c>
      <c r="AW181" s="501">
        <f t="shared" si="285"/>
        <v>0</v>
      </c>
      <c r="AX181" s="502">
        <f t="shared" si="285"/>
        <v>0.06</v>
      </c>
    </row>
    <row r="182" spans="1:50" ht="12.95" customHeight="1" x14ac:dyDescent="0.25">
      <c r="A182" s="308">
        <v>36</v>
      </c>
      <c r="B182" s="131">
        <v>2447</v>
      </c>
      <c r="C182" s="131">
        <v>600080111</v>
      </c>
      <c r="D182" s="131">
        <v>72744961</v>
      </c>
      <c r="E182" s="558" t="s">
        <v>559</v>
      </c>
      <c r="F182" s="131"/>
      <c r="G182" s="558"/>
      <c r="H182" s="372"/>
      <c r="I182" s="130">
        <v>4548443</v>
      </c>
      <c r="J182" s="141">
        <v>3220762</v>
      </c>
      <c r="K182" s="141">
        <v>24956</v>
      </c>
      <c r="L182" s="141">
        <v>6956</v>
      </c>
      <c r="M182" s="141">
        <v>1094700</v>
      </c>
      <c r="N182" s="141">
        <v>64415</v>
      </c>
      <c r="O182" s="141">
        <v>143610</v>
      </c>
      <c r="P182" s="379">
        <v>6.2442999999999991</v>
      </c>
      <c r="Q182" s="379">
        <v>4.33</v>
      </c>
      <c r="R182" s="395">
        <v>1.9142999999999999</v>
      </c>
      <c r="S182" s="141">
        <f t="shared" ref="S182:AN182" si="286">SUM(S177:S181)</f>
        <v>0</v>
      </c>
      <c r="T182" s="87">
        <f t="shared" si="286"/>
        <v>0</v>
      </c>
      <c r="U182" s="87">
        <f t="shared" si="286"/>
        <v>0</v>
      </c>
      <c r="V182" s="87">
        <f t="shared" si="286"/>
        <v>0</v>
      </c>
      <c r="W182" s="87">
        <f t="shared" si="286"/>
        <v>0</v>
      </c>
      <c r="X182" s="87">
        <f t="shared" si="286"/>
        <v>0</v>
      </c>
      <c r="Y182" s="87">
        <f t="shared" si="286"/>
        <v>0</v>
      </c>
      <c r="Z182" s="87">
        <f t="shared" si="286"/>
        <v>0</v>
      </c>
      <c r="AA182" s="87">
        <f t="shared" si="286"/>
        <v>0</v>
      </c>
      <c r="AB182" s="87">
        <f t="shared" si="286"/>
        <v>0</v>
      </c>
      <c r="AC182" s="87">
        <f t="shared" si="286"/>
        <v>0</v>
      </c>
      <c r="AD182" s="87">
        <f t="shared" si="286"/>
        <v>0</v>
      </c>
      <c r="AE182" s="87">
        <f t="shared" si="286"/>
        <v>0</v>
      </c>
      <c r="AF182" s="87">
        <f t="shared" si="286"/>
        <v>0</v>
      </c>
      <c r="AG182" s="88">
        <f t="shared" si="286"/>
        <v>0</v>
      </c>
      <c r="AH182" s="88">
        <f t="shared" si="286"/>
        <v>0</v>
      </c>
      <c r="AI182" s="88">
        <f t="shared" si="286"/>
        <v>0</v>
      </c>
      <c r="AJ182" s="88">
        <f t="shared" si="286"/>
        <v>0</v>
      </c>
      <c r="AK182" s="88">
        <f t="shared" si="286"/>
        <v>0</v>
      </c>
      <c r="AL182" s="88">
        <f t="shared" si="286"/>
        <v>0</v>
      </c>
      <c r="AM182" s="88">
        <f t="shared" si="286"/>
        <v>0</v>
      </c>
      <c r="AN182" s="388">
        <f t="shared" si="286"/>
        <v>0</v>
      </c>
      <c r="AO182" s="130">
        <f t="shared" ref="AO182:AX182" si="287">SUM(AO177:AO181)</f>
        <v>4548443</v>
      </c>
      <c r="AP182" s="87">
        <f t="shared" si="287"/>
        <v>3220762</v>
      </c>
      <c r="AQ182" s="87">
        <f t="shared" si="287"/>
        <v>24956</v>
      </c>
      <c r="AR182" s="87">
        <f t="shared" si="287"/>
        <v>6956</v>
      </c>
      <c r="AS182" s="87">
        <f t="shared" si="287"/>
        <v>1094700</v>
      </c>
      <c r="AT182" s="87">
        <f t="shared" si="287"/>
        <v>64415</v>
      </c>
      <c r="AU182" s="87">
        <f t="shared" si="287"/>
        <v>143610</v>
      </c>
      <c r="AV182" s="88">
        <f t="shared" si="287"/>
        <v>6.2442999999999991</v>
      </c>
      <c r="AW182" s="88">
        <f t="shared" si="287"/>
        <v>4.33</v>
      </c>
      <c r="AX182" s="274">
        <f t="shared" si="287"/>
        <v>1.9142999999999999</v>
      </c>
    </row>
    <row r="183" spans="1:50" ht="12.95" customHeight="1" x14ac:dyDescent="0.25">
      <c r="A183" s="305">
        <v>37</v>
      </c>
      <c r="B183" s="551">
        <v>5455</v>
      </c>
      <c r="C183" s="551">
        <v>600099067</v>
      </c>
      <c r="D183" s="83">
        <v>70986088</v>
      </c>
      <c r="E183" s="550" t="s">
        <v>560</v>
      </c>
      <c r="F183" s="561">
        <v>3111</v>
      </c>
      <c r="G183" s="553" t="s">
        <v>331</v>
      </c>
      <c r="H183" s="494" t="s">
        <v>283</v>
      </c>
      <c r="I183" s="495">
        <v>2643074</v>
      </c>
      <c r="J183" s="496">
        <v>1927742</v>
      </c>
      <c r="K183" s="496">
        <v>0</v>
      </c>
      <c r="L183" s="496">
        <v>0</v>
      </c>
      <c r="M183" s="411">
        <v>651577</v>
      </c>
      <c r="N183" s="411">
        <v>38555</v>
      </c>
      <c r="O183" s="496">
        <v>25200</v>
      </c>
      <c r="P183" s="497">
        <v>4.9218000000000002</v>
      </c>
      <c r="Q183" s="412">
        <v>4</v>
      </c>
      <c r="R183" s="498">
        <v>0.92179999999999995</v>
      </c>
      <c r="S183" s="499">
        <f t="shared" ref="S183:S187" si="288">W183*-1</f>
        <v>0</v>
      </c>
      <c r="T183" s="486">
        <v>0</v>
      </c>
      <c r="U183" s="486">
        <v>0</v>
      </c>
      <c r="V183" s="486">
        <f>SUM(S183:U183)</f>
        <v>0</v>
      </c>
      <c r="W183" s="486">
        <v>0</v>
      </c>
      <c r="X183" s="486">
        <v>0</v>
      </c>
      <c r="Y183" s="486">
        <f>SUM(W183:X183)</f>
        <v>0</v>
      </c>
      <c r="Z183" s="486">
        <f>V183+Y183</f>
        <v>0</v>
      </c>
      <c r="AA183" s="319">
        <f>ROUND((V183+W183)*33.8%,0)</f>
        <v>0</v>
      </c>
      <c r="AB183" s="178">
        <f>ROUND(V183*2%,0)</f>
        <v>0</v>
      </c>
      <c r="AC183" s="486">
        <v>0</v>
      </c>
      <c r="AD183" s="486">
        <v>0</v>
      </c>
      <c r="AE183" s="486">
        <f t="shared" si="225"/>
        <v>0</v>
      </c>
      <c r="AF183" s="486">
        <f t="shared" si="226"/>
        <v>0</v>
      </c>
      <c r="AG183" s="501">
        <v>0</v>
      </c>
      <c r="AH183" s="501">
        <v>0</v>
      </c>
      <c r="AI183" s="501">
        <v>0</v>
      </c>
      <c r="AJ183" s="501">
        <v>0</v>
      </c>
      <c r="AK183" s="501">
        <v>0</v>
      </c>
      <c r="AL183" s="501">
        <f t="shared" ref="AL183:AL187" si="289">AG183+AI183+AJ183</f>
        <v>0</v>
      </c>
      <c r="AM183" s="501">
        <f t="shared" ref="AM183:AM187" si="290">AH183+AK183</f>
        <v>0</v>
      </c>
      <c r="AN183" s="529">
        <f t="shared" si="229"/>
        <v>0</v>
      </c>
      <c r="AO183" s="530">
        <f>I183+AF183</f>
        <v>2643074</v>
      </c>
      <c r="AP183" s="486">
        <f>J183+V183</f>
        <v>1927742</v>
      </c>
      <c r="AQ183" s="486">
        <f>K183+Y183</f>
        <v>0</v>
      </c>
      <c r="AR183" s="480">
        <f>L183</f>
        <v>0</v>
      </c>
      <c r="AS183" s="486">
        <f t="shared" ref="AS183:AT187" si="291">M183+AA183</f>
        <v>651577</v>
      </c>
      <c r="AT183" s="486">
        <f t="shared" si="291"/>
        <v>38555</v>
      </c>
      <c r="AU183" s="486">
        <f>O183+AE183</f>
        <v>25200</v>
      </c>
      <c r="AV183" s="501">
        <f>P183+AN183</f>
        <v>4.9218000000000002</v>
      </c>
      <c r="AW183" s="501">
        <f t="shared" ref="AW183:AX187" si="292">Q183+AL183</f>
        <v>4</v>
      </c>
      <c r="AX183" s="502">
        <f t="shared" si="292"/>
        <v>0.92179999999999995</v>
      </c>
    </row>
    <row r="184" spans="1:50" ht="12.95" customHeight="1" x14ac:dyDescent="0.25">
      <c r="A184" s="305">
        <v>37</v>
      </c>
      <c r="B184" s="560">
        <v>5455</v>
      </c>
      <c r="C184" s="560">
        <v>600099067</v>
      </c>
      <c r="D184" s="83">
        <v>70986088</v>
      </c>
      <c r="E184" s="566" t="s">
        <v>560</v>
      </c>
      <c r="F184" s="560">
        <v>3117</v>
      </c>
      <c r="G184" s="552" t="s">
        <v>335</v>
      </c>
      <c r="H184" s="494" t="s">
        <v>283</v>
      </c>
      <c r="I184" s="495">
        <v>2936432</v>
      </c>
      <c r="J184" s="496">
        <v>2106686</v>
      </c>
      <c r="K184" s="496">
        <v>3552</v>
      </c>
      <c r="L184" s="496">
        <v>3552</v>
      </c>
      <c r="M184" s="411">
        <v>712060</v>
      </c>
      <c r="N184" s="411">
        <v>42134</v>
      </c>
      <c r="O184" s="496">
        <v>72000</v>
      </c>
      <c r="P184" s="497">
        <v>3.8780000000000001</v>
      </c>
      <c r="Q184" s="412">
        <v>2.4544999999999999</v>
      </c>
      <c r="R184" s="498">
        <v>1.4235</v>
      </c>
      <c r="S184" s="499">
        <f t="shared" si="288"/>
        <v>0</v>
      </c>
      <c r="T184" s="486">
        <v>0</v>
      </c>
      <c r="U184" s="486">
        <v>0</v>
      </c>
      <c r="V184" s="486">
        <f>SUM(S184:U184)</f>
        <v>0</v>
      </c>
      <c r="W184" s="486">
        <v>0</v>
      </c>
      <c r="X184" s="486">
        <v>0</v>
      </c>
      <c r="Y184" s="486">
        <f>SUM(W184:X184)</f>
        <v>0</v>
      </c>
      <c r="Z184" s="486">
        <f>V184+Y184</f>
        <v>0</v>
      </c>
      <c r="AA184" s="319">
        <f>ROUND((V184+W184)*33.8%,0)</f>
        <v>0</v>
      </c>
      <c r="AB184" s="178">
        <f>ROUND(V184*2%,0)</f>
        <v>0</v>
      </c>
      <c r="AC184" s="486">
        <v>0</v>
      </c>
      <c r="AD184" s="486">
        <v>0</v>
      </c>
      <c r="AE184" s="486">
        <f t="shared" si="225"/>
        <v>0</v>
      </c>
      <c r="AF184" s="486">
        <f t="shared" si="226"/>
        <v>0</v>
      </c>
      <c r="AG184" s="501">
        <v>0</v>
      </c>
      <c r="AH184" s="501">
        <v>0</v>
      </c>
      <c r="AI184" s="501">
        <v>0</v>
      </c>
      <c r="AJ184" s="501">
        <v>0</v>
      </c>
      <c r="AK184" s="501">
        <v>0</v>
      </c>
      <c r="AL184" s="501">
        <f t="shared" si="289"/>
        <v>0</v>
      </c>
      <c r="AM184" s="501">
        <f t="shared" si="290"/>
        <v>0</v>
      </c>
      <c r="AN184" s="529">
        <f t="shared" si="229"/>
        <v>0</v>
      </c>
      <c r="AO184" s="530">
        <f>I184+AF184</f>
        <v>2936432</v>
      </c>
      <c r="AP184" s="486">
        <f>J184+V184</f>
        <v>2106686</v>
      </c>
      <c r="AQ184" s="486">
        <f>K184+Y184</f>
        <v>3552</v>
      </c>
      <c r="AR184" s="480">
        <f>L184</f>
        <v>3552</v>
      </c>
      <c r="AS184" s="486">
        <f t="shared" si="291"/>
        <v>712060</v>
      </c>
      <c r="AT184" s="486">
        <f t="shared" si="291"/>
        <v>42134</v>
      </c>
      <c r="AU184" s="486">
        <f>O184+AE184</f>
        <v>72000</v>
      </c>
      <c r="AV184" s="501">
        <f>P184+AN184</f>
        <v>3.8780000000000001</v>
      </c>
      <c r="AW184" s="501">
        <f t="shared" si="292"/>
        <v>2.4544999999999999</v>
      </c>
      <c r="AX184" s="502">
        <f t="shared" si="292"/>
        <v>1.4235</v>
      </c>
    </row>
    <row r="185" spans="1:50" ht="12.95" customHeight="1" x14ac:dyDescent="0.25">
      <c r="A185" s="305">
        <v>37</v>
      </c>
      <c r="B185" s="551">
        <v>5455</v>
      </c>
      <c r="C185" s="551">
        <v>600099067</v>
      </c>
      <c r="D185" s="83">
        <v>70986088</v>
      </c>
      <c r="E185" s="552" t="s">
        <v>560</v>
      </c>
      <c r="F185" s="551">
        <v>3141</v>
      </c>
      <c r="G185" s="553" t="s">
        <v>321</v>
      </c>
      <c r="H185" s="494" t="s">
        <v>284</v>
      </c>
      <c r="I185" s="495">
        <v>794544</v>
      </c>
      <c r="J185" s="496">
        <v>582522</v>
      </c>
      <c r="K185" s="496">
        <v>0</v>
      </c>
      <c r="L185" s="496">
        <v>0</v>
      </c>
      <c r="M185" s="411">
        <v>196892</v>
      </c>
      <c r="N185" s="411">
        <v>11650</v>
      </c>
      <c r="O185" s="496">
        <v>3480</v>
      </c>
      <c r="P185" s="497">
        <v>1.98</v>
      </c>
      <c r="Q185" s="412">
        <v>0</v>
      </c>
      <c r="R185" s="498">
        <v>1.98</v>
      </c>
      <c r="S185" s="499">
        <f t="shared" si="288"/>
        <v>0</v>
      </c>
      <c r="T185" s="486">
        <v>0</v>
      </c>
      <c r="U185" s="486">
        <v>0</v>
      </c>
      <c r="V185" s="486">
        <f>SUM(S185:U185)</f>
        <v>0</v>
      </c>
      <c r="W185" s="486">
        <v>0</v>
      </c>
      <c r="X185" s="486">
        <v>0</v>
      </c>
      <c r="Y185" s="486">
        <f>SUM(W185:X185)</f>
        <v>0</v>
      </c>
      <c r="Z185" s="486">
        <f>V185+Y185</f>
        <v>0</v>
      </c>
      <c r="AA185" s="319">
        <f>ROUND((V185+W185)*33.8%,0)</f>
        <v>0</v>
      </c>
      <c r="AB185" s="178">
        <f>ROUND(V185*2%,0)</f>
        <v>0</v>
      </c>
      <c r="AC185" s="486">
        <v>0</v>
      </c>
      <c r="AD185" s="486">
        <v>0</v>
      </c>
      <c r="AE185" s="486">
        <f t="shared" si="225"/>
        <v>0</v>
      </c>
      <c r="AF185" s="486">
        <f t="shared" si="226"/>
        <v>0</v>
      </c>
      <c r="AG185" s="501">
        <v>0</v>
      </c>
      <c r="AH185" s="501">
        <v>0</v>
      </c>
      <c r="AI185" s="501">
        <v>0</v>
      </c>
      <c r="AJ185" s="501">
        <v>0</v>
      </c>
      <c r="AK185" s="501">
        <v>0</v>
      </c>
      <c r="AL185" s="501">
        <f t="shared" si="289"/>
        <v>0</v>
      </c>
      <c r="AM185" s="501">
        <f t="shared" si="290"/>
        <v>0</v>
      </c>
      <c r="AN185" s="529">
        <f t="shared" si="229"/>
        <v>0</v>
      </c>
      <c r="AO185" s="530">
        <f>I185+AF185</f>
        <v>794544</v>
      </c>
      <c r="AP185" s="486">
        <f>J185+V185</f>
        <v>582522</v>
      </c>
      <c r="AQ185" s="486">
        <f>K185+Y185</f>
        <v>0</v>
      </c>
      <c r="AR185" s="480">
        <f>L185</f>
        <v>0</v>
      </c>
      <c r="AS185" s="486">
        <f t="shared" si="291"/>
        <v>196892</v>
      </c>
      <c r="AT185" s="486">
        <f t="shared" si="291"/>
        <v>11650</v>
      </c>
      <c r="AU185" s="486">
        <f>O185+AE185</f>
        <v>3480</v>
      </c>
      <c r="AV185" s="501">
        <f>P185+AN185</f>
        <v>1.98</v>
      </c>
      <c r="AW185" s="501">
        <f t="shared" si="292"/>
        <v>0</v>
      </c>
      <c r="AX185" s="502">
        <f t="shared" si="292"/>
        <v>1.98</v>
      </c>
    </row>
    <row r="186" spans="1:50" ht="12.95" customHeight="1" x14ac:dyDescent="0.25">
      <c r="A186" s="305">
        <v>37</v>
      </c>
      <c r="B186" s="551">
        <v>5455</v>
      </c>
      <c r="C186" s="551">
        <v>600099067</v>
      </c>
      <c r="D186" s="83">
        <v>70986088</v>
      </c>
      <c r="E186" s="550" t="s">
        <v>560</v>
      </c>
      <c r="F186" s="561">
        <v>3143</v>
      </c>
      <c r="G186" s="528" t="s">
        <v>634</v>
      </c>
      <c r="H186" s="494" t="s">
        <v>283</v>
      </c>
      <c r="I186" s="495">
        <v>465959</v>
      </c>
      <c r="J186" s="496">
        <v>343122</v>
      </c>
      <c r="K186" s="496">
        <v>0</v>
      </c>
      <c r="L186" s="496">
        <v>0</v>
      </c>
      <c r="M186" s="411">
        <v>115975</v>
      </c>
      <c r="N186" s="411">
        <v>6862</v>
      </c>
      <c r="O186" s="496">
        <v>0</v>
      </c>
      <c r="P186" s="497">
        <v>0.74160000000000004</v>
      </c>
      <c r="Q186" s="412">
        <v>0.74160000000000004</v>
      </c>
      <c r="R186" s="498">
        <v>0</v>
      </c>
      <c r="S186" s="499">
        <f t="shared" si="288"/>
        <v>0</v>
      </c>
      <c r="T186" s="486">
        <v>0</v>
      </c>
      <c r="U186" s="486">
        <v>0</v>
      </c>
      <c r="V186" s="486">
        <f>SUM(S186:U186)</f>
        <v>0</v>
      </c>
      <c r="W186" s="486">
        <v>0</v>
      </c>
      <c r="X186" s="486">
        <v>0</v>
      </c>
      <c r="Y186" s="486">
        <f>SUM(W186:X186)</f>
        <v>0</v>
      </c>
      <c r="Z186" s="486">
        <f>V186+Y186</f>
        <v>0</v>
      </c>
      <c r="AA186" s="319">
        <f>ROUND((V186+W186)*33.8%,0)</f>
        <v>0</v>
      </c>
      <c r="AB186" s="178">
        <f>ROUND(V186*2%,0)</f>
        <v>0</v>
      </c>
      <c r="AC186" s="486">
        <v>0</v>
      </c>
      <c r="AD186" s="486">
        <v>0</v>
      </c>
      <c r="AE186" s="486">
        <f t="shared" si="225"/>
        <v>0</v>
      </c>
      <c r="AF186" s="486">
        <f t="shared" si="226"/>
        <v>0</v>
      </c>
      <c r="AG186" s="501">
        <v>0</v>
      </c>
      <c r="AH186" s="501">
        <v>0</v>
      </c>
      <c r="AI186" s="501">
        <v>0</v>
      </c>
      <c r="AJ186" s="501">
        <v>0</v>
      </c>
      <c r="AK186" s="501">
        <v>0</v>
      </c>
      <c r="AL186" s="501">
        <f t="shared" si="289"/>
        <v>0</v>
      </c>
      <c r="AM186" s="501">
        <f t="shared" si="290"/>
        <v>0</v>
      </c>
      <c r="AN186" s="529">
        <f t="shared" si="229"/>
        <v>0</v>
      </c>
      <c r="AO186" s="530">
        <f>I186+AF186</f>
        <v>465959</v>
      </c>
      <c r="AP186" s="486">
        <f>J186+V186</f>
        <v>343122</v>
      </c>
      <c r="AQ186" s="486">
        <f>K186+Y186</f>
        <v>0</v>
      </c>
      <c r="AR186" s="480">
        <f>L186</f>
        <v>0</v>
      </c>
      <c r="AS186" s="486">
        <f t="shared" si="291"/>
        <v>115975</v>
      </c>
      <c r="AT186" s="486">
        <f t="shared" si="291"/>
        <v>6862</v>
      </c>
      <c r="AU186" s="486">
        <f>O186+AE186</f>
        <v>0</v>
      </c>
      <c r="AV186" s="501">
        <f>P186+AN186</f>
        <v>0.74160000000000004</v>
      </c>
      <c r="AW186" s="501">
        <f t="shared" si="292"/>
        <v>0.74160000000000004</v>
      </c>
      <c r="AX186" s="502">
        <f t="shared" si="292"/>
        <v>0</v>
      </c>
    </row>
    <row r="187" spans="1:50" ht="12.95" customHeight="1" x14ac:dyDescent="0.25">
      <c r="A187" s="305">
        <v>37</v>
      </c>
      <c r="B187" s="551">
        <v>5455</v>
      </c>
      <c r="C187" s="551">
        <v>600099067</v>
      </c>
      <c r="D187" s="83">
        <v>70986088</v>
      </c>
      <c r="E187" s="550" t="s">
        <v>560</v>
      </c>
      <c r="F187" s="561">
        <v>3143</v>
      </c>
      <c r="G187" s="528" t="s">
        <v>635</v>
      </c>
      <c r="H187" s="494" t="s">
        <v>284</v>
      </c>
      <c r="I187" s="495">
        <v>14747</v>
      </c>
      <c r="J187" s="496">
        <v>10395</v>
      </c>
      <c r="K187" s="496">
        <v>0</v>
      </c>
      <c r="L187" s="496">
        <v>0</v>
      </c>
      <c r="M187" s="411">
        <v>3514</v>
      </c>
      <c r="N187" s="411">
        <v>208</v>
      </c>
      <c r="O187" s="496">
        <v>630</v>
      </c>
      <c r="P187" s="497">
        <v>0.04</v>
      </c>
      <c r="Q187" s="412">
        <v>0</v>
      </c>
      <c r="R187" s="498">
        <v>0.04</v>
      </c>
      <c r="S187" s="499">
        <f t="shared" si="288"/>
        <v>0</v>
      </c>
      <c r="T187" s="486">
        <v>0</v>
      </c>
      <c r="U187" s="486">
        <v>0</v>
      </c>
      <c r="V187" s="486">
        <f>SUM(S187:U187)</f>
        <v>0</v>
      </c>
      <c r="W187" s="486">
        <v>0</v>
      </c>
      <c r="X187" s="486">
        <v>0</v>
      </c>
      <c r="Y187" s="486">
        <f>SUM(W187:X187)</f>
        <v>0</v>
      </c>
      <c r="Z187" s="486">
        <f>V187+Y187</f>
        <v>0</v>
      </c>
      <c r="AA187" s="319">
        <f>ROUND((V187+W187)*33.8%,0)</f>
        <v>0</v>
      </c>
      <c r="AB187" s="178">
        <f>ROUND(V187*2%,0)</f>
        <v>0</v>
      </c>
      <c r="AC187" s="486">
        <v>0</v>
      </c>
      <c r="AD187" s="486">
        <v>0</v>
      </c>
      <c r="AE187" s="486">
        <f t="shared" si="225"/>
        <v>0</v>
      </c>
      <c r="AF187" s="486">
        <f t="shared" si="226"/>
        <v>0</v>
      </c>
      <c r="AG187" s="501">
        <v>0</v>
      </c>
      <c r="AH187" s="501">
        <v>0</v>
      </c>
      <c r="AI187" s="501">
        <v>0</v>
      </c>
      <c r="AJ187" s="501">
        <v>0</v>
      </c>
      <c r="AK187" s="501">
        <v>0</v>
      </c>
      <c r="AL187" s="501">
        <f t="shared" si="289"/>
        <v>0</v>
      </c>
      <c r="AM187" s="501">
        <f t="shared" si="290"/>
        <v>0</v>
      </c>
      <c r="AN187" s="529">
        <f t="shared" si="229"/>
        <v>0</v>
      </c>
      <c r="AO187" s="530">
        <f>I187+AF187</f>
        <v>14747</v>
      </c>
      <c r="AP187" s="486">
        <f>J187+V187</f>
        <v>10395</v>
      </c>
      <c r="AQ187" s="486">
        <f>K187+Y187</f>
        <v>0</v>
      </c>
      <c r="AR187" s="480">
        <f>L187</f>
        <v>0</v>
      </c>
      <c r="AS187" s="486">
        <f t="shared" si="291"/>
        <v>3514</v>
      </c>
      <c r="AT187" s="486">
        <f t="shared" si="291"/>
        <v>208</v>
      </c>
      <c r="AU187" s="486">
        <f>O187+AE187</f>
        <v>630</v>
      </c>
      <c r="AV187" s="501">
        <f>P187+AN187</f>
        <v>0.04</v>
      </c>
      <c r="AW187" s="501">
        <f t="shared" si="292"/>
        <v>0</v>
      </c>
      <c r="AX187" s="502">
        <f t="shared" si="292"/>
        <v>0.04</v>
      </c>
    </row>
    <row r="188" spans="1:50" ht="12.95" customHeight="1" x14ac:dyDescent="0.25">
      <c r="A188" s="308">
        <v>37</v>
      </c>
      <c r="B188" s="128">
        <v>5455</v>
      </c>
      <c r="C188" s="128">
        <v>600099067</v>
      </c>
      <c r="D188" s="128">
        <v>70986088</v>
      </c>
      <c r="E188" s="562" t="s">
        <v>561</v>
      </c>
      <c r="F188" s="132"/>
      <c r="G188" s="562"/>
      <c r="H188" s="373"/>
      <c r="I188" s="129">
        <v>6854756</v>
      </c>
      <c r="J188" s="238">
        <v>4970467</v>
      </c>
      <c r="K188" s="238">
        <v>3552</v>
      </c>
      <c r="L188" s="238">
        <v>3552</v>
      </c>
      <c r="M188" s="238">
        <v>1680018</v>
      </c>
      <c r="N188" s="238">
        <v>99409</v>
      </c>
      <c r="O188" s="238">
        <v>101310</v>
      </c>
      <c r="P188" s="378">
        <v>11.561400000000001</v>
      </c>
      <c r="Q188" s="378">
        <v>7.1960999999999995</v>
      </c>
      <c r="R188" s="394">
        <v>4.3653000000000004</v>
      </c>
      <c r="S188" s="238">
        <f t="shared" ref="S188:AN188" si="293">SUM(S183:S187)</f>
        <v>0</v>
      </c>
      <c r="T188" s="168">
        <f t="shared" si="293"/>
        <v>0</v>
      </c>
      <c r="U188" s="168">
        <f t="shared" si="293"/>
        <v>0</v>
      </c>
      <c r="V188" s="168">
        <f t="shared" si="293"/>
        <v>0</v>
      </c>
      <c r="W188" s="168">
        <f t="shared" si="293"/>
        <v>0</v>
      </c>
      <c r="X188" s="168">
        <f t="shared" si="293"/>
        <v>0</v>
      </c>
      <c r="Y188" s="168">
        <f t="shared" si="293"/>
        <v>0</v>
      </c>
      <c r="Z188" s="168">
        <f t="shared" si="293"/>
        <v>0</v>
      </c>
      <c r="AA188" s="168">
        <f t="shared" si="293"/>
        <v>0</v>
      </c>
      <c r="AB188" s="168">
        <f t="shared" si="293"/>
        <v>0</v>
      </c>
      <c r="AC188" s="168">
        <f t="shared" si="293"/>
        <v>0</v>
      </c>
      <c r="AD188" s="168">
        <f t="shared" si="293"/>
        <v>0</v>
      </c>
      <c r="AE188" s="168">
        <f t="shared" si="293"/>
        <v>0</v>
      </c>
      <c r="AF188" s="168">
        <f t="shared" si="293"/>
        <v>0</v>
      </c>
      <c r="AG188" s="314">
        <f t="shared" si="293"/>
        <v>0</v>
      </c>
      <c r="AH188" s="314">
        <f t="shared" si="293"/>
        <v>0</v>
      </c>
      <c r="AI188" s="314">
        <f t="shared" si="293"/>
        <v>0</v>
      </c>
      <c r="AJ188" s="314">
        <f t="shared" si="293"/>
        <v>0</v>
      </c>
      <c r="AK188" s="314">
        <f t="shared" si="293"/>
        <v>0</v>
      </c>
      <c r="AL188" s="314">
        <f t="shared" si="293"/>
        <v>0</v>
      </c>
      <c r="AM188" s="314">
        <f t="shared" si="293"/>
        <v>0</v>
      </c>
      <c r="AN188" s="387">
        <f t="shared" si="293"/>
        <v>0</v>
      </c>
      <c r="AO188" s="129">
        <f t="shared" ref="AO188:AX188" si="294">SUM(AO183:AO187)</f>
        <v>6854756</v>
      </c>
      <c r="AP188" s="168">
        <f t="shared" si="294"/>
        <v>4970467</v>
      </c>
      <c r="AQ188" s="168">
        <f t="shared" si="294"/>
        <v>3552</v>
      </c>
      <c r="AR188" s="168">
        <f t="shared" si="294"/>
        <v>3552</v>
      </c>
      <c r="AS188" s="168">
        <f t="shared" si="294"/>
        <v>1680018</v>
      </c>
      <c r="AT188" s="168">
        <f t="shared" si="294"/>
        <v>99409</v>
      </c>
      <c r="AU188" s="168">
        <f t="shared" si="294"/>
        <v>101310</v>
      </c>
      <c r="AV188" s="314">
        <f t="shared" si="294"/>
        <v>11.561400000000001</v>
      </c>
      <c r="AW188" s="314">
        <f t="shared" si="294"/>
        <v>7.1960999999999995</v>
      </c>
      <c r="AX188" s="315">
        <f t="shared" si="294"/>
        <v>4.3653000000000004</v>
      </c>
    </row>
    <row r="189" spans="1:50" ht="12.95" customHeight="1" x14ac:dyDescent="0.25">
      <c r="A189" s="305">
        <v>38</v>
      </c>
      <c r="B189" s="551">
        <v>5470</v>
      </c>
      <c r="C189" s="551">
        <v>600099091</v>
      </c>
      <c r="D189" s="83">
        <v>70695822</v>
      </c>
      <c r="E189" s="552" t="s">
        <v>562</v>
      </c>
      <c r="F189" s="551">
        <v>3111</v>
      </c>
      <c r="G189" s="553" t="s">
        <v>331</v>
      </c>
      <c r="H189" s="494" t="s">
        <v>283</v>
      </c>
      <c r="I189" s="495">
        <v>2511075</v>
      </c>
      <c r="J189" s="496">
        <v>1836211</v>
      </c>
      <c r="K189" s="496">
        <v>0</v>
      </c>
      <c r="L189" s="496">
        <v>0</v>
      </c>
      <c r="M189" s="411">
        <v>620639</v>
      </c>
      <c r="N189" s="411">
        <v>36725</v>
      </c>
      <c r="O189" s="496">
        <v>17500</v>
      </c>
      <c r="P189" s="497">
        <v>4.7282999999999999</v>
      </c>
      <c r="Q189" s="412">
        <v>3.8065000000000002</v>
      </c>
      <c r="R189" s="498">
        <v>0.92179999999999995</v>
      </c>
      <c r="S189" s="499">
        <f t="shared" ref="S189:S194" si="295">W189*-1</f>
        <v>0</v>
      </c>
      <c r="T189" s="486">
        <v>0</v>
      </c>
      <c r="U189" s="486">
        <v>0</v>
      </c>
      <c r="V189" s="486">
        <f t="shared" ref="V189:V194" si="296">SUM(S189:U189)</f>
        <v>0</v>
      </c>
      <c r="W189" s="486">
        <v>0</v>
      </c>
      <c r="X189" s="486">
        <v>0</v>
      </c>
      <c r="Y189" s="486">
        <f t="shared" ref="Y189:Y194" si="297">SUM(W189:X189)</f>
        <v>0</v>
      </c>
      <c r="Z189" s="486">
        <f t="shared" ref="Z189:Z194" si="298">V189+Y189</f>
        <v>0</v>
      </c>
      <c r="AA189" s="319">
        <f t="shared" ref="AA189:AA194" si="299">ROUND((V189+W189)*33.8%,0)</f>
        <v>0</v>
      </c>
      <c r="AB189" s="178">
        <f t="shared" ref="AB189:AB194" si="300">ROUND(V189*2%,0)</f>
        <v>0</v>
      </c>
      <c r="AC189" s="486">
        <v>0</v>
      </c>
      <c r="AD189" s="486">
        <v>0</v>
      </c>
      <c r="AE189" s="486">
        <f t="shared" si="225"/>
        <v>0</v>
      </c>
      <c r="AF189" s="486">
        <f t="shared" si="226"/>
        <v>0</v>
      </c>
      <c r="AG189" s="501">
        <v>0</v>
      </c>
      <c r="AH189" s="501">
        <v>0</v>
      </c>
      <c r="AI189" s="501">
        <v>0</v>
      </c>
      <c r="AJ189" s="501">
        <v>0</v>
      </c>
      <c r="AK189" s="501">
        <v>0</v>
      </c>
      <c r="AL189" s="501">
        <f t="shared" ref="AL189:AL194" si="301">AG189+AI189+AJ189</f>
        <v>0</v>
      </c>
      <c r="AM189" s="501">
        <f t="shared" ref="AM189:AM194" si="302">AH189+AK189</f>
        <v>0</v>
      </c>
      <c r="AN189" s="529">
        <f t="shared" si="229"/>
        <v>0</v>
      </c>
      <c r="AO189" s="530">
        <f t="shared" ref="AO189:AO194" si="303">I189+AF189</f>
        <v>2511075</v>
      </c>
      <c r="AP189" s="486">
        <f t="shared" ref="AP189:AP194" si="304">J189+V189</f>
        <v>1836211</v>
      </c>
      <c r="AQ189" s="486">
        <f t="shared" ref="AQ189:AQ194" si="305">K189+Y189</f>
        <v>0</v>
      </c>
      <c r="AR189" s="480">
        <f t="shared" ref="AR189:AR194" si="306">L189</f>
        <v>0</v>
      </c>
      <c r="AS189" s="486">
        <f t="shared" ref="AS189:AT194" si="307">M189+AA189</f>
        <v>620639</v>
      </c>
      <c r="AT189" s="486">
        <f t="shared" si="307"/>
        <v>36725</v>
      </c>
      <c r="AU189" s="486">
        <f t="shared" ref="AU189:AU194" si="308">O189+AE189</f>
        <v>17500</v>
      </c>
      <c r="AV189" s="501">
        <f t="shared" ref="AV189:AV194" si="309">P189+AN189</f>
        <v>4.7282999999999999</v>
      </c>
      <c r="AW189" s="501">
        <f t="shared" ref="AW189:AX194" si="310">Q189+AL189</f>
        <v>3.8065000000000002</v>
      </c>
      <c r="AX189" s="502">
        <f t="shared" si="310"/>
        <v>0.92179999999999995</v>
      </c>
    </row>
    <row r="190" spans="1:50" ht="12.95" customHeight="1" x14ac:dyDescent="0.25">
      <c r="A190" s="305">
        <v>38</v>
      </c>
      <c r="B190" s="551">
        <v>5470</v>
      </c>
      <c r="C190" s="551">
        <v>600099091</v>
      </c>
      <c r="D190" s="83">
        <v>70695822</v>
      </c>
      <c r="E190" s="552" t="s">
        <v>562</v>
      </c>
      <c r="F190" s="551">
        <v>3117</v>
      </c>
      <c r="G190" s="552" t="s">
        <v>335</v>
      </c>
      <c r="H190" s="494" t="s">
        <v>283</v>
      </c>
      <c r="I190" s="495">
        <v>3827781</v>
      </c>
      <c r="J190" s="496">
        <v>2732920</v>
      </c>
      <c r="K190" s="496">
        <v>5476</v>
      </c>
      <c r="L190" s="496">
        <v>5476</v>
      </c>
      <c r="M190" s="411">
        <v>923727</v>
      </c>
      <c r="N190" s="411">
        <v>54658</v>
      </c>
      <c r="O190" s="496">
        <v>111000</v>
      </c>
      <c r="P190" s="497">
        <v>5.8358999999999996</v>
      </c>
      <c r="Q190" s="412">
        <v>3.6511</v>
      </c>
      <c r="R190" s="498">
        <v>2.1847999999999996</v>
      </c>
      <c r="S190" s="499">
        <f t="shared" si="295"/>
        <v>0</v>
      </c>
      <c r="T190" s="486">
        <v>0</v>
      </c>
      <c r="U190" s="486">
        <v>0</v>
      </c>
      <c r="V190" s="486">
        <f t="shared" si="296"/>
        <v>0</v>
      </c>
      <c r="W190" s="486">
        <v>0</v>
      </c>
      <c r="X190" s="486">
        <v>0</v>
      </c>
      <c r="Y190" s="486">
        <f t="shared" si="297"/>
        <v>0</v>
      </c>
      <c r="Z190" s="486">
        <f t="shared" si="298"/>
        <v>0</v>
      </c>
      <c r="AA190" s="319">
        <f t="shared" si="299"/>
        <v>0</v>
      </c>
      <c r="AB190" s="178">
        <f t="shared" si="300"/>
        <v>0</v>
      </c>
      <c r="AC190" s="486">
        <v>0</v>
      </c>
      <c r="AD190" s="486">
        <v>0</v>
      </c>
      <c r="AE190" s="486">
        <f t="shared" si="225"/>
        <v>0</v>
      </c>
      <c r="AF190" s="486">
        <f t="shared" si="226"/>
        <v>0</v>
      </c>
      <c r="AG190" s="501">
        <v>0</v>
      </c>
      <c r="AH190" s="501">
        <v>0</v>
      </c>
      <c r="AI190" s="501">
        <v>0</v>
      </c>
      <c r="AJ190" s="501">
        <v>0</v>
      </c>
      <c r="AK190" s="501">
        <v>0</v>
      </c>
      <c r="AL190" s="501">
        <f t="shared" si="301"/>
        <v>0</v>
      </c>
      <c r="AM190" s="501">
        <f t="shared" si="302"/>
        <v>0</v>
      </c>
      <c r="AN190" s="529">
        <f t="shared" si="229"/>
        <v>0</v>
      </c>
      <c r="AO190" s="530">
        <f t="shared" si="303"/>
        <v>3827781</v>
      </c>
      <c r="AP190" s="486">
        <f t="shared" si="304"/>
        <v>2732920</v>
      </c>
      <c r="AQ190" s="486">
        <f t="shared" si="305"/>
        <v>5476</v>
      </c>
      <c r="AR190" s="480">
        <f t="shared" si="306"/>
        <v>5476</v>
      </c>
      <c r="AS190" s="486">
        <f t="shared" si="307"/>
        <v>923727</v>
      </c>
      <c r="AT190" s="486">
        <f t="shared" si="307"/>
        <v>54658</v>
      </c>
      <c r="AU190" s="486">
        <f t="shared" si="308"/>
        <v>111000</v>
      </c>
      <c r="AV190" s="501">
        <f t="shared" si="309"/>
        <v>5.8358999999999996</v>
      </c>
      <c r="AW190" s="501">
        <f t="shared" si="310"/>
        <v>3.6511</v>
      </c>
      <c r="AX190" s="502">
        <f t="shared" si="310"/>
        <v>2.1847999999999996</v>
      </c>
    </row>
    <row r="191" spans="1:50" ht="12.95" customHeight="1" x14ac:dyDescent="0.25">
      <c r="A191" s="305">
        <v>38</v>
      </c>
      <c r="B191" s="555">
        <v>5470</v>
      </c>
      <c r="C191" s="555">
        <v>600099091</v>
      </c>
      <c r="D191" s="83">
        <v>70695822</v>
      </c>
      <c r="E191" s="552" t="s">
        <v>562</v>
      </c>
      <c r="F191" s="551">
        <v>3117</v>
      </c>
      <c r="G191" s="528" t="s">
        <v>318</v>
      </c>
      <c r="H191" s="494" t="s">
        <v>284</v>
      </c>
      <c r="I191" s="495">
        <v>685797</v>
      </c>
      <c r="J191" s="496">
        <v>505005</v>
      </c>
      <c r="K191" s="496">
        <v>0</v>
      </c>
      <c r="L191" s="496">
        <v>0</v>
      </c>
      <c r="M191" s="411">
        <v>170691</v>
      </c>
      <c r="N191" s="411">
        <v>10101</v>
      </c>
      <c r="O191" s="496">
        <v>0</v>
      </c>
      <c r="P191" s="497">
        <v>1.48</v>
      </c>
      <c r="Q191" s="412">
        <v>1.48</v>
      </c>
      <c r="R191" s="498">
        <v>0</v>
      </c>
      <c r="S191" s="499">
        <f t="shared" si="295"/>
        <v>0</v>
      </c>
      <c r="T191" s="486">
        <v>0</v>
      </c>
      <c r="U191" s="486">
        <v>0</v>
      </c>
      <c r="V191" s="486">
        <f t="shared" si="296"/>
        <v>0</v>
      </c>
      <c r="W191" s="486">
        <v>0</v>
      </c>
      <c r="X191" s="486">
        <v>0</v>
      </c>
      <c r="Y191" s="486">
        <f t="shared" si="297"/>
        <v>0</v>
      </c>
      <c r="Z191" s="486">
        <f t="shared" si="298"/>
        <v>0</v>
      </c>
      <c r="AA191" s="319">
        <f t="shared" si="299"/>
        <v>0</v>
      </c>
      <c r="AB191" s="178">
        <f t="shared" si="300"/>
        <v>0</v>
      </c>
      <c r="AC191" s="486">
        <v>0</v>
      </c>
      <c r="AD191" s="486">
        <v>0</v>
      </c>
      <c r="AE191" s="486">
        <f t="shared" si="225"/>
        <v>0</v>
      </c>
      <c r="AF191" s="486">
        <f t="shared" si="226"/>
        <v>0</v>
      </c>
      <c r="AG191" s="501">
        <v>0</v>
      </c>
      <c r="AH191" s="501">
        <v>0</v>
      </c>
      <c r="AI191" s="501">
        <v>0</v>
      </c>
      <c r="AJ191" s="501">
        <v>0</v>
      </c>
      <c r="AK191" s="501">
        <v>0</v>
      </c>
      <c r="AL191" s="501">
        <f t="shared" si="301"/>
        <v>0</v>
      </c>
      <c r="AM191" s="501">
        <f t="shared" si="302"/>
        <v>0</v>
      </c>
      <c r="AN191" s="529">
        <f t="shared" si="229"/>
        <v>0</v>
      </c>
      <c r="AO191" s="530">
        <f t="shared" si="303"/>
        <v>685797</v>
      </c>
      <c r="AP191" s="486">
        <f t="shared" si="304"/>
        <v>505005</v>
      </c>
      <c r="AQ191" s="486">
        <f t="shared" si="305"/>
        <v>0</v>
      </c>
      <c r="AR191" s="480">
        <f t="shared" si="306"/>
        <v>0</v>
      </c>
      <c r="AS191" s="486">
        <f t="shared" si="307"/>
        <v>170691</v>
      </c>
      <c r="AT191" s="486">
        <f t="shared" si="307"/>
        <v>10101</v>
      </c>
      <c r="AU191" s="486">
        <f t="shared" si="308"/>
        <v>0</v>
      </c>
      <c r="AV191" s="501">
        <f t="shared" si="309"/>
        <v>1.48</v>
      </c>
      <c r="AW191" s="501">
        <f t="shared" si="310"/>
        <v>1.48</v>
      </c>
      <c r="AX191" s="502">
        <f t="shared" si="310"/>
        <v>0</v>
      </c>
    </row>
    <row r="192" spans="1:50" ht="12.95" customHeight="1" x14ac:dyDescent="0.25">
      <c r="A192" s="305">
        <v>38</v>
      </c>
      <c r="B192" s="551">
        <v>5470</v>
      </c>
      <c r="C192" s="551">
        <v>600099091</v>
      </c>
      <c r="D192" s="83">
        <v>70695822</v>
      </c>
      <c r="E192" s="550" t="s">
        <v>562</v>
      </c>
      <c r="F192" s="561">
        <v>3141</v>
      </c>
      <c r="G192" s="553" t="s">
        <v>321</v>
      </c>
      <c r="H192" s="494" t="s">
        <v>284</v>
      </c>
      <c r="I192" s="495">
        <v>819135</v>
      </c>
      <c r="J192" s="496">
        <v>600110</v>
      </c>
      <c r="K192" s="496">
        <v>0</v>
      </c>
      <c r="L192" s="496">
        <v>0</v>
      </c>
      <c r="M192" s="411">
        <v>202837</v>
      </c>
      <c r="N192" s="411">
        <v>12002</v>
      </c>
      <c r="O192" s="496">
        <v>4186</v>
      </c>
      <c r="P192" s="497">
        <v>2.04</v>
      </c>
      <c r="Q192" s="412">
        <v>0</v>
      </c>
      <c r="R192" s="498">
        <v>2.04</v>
      </c>
      <c r="S192" s="499">
        <f t="shared" si="295"/>
        <v>0</v>
      </c>
      <c r="T192" s="486">
        <v>0</v>
      </c>
      <c r="U192" s="486">
        <v>0</v>
      </c>
      <c r="V192" s="486">
        <f t="shared" si="296"/>
        <v>0</v>
      </c>
      <c r="W192" s="486">
        <v>0</v>
      </c>
      <c r="X192" s="486">
        <v>0</v>
      </c>
      <c r="Y192" s="486">
        <f t="shared" si="297"/>
        <v>0</v>
      </c>
      <c r="Z192" s="486">
        <f t="shared" si="298"/>
        <v>0</v>
      </c>
      <c r="AA192" s="319">
        <f t="shared" si="299"/>
        <v>0</v>
      </c>
      <c r="AB192" s="178">
        <f t="shared" si="300"/>
        <v>0</v>
      </c>
      <c r="AC192" s="486">
        <v>0</v>
      </c>
      <c r="AD192" s="486">
        <v>0</v>
      </c>
      <c r="AE192" s="486">
        <f t="shared" si="225"/>
        <v>0</v>
      </c>
      <c r="AF192" s="486">
        <f t="shared" si="226"/>
        <v>0</v>
      </c>
      <c r="AG192" s="501">
        <v>0</v>
      </c>
      <c r="AH192" s="501">
        <v>0</v>
      </c>
      <c r="AI192" s="501">
        <v>0</v>
      </c>
      <c r="AJ192" s="501">
        <v>0</v>
      </c>
      <c r="AK192" s="501">
        <v>0</v>
      </c>
      <c r="AL192" s="501">
        <f t="shared" si="301"/>
        <v>0</v>
      </c>
      <c r="AM192" s="501">
        <f t="shared" si="302"/>
        <v>0</v>
      </c>
      <c r="AN192" s="529">
        <f t="shared" si="229"/>
        <v>0</v>
      </c>
      <c r="AO192" s="530">
        <f t="shared" si="303"/>
        <v>819135</v>
      </c>
      <c r="AP192" s="486">
        <f t="shared" si="304"/>
        <v>600110</v>
      </c>
      <c r="AQ192" s="486">
        <f t="shared" si="305"/>
        <v>0</v>
      </c>
      <c r="AR192" s="480">
        <f t="shared" si="306"/>
        <v>0</v>
      </c>
      <c r="AS192" s="486">
        <f t="shared" si="307"/>
        <v>202837</v>
      </c>
      <c r="AT192" s="486">
        <f t="shared" si="307"/>
        <v>12002</v>
      </c>
      <c r="AU192" s="486">
        <f t="shared" si="308"/>
        <v>4186</v>
      </c>
      <c r="AV192" s="501">
        <f t="shared" si="309"/>
        <v>2.04</v>
      </c>
      <c r="AW192" s="501">
        <f t="shared" si="310"/>
        <v>0</v>
      </c>
      <c r="AX192" s="502">
        <f t="shared" si="310"/>
        <v>2.04</v>
      </c>
    </row>
    <row r="193" spans="1:50" ht="12.95" customHeight="1" x14ac:dyDescent="0.25">
      <c r="A193" s="305">
        <v>38</v>
      </c>
      <c r="B193" s="555">
        <v>5470</v>
      </c>
      <c r="C193" s="555">
        <v>600099091</v>
      </c>
      <c r="D193" s="83">
        <v>70695822</v>
      </c>
      <c r="E193" s="552" t="s">
        <v>562</v>
      </c>
      <c r="F193" s="551">
        <v>3143</v>
      </c>
      <c r="G193" s="528" t="s">
        <v>634</v>
      </c>
      <c r="H193" s="494" t="s">
        <v>283</v>
      </c>
      <c r="I193" s="495">
        <v>496914</v>
      </c>
      <c r="J193" s="496">
        <v>365916</v>
      </c>
      <c r="K193" s="496">
        <v>0</v>
      </c>
      <c r="L193" s="496">
        <v>0</v>
      </c>
      <c r="M193" s="411">
        <v>123680</v>
      </c>
      <c r="N193" s="411">
        <v>7318</v>
      </c>
      <c r="O193" s="496">
        <v>0</v>
      </c>
      <c r="P193" s="497">
        <v>0.86209999999999998</v>
      </c>
      <c r="Q193" s="412">
        <v>0.86209999999999998</v>
      </c>
      <c r="R193" s="498">
        <v>0</v>
      </c>
      <c r="S193" s="499">
        <f t="shared" si="295"/>
        <v>0</v>
      </c>
      <c r="T193" s="486">
        <v>0</v>
      </c>
      <c r="U193" s="486">
        <v>0</v>
      </c>
      <c r="V193" s="486">
        <f t="shared" si="296"/>
        <v>0</v>
      </c>
      <c r="W193" s="486">
        <v>0</v>
      </c>
      <c r="X193" s="486">
        <v>0</v>
      </c>
      <c r="Y193" s="486">
        <f t="shared" si="297"/>
        <v>0</v>
      </c>
      <c r="Z193" s="486">
        <f t="shared" si="298"/>
        <v>0</v>
      </c>
      <c r="AA193" s="319">
        <f t="shared" si="299"/>
        <v>0</v>
      </c>
      <c r="AB193" s="178">
        <f t="shared" si="300"/>
        <v>0</v>
      </c>
      <c r="AC193" s="486">
        <v>0</v>
      </c>
      <c r="AD193" s="486">
        <v>0</v>
      </c>
      <c r="AE193" s="486">
        <f t="shared" si="225"/>
        <v>0</v>
      </c>
      <c r="AF193" s="486">
        <f t="shared" si="226"/>
        <v>0</v>
      </c>
      <c r="AG193" s="501">
        <v>0</v>
      </c>
      <c r="AH193" s="501">
        <v>0</v>
      </c>
      <c r="AI193" s="501">
        <v>0</v>
      </c>
      <c r="AJ193" s="501">
        <v>0</v>
      </c>
      <c r="AK193" s="501">
        <v>0</v>
      </c>
      <c r="AL193" s="501">
        <f t="shared" si="301"/>
        <v>0</v>
      </c>
      <c r="AM193" s="501">
        <f t="shared" si="302"/>
        <v>0</v>
      </c>
      <c r="AN193" s="529">
        <f t="shared" si="229"/>
        <v>0</v>
      </c>
      <c r="AO193" s="530">
        <f t="shared" si="303"/>
        <v>496914</v>
      </c>
      <c r="AP193" s="486">
        <f t="shared" si="304"/>
        <v>365916</v>
      </c>
      <c r="AQ193" s="486">
        <f t="shared" si="305"/>
        <v>0</v>
      </c>
      <c r="AR193" s="480">
        <f t="shared" si="306"/>
        <v>0</v>
      </c>
      <c r="AS193" s="486">
        <f t="shared" si="307"/>
        <v>123680</v>
      </c>
      <c r="AT193" s="486">
        <f t="shared" si="307"/>
        <v>7318</v>
      </c>
      <c r="AU193" s="486">
        <f t="shared" si="308"/>
        <v>0</v>
      </c>
      <c r="AV193" s="501">
        <f t="shared" si="309"/>
        <v>0.86209999999999998</v>
      </c>
      <c r="AW193" s="501">
        <f t="shared" si="310"/>
        <v>0.86209999999999998</v>
      </c>
      <c r="AX193" s="502">
        <f t="shared" si="310"/>
        <v>0</v>
      </c>
    </row>
    <row r="194" spans="1:50" ht="12.95" customHeight="1" x14ac:dyDescent="0.25">
      <c r="A194" s="305">
        <v>38</v>
      </c>
      <c r="B194" s="555">
        <v>5470</v>
      </c>
      <c r="C194" s="555">
        <v>600099091</v>
      </c>
      <c r="D194" s="83">
        <v>70695822</v>
      </c>
      <c r="E194" s="552" t="s">
        <v>562</v>
      </c>
      <c r="F194" s="551">
        <v>3143</v>
      </c>
      <c r="G194" s="528" t="s">
        <v>635</v>
      </c>
      <c r="H194" s="494" t="s">
        <v>284</v>
      </c>
      <c r="I194" s="495">
        <v>23876</v>
      </c>
      <c r="J194" s="496">
        <v>16830</v>
      </c>
      <c r="K194" s="496">
        <v>0</v>
      </c>
      <c r="L194" s="496">
        <v>0</v>
      </c>
      <c r="M194" s="411">
        <v>5689</v>
      </c>
      <c r="N194" s="411">
        <v>337</v>
      </c>
      <c r="O194" s="496">
        <v>1020</v>
      </c>
      <c r="P194" s="497">
        <v>7.0000000000000007E-2</v>
      </c>
      <c r="Q194" s="412">
        <v>0</v>
      </c>
      <c r="R194" s="498">
        <v>7.0000000000000007E-2</v>
      </c>
      <c r="S194" s="499">
        <f t="shared" si="295"/>
        <v>0</v>
      </c>
      <c r="T194" s="486">
        <v>0</v>
      </c>
      <c r="U194" s="486">
        <v>0</v>
      </c>
      <c r="V194" s="486">
        <f t="shared" si="296"/>
        <v>0</v>
      </c>
      <c r="W194" s="486">
        <v>0</v>
      </c>
      <c r="X194" s="486">
        <v>0</v>
      </c>
      <c r="Y194" s="486">
        <f t="shared" si="297"/>
        <v>0</v>
      </c>
      <c r="Z194" s="486">
        <f t="shared" si="298"/>
        <v>0</v>
      </c>
      <c r="AA194" s="319">
        <f t="shared" si="299"/>
        <v>0</v>
      </c>
      <c r="AB194" s="178">
        <f t="shared" si="300"/>
        <v>0</v>
      </c>
      <c r="AC194" s="486">
        <v>0</v>
      </c>
      <c r="AD194" s="486">
        <v>0</v>
      </c>
      <c r="AE194" s="486">
        <f t="shared" si="225"/>
        <v>0</v>
      </c>
      <c r="AF194" s="486">
        <f t="shared" si="226"/>
        <v>0</v>
      </c>
      <c r="AG194" s="501">
        <v>0</v>
      </c>
      <c r="AH194" s="501">
        <v>0</v>
      </c>
      <c r="AI194" s="501">
        <v>0</v>
      </c>
      <c r="AJ194" s="501">
        <v>0</v>
      </c>
      <c r="AK194" s="501">
        <v>0</v>
      </c>
      <c r="AL194" s="501">
        <f t="shared" si="301"/>
        <v>0</v>
      </c>
      <c r="AM194" s="501">
        <f t="shared" si="302"/>
        <v>0</v>
      </c>
      <c r="AN194" s="529">
        <f t="shared" si="229"/>
        <v>0</v>
      </c>
      <c r="AO194" s="530">
        <f t="shared" si="303"/>
        <v>23876</v>
      </c>
      <c r="AP194" s="486">
        <f t="shared" si="304"/>
        <v>16830</v>
      </c>
      <c r="AQ194" s="486">
        <f t="shared" si="305"/>
        <v>0</v>
      </c>
      <c r="AR194" s="480">
        <f t="shared" si="306"/>
        <v>0</v>
      </c>
      <c r="AS194" s="486">
        <f t="shared" si="307"/>
        <v>5689</v>
      </c>
      <c r="AT194" s="486">
        <f t="shared" si="307"/>
        <v>337</v>
      </c>
      <c r="AU194" s="486">
        <f t="shared" si="308"/>
        <v>1020</v>
      </c>
      <c r="AV194" s="501">
        <f t="shared" si="309"/>
        <v>7.0000000000000007E-2</v>
      </c>
      <c r="AW194" s="501">
        <f t="shared" si="310"/>
        <v>0</v>
      </c>
      <c r="AX194" s="502">
        <f t="shared" si="310"/>
        <v>7.0000000000000007E-2</v>
      </c>
    </row>
    <row r="195" spans="1:50" ht="12.75" customHeight="1" thickBot="1" x14ac:dyDescent="0.3">
      <c r="A195" s="310">
        <v>38</v>
      </c>
      <c r="B195" s="311">
        <v>5470</v>
      </c>
      <c r="C195" s="311">
        <v>600099091</v>
      </c>
      <c r="D195" s="311">
        <v>70695822</v>
      </c>
      <c r="E195" s="567" t="s">
        <v>563</v>
      </c>
      <c r="F195" s="138"/>
      <c r="G195" s="567"/>
      <c r="H195" s="376"/>
      <c r="I195" s="172">
        <v>8364578</v>
      </c>
      <c r="J195" s="241">
        <v>6056992</v>
      </c>
      <c r="K195" s="241">
        <v>5476</v>
      </c>
      <c r="L195" s="241">
        <v>5476</v>
      </c>
      <c r="M195" s="241">
        <v>2047263</v>
      </c>
      <c r="N195" s="241">
        <v>121141</v>
      </c>
      <c r="O195" s="241">
        <v>133706</v>
      </c>
      <c r="P195" s="382">
        <v>15.016299999999999</v>
      </c>
      <c r="Q195" s="382">
        <v>9.7996999999999996</v>
      </c>
      <c r="R195" s="398">
        <v>5.2165999999999997</v>
      </c>
      <c r="S195" s="313">
        <f t="shared" ref="S195:AN195" si="311">SUM(S189:S194)</f>
        <v>0</v>
      </c>
      <c r="T195" s="170">
        <f t="shared" si="311"/>
        <v>0</v>
      </c>
      <c r="U195" s="170">
        <f t="shared" si="311"/>
        <v>0</v>
      </c>
      <c r="V195" s="170">
        <f t="shared" si="311"/>
        <v>0</v>
      </c>
      <c r="W195" s="170">
        <f t="shared" si="311"/>
        <v>0</v>
      </c>
      <c r="X195" s="170">
        <f t="shared" si="311"/>
        <v>0</v>
      </c>
      <c r="Y195" s="170">
        <f t="shared" si="311"/>
        <v>0</v>
      </c>
      <c r="Z195" s="170">
        <f t="shared" si="311"/>
        <v>0</v>
      </c>
      <c r="AA195" s="170">
        <f t="shared" si="311"/>
        <v>0</v>
      </c>
      <c r="AB195" s="170">
        <f t="shared" si="311"/>
        <v>0</v>
      </c>
      <c r="AC195" s="170">
        <f t="shared" si="311"/>
        <v>0</v>
      </c>
      <c r="AD195" s="170">
        <f t="shared" si="311"/>
        <v>0</v>
      </c>
      <c r="AE195" s="170">
        <f t="shared" si="311"/>
        <v>0</v>
      </c>
      <c r="AF195" s="170">
        <f t="shared" si="311"/>
        <v>0</v>
      </c>
      <c r="AG195" s="350">
        <f t="shared" si="311"/>
        <v>0</v>
      </c>
      <c r="AH195" s="350">
        <f t="shared" si="311"/>
        <v>0</v>
      </c>
      <c r="AI195" s="350">
        <f t="shared" si="311"/>
        <v>0</v>
      </c>
      <c r="AJ195" s="350">
        <f t="shared" si="311"/>
        <v>0</v>
      </c>
      <c r="AK195" s="350">
        <f t="shared" si="311"/>
        <v>0</v>
      </c>
      <c r="AL195" s="350">
        <f t="shared" si="311"/>
        <v>0</v>
      </c>
      <c r="AM195" s="350">
        <f t="shared" si="311"/>
        <v>0</v>
      </c>
      <c r="AN195" s="391">
        <f t="shared" si="311"/>
        <v>0</v>
      </c>
      <c r="AO195" s="385">
        <f t="shared" ref="AO195:AX195" si="312">SUM(AO189:AO194)</f>
        <v>8364578</v>
      </c>
      <c r="AP195" s="170">
        <f t="shared" si="312"/>
        <v>6056992</v>
      </c>
      <c r="AQ195" s="170">
        <f t="shared" si="312"/>
        <v>5476</v>
      </c>
      <c r="AR195" s="170">
        <f t="shared" si="312"/>
        <v>5476</v>
      </c>
      <c r="AS195" s="170">
        <f t="shared" si="312"/>
        <v>2047263</v>
      </c>
      <c r="AT195" s="170">
        <f t="shared" si="312"/>
        <v>121141</v>
      </c>
      <c r="AU195" s="170">
        <f t="shared" si="312"/>
        <v>133706</v>
      </c>
      <c r="AV195" s="350">
        <f t="shared" si="312"/>
        <v>15.016299999999999</v>
      </c>
      <c r="AW195" s="350">
        <f t="shared" si="312"/>
        <v>9.7996999999999996</v>
      </c>
      <c r="AX195" s="351">
        <f t="shared" si="312"/>
        <v>5.2165999999999997</v>
      </c>
    </row>
    <row r="196" spans="1:50" ht="12.75" customHeight="1" thickBot="1" x14ac:dyDescent="0.3">
      <c r="A196" s="312"/>
      <c r="B196" s="139"/>
      <c r="C196" s="139"/>
      <c r="D196" s="139"/>
      <c r="E196" s="189" t="s">
        <v>803</v>
      </c>
      <c r="F196" s="139"/>
      <c r="G196" s="568"/>
      <c r="H196" s="393"/>
      <c r="I196" s="346">
        <f>I195+I188+I182+I176+I169+I163+I160+I154+I151+I146+I143+I136+I133+I130+I124+I120+I114+I111+I104+I98+I95+I89+I85+I78+I76+I69+I64+I58+I52+I46+I44+I41+I38+I34+I30+I26+I22+I18</f>
        <v>403674992</v>
      </c>
      <c r="J196" s="242">
        <f t="shared" ref="J196:AX196" si="313">J195+J188+J182+J176+J169+J163+J160+J154+J151+J146+J143+J136+J133+J130+J124+J120+J114+J111+J104+J98+J95+J89+J85+J78+J76+J69+J64+J58+J52+J46+J44+J41+J38+J34+J30+J26+J22+J18</f>
        <v>288702527</v>
      </c>
      <c r="K196" s="242">
        <f t="shared" si="313"/>
        <v>2525722</v>
      </c>
      <c r="L196" s="242">
        <f t="shared" si="313"/>
        <v>684618</v>
      </c>
      <c r="M196" s="242">
        <f t="shared" si="313"/>
        <v>98125153</v>
      </c>
      <c r="N196" s="242">
        <f t="shared" si="313"/>
        <v>5774062</v>
      </c>
      <c r="O196" s="242">
        <f t="shared" si="313"/>
        <v>8547528</v>
      </c>
      <c r="P196" s="383">
        <f t="shared" si="313"/>
        <v>634.5764999999999</v>
      </c>
      <c r="Q196" s="383">
        <f t="shared" si="313"/>
        <v>432.95540000000005</v>
      </c>
      <c r="R196" s="399">
        <f t="shared" si="313"/>
        <v>201.62110000000001</v>
      </c>
      <c r="S196" s="426">
        <f t="shared" si="313"/>
        <v>16071</v>
      </c>
      <c r="T196" s="171">
        <f t="shared" si="313"/>
        <v>-16421</v>
      </c>
      <c r="U196" s="171">
        <f t="shared" si="313"/>
        <v>-185566</v>
      </c>
      <c r="V196" s="171">
        <f t="shared" si="313"/>
        <v>-185916</v>
      </c>
      <c r="W196" s="171">
        <f t="shared" si="313"/>
        <v>-16071</v>
      </c>
      <c r="X196" s="171">
        <f t="shared" si="313"/>
        <v>0</v>
      </c>
      <c r="Y196" s="171">
        <f t="shared" si="313"/>
        <v>-16071</v>
      </c>
      <c r="Z196" s="171">
        <f t="shared" si="313"/>
        <v>-201987</v>
      </c>
      <c r="AA196" s="171">
        <f t="shared" si="313"/>
        <v>-68273</v>
      </c>
      <c r="AB196" s="171">
        <f t="shared" si="313"/>
        <v>-3720</v>
      </c>
      <c r="AC196" s="171">
        <f t="shared" si="313"/>
        <v>35250</v>
      </c>
      <c r="AD196" s="171">
        <f t="shared" si="313"/>
        <v>282000</v>
      </c>
      <c r="AE196" s="171">
        <f t="shared" si="313"/>
        <v>317250</v>
      </c>
      <c r="AF196" s="171">
        <f t="shared" si="313"/>
        <v>43270</v>
      </c>
      <c r="AG196" s="352">
        <f t="shared" si="313"/>
        <v>0</v>
      </c>
      <c r="AH196" s="352">
        <f t="shared" si="313"/>
        <v>0</v>
      </c>
      <c r="AI196" s="352">
        <f t="shared" si="313"/>
        <v>0.01</v>
      </c>
      <c r="AJ196" s="352">
        <f t="shared" si="313"/>
        <v>0</v>
      </c>
      <c r="AK196" s="352">
        <f t="shared" si="313"/>
        <v>0</v>
      </c>
      <c r="AL196" s="352">
        <f t="shared" si="313"/>
        <v>0.01</v>
      </c>
      <c r="AM196" s="352">
        <f t="shared" si="313"/>
        <v>0</v>
      </c>
      <c r="AN196" s="392">
        <f t="shared" si="313"/>
        <v>0.01</v>
      </c>
      <c r="AO196" s="386">
        <f t="shared" si="313"/>
        <v>403718262</v>
      </c>
      <c r="AP196" s="171">
        <f t="shared" si="313"/>
        <v>288516611</v>
      </c>
      <c r="AQ196" s="171">
        <f t="shared" si="313"/>
        <v>2509651</v>
      </c>
      <c r="AR196" s="171">
        <f t="shared" si="313"/>
        <v>684618</v>
      </c>
      <c r="AS196" s="171">
        <f t="shared" si="313"/>
        <v>98056880</v>
      </c>
      <c r="AT196" s="171">
        <f t="shared" si="313"/>
        <v>5770342</v>
      </c>
      <c r="AU196" s="171">
        <f t="shared" si="313"/>
        <v>8864778</v>
      </c>
      <c r="AV196" s="352">
        <f t="shared" si="313"/>
        <v>634.58649999999989</v>
      </c>
      <c r="AW196" s="352">
        <f t="shared" si="313"/>
        <v>432.96540000000005</v>
      </c>
      <c r="AX196" s="353">
        <f t="shared" si="313"/>
        <v>201.62110000000001</v>
      </c>
    </row>
    <row r="197" spans="1:50" s="81" customFormat="1" ht="12.75" customHeight="1" x14ac:dyDescent="0.25">
      <c r="A197" s="102"/>
      <c r="B197" s="82"/>
      <c r="C197" s="82"/>
      <c r="D197" s="82"/>
      <c r="E197" s="100"/>
      <c r="F197" s="80"/>
      <c r="G197" s="82"/>
      <c r="H197" s="127"/>
      <c r="I197" s="509">
        <f>J196+K196+M196+N196+O196</f>
        <v>403674992</v>
      </c>
      <c r="J197" s="509"/>
      <c r="K197" s="509"/>
      <c r="L197" s="509"/>
      <c r="M197" s="509"/>
      <c r="N197" s="509"/>
      <c r="O197" s="509"/>
      <c r="P197" s="510">
        <f>SUM(Q196:R196)</f>
        <v>634.57650000000012</v>
      </c>
      <c r="Q197" s="510"/>
      <c r="R197" s="510"/>
      <c r="S197" s="509">
        <f>W196</f>
        <v>-16071</v>
      </c>
      <c r="T197" s="510"/>
      <c r="U197" s="510"/>
      <c r="V197" s="739">
        <f>SUM(S196:U196)</f>
        <v>-185916</v>
      </c>
      <c r="W197" s="607"/>
      <c r="X197" s="607"/>
      <c r="Y197" s="606">
        <f>SUM(W196:X196)</f>
        <v>-16071</v>
      </c>
      <c r="Z197" s="739">
        <f>V196+Y196</f>
        <v>-201987</v>
      </c>
      <c r="AA197" s="741"/>
      <c r="AB197" s="741"/>
      <c r="AC197" s="740"/>
      <c r="AD197" s="740"/>
      <c r="AE197" s="739">
        <f>SUM(AC196:AD196)</f>
        <v>317250</v>
      </c>
      <c r="AF197" s="739">
        <f>Z196+AA196+AB196+AE196</f>
        <v>43270</v>
      </c>
      <c r="AG197" s="742"/>
      <c r="AH197" s="742"/>
      <c r="AI197" s="742"/>
      <c r="AJ197" s="742"/>
      <c r="AK197" s="742"/>
      <c r="AL197" s="743">
        <f>AG196+AI196+AJ196</f>
        <v>0.01</v>
      </c>
      <c r="AM197" s="743">
        <f>AH196+AK196</f>
        <v>0</v>
      </c>
      <c r="AN197" s="743">
        <f>SUM(AL196:AM196)</f>
        <v>0.01</v>
      </c>
      <c r="AO197" s="509">
        <f>AP196+AQ196+AS196+AT196+AU196</f>
        <v>403718262</v>
      </c>
      <c r="AP197" s="177"/>
      <c r="AQ197" s="177"/>
      <c r="AR197" s="509"/>
      <c r="AS197" s="177"/>
      <c r="AT197" s="177"/>
      <c r="AU197" s="177"/>
      <c r="AV197" s="510">
        <f>SUM(AW196:AX196)</f>
        <v>634.58650000000011</v>
      </c>
      <c r="AW197" s="177"/>
      <c r="AX197" s="177"/>
    </row>
    <row r="198" spans="1:50" s="81" customFormat="1" ht="12.75" customHeight="1" thickBot="1" x14ac:dyDescent="0.3">
      <c r="A198" s="102"/>
      <c r="B198" s="82"/>
      <c r="C198" s="82"/>
      <c r="D198" s="82"/>
      <c r="E198" s="82"/>
      <c r="F198" s="80"/>
      <c r="G198" s="82"/>
      <c r="H198" s="127"/>
      <c r="I198" s="192">
        <f ca="1">J199+K199+M199+N199+O199</f>
        <v>403674992</v>
      </c>
      <c r="J198" s="193"/>
      <c r="K198" s="193"/>
      <c r="L198" s="193"/>
      <c r="M198" s="193"/>
      <c r="N198" s="193"/>
      <c r="O198" s="193"/>
      <c r="P198" s="194">
        <f ca="1">SUM(Q199:R199)</f>
        <v>634.57650000000001</v>
      </c>
      <c r="Q198" s="339"/>
      <c r="R198" s="339"/>
      <c r="S198" s="355"/>
      <c r="T198" s="355"/>
      <c r="U198" s="355"/>
      <c r="V198" s="511">
        <f ca="1">SUM(S199:U199)</f>
        <v>-185916</v>
      </c>
      <c r="W198" s="512"/>
      <c r="X198" s="512"/>
      <c r="Y198" s="511">
        <f ca="1">SUM(W199:X199)</f>
        <v>-16071</v>
      </c>
      <c r="Z198" s="511">
        <f ca="1">V199+Y199</f>
        <v>-201987</v>
      </c>
      <c r="AA198" s="354"/>
      <c r="AB198" s="354"/>
      <c r="AC198" s="512"/>
      <c r="AD198" s="512"/>
      <c r="AE198" s="511">
        <f ca="1">SUM(AC199:AD199)</f>
        <v>317250</v>
      </c>
      <c r="AF198" s="511">
        <f ca="1">Z199+AA199+AB199+AE199</f>
        <v>43270</v>
      </c>
      <c r="AG198" s="513"/>
      <c r="AH198" s="513"/>
      <c r="AI198" s="513"/>
      <c r="AJ198" s="513"/>
      <c r="AK198" s="513"/>
      <c r="AL198" s="514">
        <f ca="1">AG199+AI199+AJ199</f>
        <v>0.01</v>
      </c>
      <c r="AM198" s="514">
        <f ca="1">AH199+AK199</f>
        <v>0</v>
      </c>
      <c r="AN198" s="514">
        <f ca="1">SUM(AL199:AM199)</f>
        <v>0.01</v>
      </c>
      <c r="AO198" s="362">
        <f ca="1">AP199+AQ199+AS199+AT199+AU199</f>
        <v>403718262</v>
      </c>
      <c r="AP198" s="363"/>
      <c r="AQ198" s="363"/>
      <c r="AR198" s="683"/>
      <c r="AS198" s="363"/>
      <c r="AT198" s="363"/>
      <c r="AU198" s="363"/>
      <c r="AV198" s="355">
        <f ca="1">SUM(AW199:AX199)</f>
        <v>634.58650000000011</v>
      </c>
      <c r="AW198" s="363"/>
      <c r="AX198" s="363"/>
    </row>
    <row r="199" spans="1:50" s="738" customFormat="1" ht="12.75" customHeight="1" thickBot="1" x14ac:dyDescent="0.25">
      <c r="D199" s="16"/>
      <c r="E199" s="12"/>
      <c r="F199" s="16"/>
      <c r="G199" s="36"/>
      <c r="H199" s="252" t="s">
        <v>0</v>
      </c>
      <c r="I199" s="264">
        <f t="shared" ref="I199:AX199" ca="1" si="314">SUM(I200:I209)</f>
        <v>403674992</v>
      </c>
      <c r="J199" s="46">
        <f t="shared" ca="1" si="314"/>
        <v>288702527</v>
      </c>
      <c r="K199" s="46">
        <f t="shared" ca="1" si="314"/>
        <v>2525722</v>
      </c>
      <c r="L199" s="46">
        <f t="shared" ca="1" si="314"/>
        <v>684618</v>
      </c>
      <c r="M199" s="46">
        <f t="shared" ca="1" si="314"/>
        <v>98125153</v>
      </c>
      <c r="N199" s="46">
        <f t="shared" ca="1" si="314"/>
        <v>5774062</v>
      </c>
      <c r="O199" s="46">
        <f t="shared" ca="1" si="314"/>
        <v>8547528</v>
      </c>
      <c r="P199" s="47">
        <f t="shared" ca="1" si="314"/>
        <v>634.57650000000001</v>
      </c>
      <c r="Q199" s="47">
        <f t="shared" ca="1" si="314"/>
        <v>432.9554</v>
      </c>
      <c r="R199" s="263">
        <f t="shared" ca="1" si="314"/>
        <v>201.62110000000001</v>
      </c>
      <c r="S199" s="255">
        <f t="shared" ca="1" si="314"/>
        <v>16071</v>
      </c>
      <c r="T199" s="46">
        <f t="shared" ca="1" si="314"/>
        <v>-16421</v>
      </c>
      <c r="U199" s="46">
        <f t="shared" ca="1" si="314"/>
        <v>-185566</v>
      </c>
      <c r="V199" s="46">
        <f t="shared" ca="1" si="314"/>
        <v>-185916</v>
      </c>
      <c r="W199" s="46">
        <f t="shared" ca="1" si="314"/>
        <v>-16071</v>
      </c>
      <c r="X199" s="46">
        <f t="shared" ca="1" si="314"/>
        <v>0</v>
      </c>
      <c r="Y199" s="46">
        <f t="shared" ca="1" si="314"/>
        <v>-16071</v>
      </c>
      <c r="Z199" s="46">
        <f t="shared" ca="1" si="314"/>
        <v>-201987</v>
      </c>
      <c r="AA199" s="46">
        <f t="shared" ca="1" si="314"/>
        <v>-68273</v>
      </c>
      <c r="AB199" s="46">
        <f t="shared" ca="1" si="314"/>
        <v>-3720</v>
      </c>
      <c r="AC199" s="46">
        <f t="shared" ca="1" si="314"/>
        <v>35250</v>
      </c>
      <c r="AD199" s="46">
        <f t="shared" ca="1" si="314"/>
        <v>282000</v>
      </c>
      <c r="AE199" s="46">
        <f t="shared" ca="1" si="314"/>
        <v>317250</v>
      </c>
      <c r="AF199" s="46">
        <f t="shared" ca="1" si="314"/>
        <v>43270</v>
      </c>
      <c r="AG199" s="47">
        <f t="shared" ca="1" si="314"/>
        <v>0</v>
      </c>
      <c r="AH199" s="47">
        <f t="shared" ca="1" si="314"/>
        <v>0</v>
      </c>
      <c r="AI199" s="47">
        <f t="shared" ca="1" si="314"/>
        <v>0.01</v>
      </c>
      <c r="AJ199" s="47">
        <f t="shared" ca="1" si="314"/>
        <v>0</v>
      </c>
      <c r="AK199" s="47">
        <f t="shared" ca="1" si="314"/>
        <v>0</v>
      </c>
      <c r="AL199" s="47">
        <f t="shared" ca="1" si="314"/>
        <v>0.01</v>
      </c>
      <c r="AM199" s="47">
        <f t="shared" ca="1" si="314"/>
        <v>0</v>
      </c>
      <c r="AN199" s="263">
        <f t="shared" ca="1" si="314"/>
        <v>0.01</v>
      </c>
      <c r="AO199" s="255">
        <f t="shared" ca="1" si="314"/>
        <v>403718262</v>
      </c>
      <c r="AP199" s="46">
        <f t="shared" ca="1" si="314"/>
        <v>288516611</v>
      </c>
      <c r="AQ199" s="46">
        <f t="shared" ca="1" si="314"/>
        <v>2509651</v>
      </c>
      <c r="AR199" s="46">
        <f t="shared" ca="1" si="314"/>
        <v>684618</v>
      </c>
      <c r="AS199" s="46">
        <f t="shared" ca="1" si="314"/>
        <v>98056880</v>
      </c>
      <c r="AT199" s="46">
        <f t="shared" ca="1" si="314"/>
        <v>5770342</v>
      </c>
      <c r="AU199" s="46">
        <f t="shared" ca="1" si="314"/>
        <v>8864778</v>
      </c>
      <c r="AV199" s="47">
        <f t="shared" ca="1" si="314"/>
        <v>634.5865</v>
      </c>
      <c r="AW199" s="47">
        <f t="shared" ca="1" si="314"/>
        <v>432.96540000000005</v>
      </c>
      <c r="AX199" s="48">
        <f t="shared" ca="1" si="314"/>
        <v>201.62110000000001</v>
      </c>
    </row>
    <row r="200" spans="1:50" s="738" customFormat="1" ht="12.75" customHeight="1" x14ac:dyDescent="0.2">
      <c r="D200" s="16"/>
      <c r="E200" s="569"/>
      <c r="F200" s="16"/>
      <c r="G200" s="36"/>
      <c r="H200" s="253">
        <v>3111</v>
      </c>
      <c r="I200" s="325">
        <f t="shared" ref="I200:AX200" ca="1" si="315">SUMIF($F$12:$F$427,"=3111",I$12:I$383)</f>
        <v>90710343</v>
      </c>
      <c r="J200" s="322">
        <f t="shared" ca="1" si="315"/>
        <v>65867293</v>
      </c>
      <c r="K200" s="322">
        <f t="shared" ca="1" si="315"/>
        <v>233986</v>
      </c>
      <c r="L200" s="322">
        <f t="shared" ca="1" si="315"/>
        <v>0</v>
      </c>
      <c r="M200" s="322">
        <f t="shared" ca="1" si="315"/>
        <v>22325016</v>
      </c>
      <c r="N200" s="322">
        <f t="shared" ca="1" si="315"/>
        <v>1317351</v>
      </c>
      <c r="O200" s="322">
        <f t="shared" ca="1" si="315"/>
        <v>966697</v>
      </c>
      <c r="P200" s="323">
        <f t="shared" ca="1" si="315"/>
        <v>156.41759999999996</v>
      </c>
      <c r="Q200" s="323">
        <f t="shared" ca="1" si="315"/>
        <v>119.5145</v>
      </c>
      <c r="R200" s="326">
        <f t="shared" ca="1" si="315"/>
        <v>36.903099999999995</v>
      </c>
      <c r="S200" s="321">
        <f t="shared" ca="1" si="315"/>
        <v>24000</v>
      </c>
      <c r="T200" s="322">
        <f t="shared" ca="1" si="315"/>
        <v>0</v>
      </c>
      <c r="U200" s="322">
        <f t="shared" ca="1" si="315"/>
        <v>-38291</v>
      </c>
      <c r="V200" s="322">
        <f t="shared" ca="1" si="315"/>
        <v>-14291</v>
      </c>
      <c r="W200" s="322">
        <f t="shared" ca="1" si="315"/>
        <v>-24000</v>
      </c>
      <c r="X200" s="322">
        <f t="shared" ca="1" si="315"/>
        <v>0</v>
      </c>
      <c r="Y200" s="322">
        <f t="shared" ca="1" si="315"/>
        <v>-24000</v>
      </c>
      <c r="Z200" s="322">
        <f t="shared" ca="1" si="315"/>
        <v>-38291</v>
      </c>
      <c r="AA200" s="322">
        <f t="shared" ca="1" si="315"/>
        <v>-12943</v>
      </c>
      <c r="AB200" s="322">
        <f t="shared" ca="1" si="315"/>
        <v>-286</v>
      </c>
      <c r="AC200" s="322">
        <f t="shared" ca="1" si="315"/>
        <v>0</v>
      </c>
      <c r="AD200" s="322">
        <f t="shared" ca="1" si="315"/>
        <v>52000</v>
      </c>
      <c r="AE200" s="322">
        <f t="shared" ca="1" si="315"/>
        <v>52000</v>
      </c>
      <c r="AF200" s="322">
        <f t="shared" ca="1" si="315"/>
        <v>480</v>
      </c>
      <c r="AG200" s="323">
        <f t="shared" ca="1" si="315"/>
        <v>0</v>
      </c>
      <c r="AH200" s="323">
        <f t="shared" ca="1" si="315"/>
        <v>0</v>
      </c>
      <c r="AI200" s="323">
        <f t="shared" ca="1" si="315"/>
        <v>0</v>
      </c>
      <c r="AJ200" s="323">
        <f t="shared" ca="1" si="315"/>
        <v>0</v>
      </c>
      <c r="AK200" s="323">
        <f t="shared" ca="1" si="315"/>
        <v>0</v>
      </c>
      <c r="AL200" s="323">
        <f t="shared" ca="1" si="315"/>
        <v>0</v>
      </c>
      <c r="AM200" s="323">
        <f t="shared" ca="1" si="315"/>
        <v>0</v>
      </c>
      <c r="AN200" s="326">
        <f t="shared" ca="1" si="315"/>
        <v>0</v>
      </c>
      <c r="AO200" s="321">
        <f t="shared" ca="1" si="315"/>
        <v>90710823</v>
      </c>
      <c r="AP200" s="322">
        <f t="shared" ca="1" si="315"/>
        <v>65853002</v>
      </c>
      <c r="AQ200" s="322">
        <f t="shared" ca="1" si="315"/>
        <v>209986</v>
      </c>
      <c r="AR200" s="322">
        <f t="shared" ca="1" si="315"/>
        <v>0</v>
      </c>
      <c r="AS200" s="322">
        <f t="shared" ca="1" si="315"/>
        <v>22312073</v>
      </c>
      <c r="AT200" s="322">
        <f t="shared" ca="1" si="315"/>
        <v>1317065</v>
      </c>
      <c r="AU200" s="322">
        <f t="shared" ca="1" si="315"/>
        <v>1018697</v>
      </c>
      <c r="AV200" s="323">
        <f t="shared" ca="1" si="315"/>
        <v>156.41759999999996</v>
      </c>
      <c r="AW200" s="323">
        <f t="shared" ca="1" si="315"/>
        <v>119.5145</v>
      </c>
      <c r="AX200" s="324">
        <f t="shared" ca="1" si="315"/>
        <v>36.903099999999995</v>
      </c>
    </row>
    <row r="201" spans="1:50" s="738" customFormat="1" ht="12.75" customHeight="1" x14ac:dyDescent="0.2">
      <c r="D201" s="16"/>
      <c r="E201" s="569"/>
      <c r="F201" s="16"/>
      <c r="G201" s="36"/>
      <c r="H201" s="28">
        <v>3113</v>
      </c>
      <c r="I201" s="331">
        <f t="shared" ref="I201:AX201" si="316">SUMIF($F$12:$F$427,"=3113",I$12:I$427)</f>
        <v>168532285</v>
      </c>
      <c r="J201" s="328">
        <f t="shared" si="316"/>
        <v>119034495</v>
      </c>
      <c r="K201" s="328">
        <f t="shared" si="316"/>
        <v>1395788</v>
      </c>
      <c r="L201" s="328">
        <f t="shared" si="316"/>
        <v>579420</v>
      </c>
      <c r="M201" s="328">
        <f t="shared" si="316"/>
        <v>40448210</v>
      </c>
      <c r="N201" s="328">
        <f t="shared" si="316"/>
        <v>2380692</v>
      </c>
      <c r="O201" s="328">
        <f t="shared" si="316"/>
        <v>5273100</v>
      </c>
      <c r="P201" s="329">
        <f t="shared" si="316"/>
        <v>234.31870000000001</v>
      </c>
      <c r="Q201" s="329">
        <f t="shared" si="316"/>
        <v>184.44540000000001</v>
      </c>
      <c r="R201" s="332">
        <f t="shared" si="316"/>
        <v>49.8733</v>
      </c>
      <c r="S201" s="327">
        <f t="shared" si="316"/>
        <v>0</v>
      </c>
      <c r="T201" s="328">
        <f t="shared" si="316"/>
        <v>-18311</v>
      </c>
      <c r="U201" s="328">
        <f t="shared" si="316"/>
        <v>-110457</v>
      </c>
      <c r="V201" s="328">
        <f t="shared" si="316"/>
        <v>-128768</v>
      </c>
      <c r="W201" s="328">
        <f t="shared" si="316"/>
        <v>0</v>
      </c>
      <c r="X201" s="328">
        <f t="shared" si="316"/>
        <v>0</v>
      </c>
      <c r="Y201" s="328">
        <f t="shared" si="316"/>
        <v>0</v>
      </c>
      <c r="Z201" s="328">
        <f t="shared" si="316"/>
        <v>-128768</v>
      </c>
      <c r="AA201" s="328">
        <f t="shared" si="316"/>
        <v>-43524</v>
      </c>
      <c r="AB201" s="328">
        <f t="shared" si="316"/>
        <v>-2576</v>
      </c>
      <c r="AC201" s="328">
        <f t="shared" si="316"/>
        <v>35250</v>
      </c>
      <c r="AD201" s="328">
        <f t="shared" si="316"/>
        <v>180000</v>
      </c>
      <c r="AE201" s="328">
        <f t="shared" si="316"/>
        <v>215250</v>
      </c>
      <c r="AF201" s="328">
        <f t="shared" si="316"/>
        <v>40382</v>
      </c>
      <c r="AG201" s="329">
        <f t="shared" si="316"/>
        <v>0</v>
      </c>
      <c r="AH201" s="329">
        <f t="shared" si="316"/>
        <v>0</v>
      </c>
      <c r="AI201" s="329">
        <f t="shared" si="316"/>
        <v>0.01</v>
      </c>
      <c r="AJ201" s="329">
        <f t="shared" si="316"/>
        <v>0</v>
      </c>
      <c r="AK201" s="329">
        <f t="shared" si="316"/>
        <v>0</v>
      </c>
      <c r="AL201" s="329">
        <f t="shared" si="316"/>
        <v>0.01</v>
      </c>
      <c r="AM201" s="329">
        <f t="shared" si="316"/>
        <v>0</v>
      </c>
      <c r="AN201" s="332">
        <f t="shared" si="316"/>
        <v>0.01</v>
      </c>
      <c r="AO201" s="327">
        <f t="shared" si="316"/>
        <v>168572667</v>
      </c>
      <c r="AP201" s="328">
        <f t="shared" si="316"/>
        <v>118905727</v>
      </c>
      <c r="AQ201" s="328">
        <f t="shared" si="316"/>
        <v>1395788</v>
      </c>
      <c r="AR201" s="328">
        <f t="shared" si="316"/>
        <v>579420</v>
      </c>
      <c r="AS201" s="328">
        <f t="shared" si="316"/>
        <v>40404686</v>
      </c>
      <c r="AT201" s="328">
        <f t="shared" si="316"/>
        <v>2378116</v>
      </c>
      <c r="AU201" s="328">
        <f t="shared" si="316"/>
        <v>5488350</v>
      </c>
      <c r="AV201" s="329">
        <f t="shared" si="316"/>
        <v>234.32870000000003</v>
      </c>
      <c r="AW201" s="329">
        <f t="shared" si="316"/>
        <v>184.45540000000003</v>
      </c>
      <c r="AX201" s="330">
        <f t="shared" si="316"/>
        <v>49.8733</v>
      </c>
    </row>
    <row r="202" spans="1:50" s="738" customFormat="1" ht="12.75" customHeight="1" x14ac:dyDescent="0.2">
      <c r="D202" s="16"/>
      <c r="E202" s="569"/>
      <c r="F202" s="16"/>
      <c r="G202" s="36"/>
      <c r="H202" s="28">
        <v>3114</v>
      </c>
      <c r="I202" s="331">
        <f t="shared" ref="I202:AX202" si="317">SUMIF($F$12:$F$427,"=3114",I$12:I$427)</f>
        <v>19329992</v>
      </c>
      <c r="J202" s="328">
        <f t="shared" si="317"/>
        <v>13787358</v>
      </c>
      <c r="K202" s="328">
        <f t="shared" si="317"/>
        <v>231360</v>
      </c>
      <c r="L202" s="328">
        <f t="shared" si="317"/>
        <v>10360</v>
      </c>
      <c r="M202" s="328">
        <f t="shared" si="317"/>
        <v>4734826</v>
      </c>
      <c r="N202" s="328">
        <f t="shared" si="317"/>
        <v>275748</v>
      </c>
      <c r="O202" s="328">
        <f t="shared" si="317"/>
        <v>300700</v>
      </c>
      <c r="P202" s="329">
        <f t="shared" si="317"/>
        <v>26.4283</v>
      </c>
      <c r="Q202" s="329">
        <f t="shared" si="317"/>
        <v>20.75</v>
      </c>
      <c r="R202" s="332">
        <f t="shared" si="317"/>
        <v>5.6783000000000001</v>
      </c>
      <c r="S202" s="327">
        <f t="shared" si="317"/>
        <v>0</v>
      </c>
      <c r="T202" s="328">
        <f t="shared" si="317"/>
        <v>0</v>
      </c>
      <c r="U202" s="328">
        <f t="shared" si="317"/>
        <v>-22091</v>
      </c>
      <c r="V202" s="328">
        <f t="shared" si="317"/>
        <v>-22091</v>
      </c>
      <c r="W202" s="328">
        <f t="shared" si="317"/>
        <v>0</v>
      </c>
      <c r="X202" s="328">
        <f t="shared" si="317"/>
        <v>0</v>
      </c>
      <c r="Y202" s="328">
        <f t="shared" si="317"/>
        <v>0</v>
      </c>
      <c r="Z202" s="328">
        <f t="shared" si="317"/>
        <v>-22091</v>
      </c>
      <c r="AA202" s="328">
        <f t="shared" si="317"/>
        <v>-7467</v>
      </c>
      <c r="AB202" s="328">
        <f t="shared" si="317"/>
        <v>-442</v>
      </c>
      <c r="AC202" s="328">
        <f t="shared" si="317"/>
        <v>0</v>
      </c>
      <c r="AD202" s="328">
        <f t="shared" si="317"/>
        <v>30000</v>
      </c>
      <c r="AE202" s="328">
        <f t="shared" si="317"/>
        <v>30000</v>
      </c>
      <c r="AF202" s="328">
        <f t="shared" si="317"/>
        <v>0</v>
      </c>
      <c r="AG202" s="329">
        <f t="shared" si="317"/>
        <v>0</v>
      </c>
      <c r="AH202" s="329">
        <f t="shared" si="317"/>
        <v>0</v>
      </c>
      <c r="AI202" s="329">
        <f t="shared" si="317"/>
        <v>0</v>
      </c>
      <c r="AJ202" s="329">
        <f t="shared" si="317"/>
        <v>0</v>
      </c>
      <c r="AK202" s="329">
        <f t="shared" si="317"/>
        <v>0</v>
      </c>
      <c r="AL202" s="329">
        <f t="shared" si="317"/>
        <v>0</v>
      </c>
      <c r="AM202" s="329">
        <f t="shared" si="317"/>
        <v>0</v>
      </c>
      <c r="AN202" s="332">
        <f t="shared" si="317"/>
        <v>0</v>
      </c>
      <c r="AO202" s="327">
        <f t="shared" si="317"/>
        <v>19329992</v>
      </c>
      <c r="AP202" s="328">
        <f t="shared" si="317"/>
        <v>13765267</v>
      </c>
      <c r="AQ202" s="328">
        <f t="shared" si="317"/>
        <v>231360</v>
      </c>
      <c r="AR202" s="328">
        <f t="shared" si="317"/>
        <v>10360</v>
      </c>
      <c r="AS202" s="328">
        <f t="shared" si="317"/>
        <v>4727359</v>
      </c>
      <c r="AT202" s="328">
        <f t="shared" si="317"/>
        <v>275306</v>
      </c>
      <c r="AU202" s="328">
        <f t="shared" si="317"/>
        <v>330700</v>
      </c>
      <c r="AV202" s="329">
        <f t="shared" si="317"/>
        <v>26.4283</v>
      </c>
      <c r="AW202" s="329">
        <f t="shared" si="317"/>
        <v>20.75</v>
      </c>
      <c r="AX202" s="330">
        <f t="shared" si="317"/>
        <v>5.6783000000000001</v>
      </c>
    </row>
    <row r="203" spans="1:50" s="738" customFormat="1" ht="12.75" customHeight="1" x14ac:dyDescent="0.2">
      <c r="D203" s="16"/>
      <c r="E203" s="569"/>
      <c r="F203" s="16"/>
      <c r="G203" s="36"/>
      <c r="H203" s="28">
        <v>3117</v>
      </c>
      <c r="I203" s="331">
        <f t="shared" ref="I203:AX203" si="318">SUMIF($F$12:$F$427,"=3117",I$12:I$427)</f>
        <v>48067891</v>
      </c>
      <c r="J203" s="328">
        <f t="shared" si="318"/>
        <v>33983381</v>
      </c>
      <c r="K203" s="328">
        <f t="shared" si="318"/>
        <v>242538</v>
      </c>
      <c r="L203" s="328">
        <f t="shared" si="318"/>
        <v>94838</v>
      </c>
      <c r="M203" s="328">
        <f t="shared" si="318"/>
        <v>11536306</v>
      </c>
      <c r="N203" s="328">
        <f t="shared" si="318"/>
        <v>679666</v>
      </c>
      <c r="O203" s="328">
        <f t="shared" si="318"/>
        <v>1626000</v>
      </c>
      <c r="P203" s="329">
        <f t="shared" si="318"/>
        <v>68.001200000000011</v>
      </c>
      <c r="Q203" s="329">
        <f t="shared" si="318"/>
        <v>46.770800000000001</v>
      </c>
      <c r="R203" s="332">
        <f t="shared" si="318"/>
        <v>21.230399999999999</v>
      </c>
      <c r="S203" s="327">
        <f t="shared" si="318"/>
        <v>-7929</v>
      </c>
      <c r="T203" s="328">
        <f t="shared" si="318"/>
        <v>1890</v>
      </c>
      <c r="U203" s="328">
        <f t="shared" si="318"/>
        <v>0</v>
      </c>
      <c r="V203" s="328">
        <f t="shared" si="318"/>
        <v>-6039</v>
      </c>
      <c r="W203" s="328">
        <f t="shared" si="318"/>
        <v>7929</v>
      </c>
      <c r="X203" s="328">
        <f t="shared" si="318"/>
        <v>0</v>
      </c>
      <c r="Y203" s="328">
        <f t="shared" si="318"/>
        <v>7929</v>
      </c>
      <c r="Z203" s="328">
        <f t="shared" si="318"/>
        <v>1890</v>
      </c>
      <c r="AA203" s="328">
        <f t="shared" si="318"/>
        <v>639</v>
      </c>
      <c r="AB203" s="328">
        <f t="shared" si="318"/>
        <v>-121</v>
      </c>
      <c r="AC203" s="328">
        <f t="shared" si="318"/>
        <v>0</v>
      </c>
      <c r="AD203" s="328">
        <f t="shared" si="318"/>
        <v>0</v>
      </c>
      <c r="AE203" s="328">
        <f t="shared" si="318"/>
        <v>0</v>
      </c>
      <c r="AF203" s="328">
        <f t="shared" si="318"/>
        <v>2408</v>
      </c>
      <c r="AG203" s="329">
        <f t="shared" si="318"/>
        <v>0</v>
      </c>
      <c r="AH203" s="329">
        <f t="shared" si="318"/>
        <v>0</v>
      </c>
      <c r="AI203" s="329">
        <f t="shared" si="318"/>
        <v>0</v>
      </c>
      <c r="AJ203" s="329">
        <f t="shared" si="318"/>
        <v>0</v>
      </c>
      <c r="AK203" s="329">
        <f t="shared" si="318"/>
        <v>0</v>
      </c>
      <c r="AL203" s="329">
        <f t="shared" si="318"/>
        <v>0</v>
      </c>
      <c r="AM203" s="329">
        <f t="shared" si="318"/>
        <v>0</v>
      </c>
      <c r="AN203" s="332">
        <f t="shared" si="318"/>
        <v>0</v>
      </c>
      <c r="AO203" s="327">
        <f t="shared" si="318"/>
        <v>48070299</v>
      </c>
      <c r="AP203" s="328">
        <f t="shared" si="318"/>
        <v>33977342</v>
      </c>
      <c r="AQ203" s="328">
        <f t="shared" si="318"/>
        <v>250467</v>
      </c>
      <c r="AR203" s="328">
        <f t="shared" si="318"/>
        <v>94838</v>
      </c>
      <c r="AS203" s="328">
        <f t="shared" si="318"/>
        <v>11536945</v>
      </c>
      <c r="AT203" s="328">
        <f t="shared" si="318"/>
        <v>679545</v>
      </c>
      <c r="AU203" s="328">
        <f t="shared" si="318"/>
        <v>1626000</v>
      </c>
      <c r="AV203" s="329">
        <f t="shared" si="318"/>
        <v>68.001200000000011</v>
      </c>
      <c r="AW203" s="329">
        <f t="shared" si="318"/>
        <v>46.770800000000001</v>
      </c>
      <c r="AX203" s="330">
        <f t="shared" si="318"/>
        <v>21.230399999999999</v>
      </c>
    </row>
    <row r="204" spans="1:50" s="738" customFormat="1" ht="12.75" x14ac:dyDescent="0.2">
      <c r="D204" s="16"/>
      <c r="E204" s="569"/>
      <c r="F204" s="16"/>
      <c r="G204" s="36"/>
      <c r="H204" s="28">
        <v>3122</v>
      </c>
      <c r="I204" s="331">
        <f t="shared" ref="I204:AX204" si="319">SUMIF($F$12:$F$383,"=3122",I$12:I$383)</f>
        <v>0</v>
      </c>
      <c r="J204" s="328">
        <f t="shared" si="319"/>
        <v>0</v>
      </c>
      <c r="K204" s="328">
        <f t="shared" si="319"/>
        <v>0</v>
      </c>
      <c r="L204" s="328">
        <f t="shared" si="319"/>
        <v>0</v>
      </c>
      <c r="M204" s="328">
        <f t="shared" si="319"/>
        <v>0</v>
      </c>
      <c r="N204" s="328">
        <f t="shared" si="319"/>
        <v>0</v>
      </c>
      <c r="O204" s="328">
        <f t="shared" si="319"/>
        <v>0</v>
      </c>
      <c r="P204" s="329">
        <f t="shared" si="319"/>
        <v>0</v>
      </c>
      <c r="Q204" s="329">
        <f t="shared" si="319"/>
        <v>0</v>
      </c>
      <c r="R204" s="332">
        <f t="shared" si="319"/>
        <v>0</v>
      </c>
      <c r="S204" s="327">
        <f t="shared" si="319"/>
        <v>0</v>
      </c>
      <c r="T204" s="328">
        <f t="shared" si="319"/>
        <v>0</v>
      </c>
      <c r="U204" s="328">
        <f t="shared" si="319"/>
        <v>0</v>
      </c>
      <c r="V204" s="328">
        <f t="shared" si="319"/>
        <v>0</v>
      </c>
      <c r="W204" s="328">
        <f t="shared" si="319"/>
        <v>0</v>
      </c>
      <c r="X204" s="328">
        <f t="shared" si="319"/>
        <v>0</v>
      </c>
      <c r="Y204" s="328">
        <f t="shared" si="319"/>
        <v>0</v>
      </c>
      <c r="Z204" s="328">
        <f t="shared" si="319"/>
        <v>0</v>
      </c>
      <c r="AA204" s="328">
        <f t="shared" si="319"/>
        <v>0</v>
      </c>
      <c r="AB204" s="328">
        <f t="shared" si="319"/>
        <v>0</v>
      </c>
      <c r="AC204" s="328">
        <f t="shared" si="319"/>
        <v>0</v>
      </c>
      <c r="AD204" s="328">
        <f t="shared" si="319"/>
        <v>0</v>
      </c>
      <c r="AE204" s="328">
        <f t="shared" si="319"/>
        <v>0</v>
      </c>
      <c r="AF204" s="328">
        <f t="shared" si="319"/>
        <v>0</v>
      </c>
      <c r="AG204" s="329">
        <f t="shared" si="319"/>
        <v>0</v>
      </c>
      <c r="AH204" s="329">
        <f t="shared" si="319"/>
        <v>0</v>
      </c>
      <c r="AI204" s="329">
        <f t="shared" si="319"/>
        <v>0</v>
      </c>
      <c r="AJ204" s="329">
        <f t="shared" si="319"/>
        <v>0</v>
      </c>
      <c r="AK204" s="329">
        <f t="shared" si="319"/>
        <v>0</v>
      </c>
      <c r="AL204" s="329">
        <f t="shared" si="319"/>
        <v>0</v>
      </c>
      <c r="AM204" s="329">
        <f t="shared" si="319"/>
        <v>0</v>
      </c>
      <c r="AN204" s="332">
        <f t="shared" si="319"/>
        <v>0</v>
      </c>
      <c r="AO204" s="327">
        <f t="shared" si="319"/>
        <v>0</v>
      </c>
      <c r="AP204" s="328">
        <f t="shared" si="319"/>
        <v>0</v>
      </c>
      <c r="AQ204" s="328">
        <f t="shared" si="319"/>
        <v>0</v>
      </c>
      <c r="AR204" s="328">
        <f t="shared" si="319"/>
        <v>0</v>
      </c>
      <c r="AS204" s="328">
        <f t="shared" si="319"/>
        <v>0</v>
      </c>
      <c r="AT204" s="328">
        <f t="shared" si="319"/>
        <v>0</v>
      </c>
      <c r="AU204" s="328">
        <f t="shared" si="319"/>
        <v>0</v>
      </c>
      <c r="AV204" s="329">
        <f t="shared" si="319"/>
        <v>0</v>
      </c>
      <c r="AW204" s="329">
        <f t="shared" si="319"/>
        <v>0</v>
      </c>
      <c r="AX204" s="330">
        <f t="shared" si="319"/>
        <v>0</v>
      </c>
    </row>
    <row r="205" spans="1:50" s="738" customFormat="1" ht="12.75" x14ac:dyDescent="0.2">
      <c r="D205" s="16"/>
      <c r="E205" s="569"/>
      <c r="F205" s="16"/>
      <c r="G205" s="36"/>
      <c r="H205" s="28">
        <v>3124</v>
      </c>
      <c r="I205" s="331">
        <f t="shared" ref="I205:AX205" si="320">SUMIF($F$12:$F$383,"=3124",I$12:I$383)</f>
        <v>0</v>
      </c>
      <c r="J205" s="328">
        <f t="shared" si="320"/>
        <v>0</v>
      </c>
      <c r="K205" s="328">
        <f t="shared" si="320"/>
        <v>0</v>
      </c>
      <c r="L205" s="328">
        <f t="shared" si="320"/>
        <v>0</v>
      </c>
      <c r="M205" s="328">
        <f t="shared" si="320"/>
        <v>0</v>
      </c>
      <c r="N205" s="328">
        <f t="shared" si="320"/>
        <v>0</v>
      </c>
      <c r="O205" s="328">
        <f t="shared" si="320"/>
        <v>0</v>
      </c>
      <c r="P205" s="329">
        <f t="shared" si="320"/>
        <v>0</v>
      </c>
      <c r="Q205" s="329">
        <f t="shared" si="320"/>
        <v>0</v>
      </c>
      <c r="R205" s="332">
        <f t="shared" si="320"/>
        <v>0</v>
      </c>
      <c r="S205" s="327">
        <f t="shared" si="320"/>
        <v>0</v>
      </c>
      <c r="T205" s="328">
        <f t="shared" si="320"/>
        <v>0</v>
      </c>
      <c r="U205" s="328">
        <f t="shared" si="320"/>
        <v>0</v>
      </c>
      <c r="V205" s="328">
        <f t="shared" si="320"/>
        <v>0</v>
      </c>
      <c r="W205" s="328">
        <f t="shared" si="320"/>
        <v>0</v>
      </c>
      <c r="X205" s="328">
        <f t="shared" si="320"/>
        <v>0</v>
      </c>
      <c r="Y205" s="328">
        <f t="shared" si="320"/>
        <v>0</v>
      </c>
      <c r="Z205" s="328">
        <f t="shared" si="320"/>
        <v>0</v>
      </c>
      <c r="AA205" s="328">
        <f t="shared" si="320"/>
        <v>0</v>
      </c>
      <c r="AB205" s="328">
        <f t="shared" si="320"/>
        <v>0</v>
      </c>
      <c r="AC205" s="328">
        <f t="shared" si="320"/>
        <v>0</v>
      </c>
      <c r="AD205" s="328">
        <f t="shared" si="320"/>
        <v>0</v>
      </c>
      <c r="AE205" s="328">
        <f t="shared" si="320"/>
        <v>0</v>
      </c>
      <c r="AF205" s="328">
        <f t="shared" si="320"/>
        <v>0</v>
      </c>
      <c r="AG205" s="329">
        <f t="shared" si="320"/>
        <v>0</v>
      </c>
      <c r="AH205" s="329">
        <f t="shared" si="320"/>
        <v>0</v>
      </c>
      <c r="AI205" s="329">
        <f t="shared" si="320"/>
        <v>0</v>
      </c>
      <c r="AJ205" s="329">
        <f t="shared" si="320"/>
        <v>0</v>
      </c>
      <c r="AK205" s="329">
        <f t="shared" si="320"/>
        <v>0</v>
      </c>
      <c r="AL205" s="329">
        <f t="shared" si="320"/>
        <v>0</v>
      </c>
      <c r="AM205" s="329">
        <f t="shared" si="320"/>
        <v>0</v>
      </c>
      <c r="AN205" s="332">
        <f t="shared" si="320"/>
        <v>0</v>
      </c>
      <c r="AO205" s="327">
        <f t="shared" si="320"/>
        <v>0</v>
      </c>
      <c r="AP205" s="328">
        <f t="shared" si="320"/>
        <v>0</v>
      </c>
      <c r="AQ205" s="328">
        <f t="shared" si="320"/>
        <v>0</v>
      </c>
      <c r="AR205" s="328">
        <f t="shared" si="320"/>
        <v>0</v>
      </c>
      <c r="AS205" s="328">
        <f t="shared" si="320"/>
        <v>0</v>
      </c>
      <c r="AT205" s="328">
        <f t="shared" si="320"/>
        <v>0</v>
      </c>
      <c r="AU205" s="328">
        <f t="shared" si="320"/>
        <v>0</v>
      </c>
      <c r="AV205" s="329">
        <f t="shared" si="320"/>
        <v>0</v>
      </c>
      <c r="AW205" s="329">
        <f t="shared" si="320"/>
        <v>0</v>
      </c>
      <c r="AX205" s="330">
        <f t="shared" si="320"/>
        <v>0</v>
      </c>
    </row>
    <row r="206" spans="1:50" s="738" customFormat="1" ht="12.75" x14ac:dyDescent="0.2">
      <c r="D206" s="16"/>
      <c r="E206" s="569"/>
      <c r="F206" s="16"/>
      <c r="G206" s="36"/>
      <c r="H206" s="28">
        <v>3141</v>
      </c>
      <c r="I206" s="331">
        <f t="shared" ref="I206:AX206" si="321">SUMIF($F$12:$F$427,"=3141",I$12:I$427)</f>
        <v>32419946</v>
      </c>
      <c r="J206" s="328">
        <f t="shared" si="321"/>
        <v>23544941</v>
      </c>
      <c r="K206" s="328">
        <f t="shared" si="321"/>
        <v>159625</v>
      </c>
      <c r="L206" s="328">
        <f t="shared" si="321"/>
        <v>0</v>
      </c>
      <c r="M206" s="328">
        <f t="shared" si="321"/>
        <v>8012142</v>
      </c>
      <c r="N206" s="328">
        <f t="shared" si="321"/>
        <v>470902</v>
      </c>
      <c r="O206" s="328">
        <f t="shared" si="321"/>
        <v>232336</v>
      </c>
      <c r="P206" s="329">
        <f t="shared" si="321"/>
        <v>80.560000000000031</v>
      </c>
      <c r="Q206" s="329">
        <f t="shared" si="321"/>
        <v>0</v>
      </c>
      <c r="R206" s="332">
        <f t="shared" si="321"/>
        <v>80.560000000000031</v>
      </c>
      <c r="S206" s="327">
        <f t="shared" si="321"/>
        <v>0</v>
      </c>
      <c r="T206" s="328">
        <f t="shared" si="321"/>
        <v>0</v>
      </c>
      <c r="U206" s="328">
        <f t="shared" si="321"/>
        <v>0</v>
      </c>
      <c r="V206" s="328">
        <f t="shared" si="321"/>
        <v>0</v>
      </c>
      <c r="W206" s="328">
        <f t="shared" si="321"/>
        <v>0</v>
      </c>
      <c r="X206" s="328">
        <f t="shared" si="321"/>
        <v>0</v>
      </c>
      <c r="Y206" s="328">
        <f t="shared" si="321"/>
        <v>0</v>
      </c>
      <c r="Z206" s="328">
        <f t="shared" si="321"/>
        <v>0</v>
      </c>
      <c r="AA206" s="328">
        <f t="shared" si="321"/>
        <v>0</v>
      </c>
      <c r="AB206" s="328">
        <f t="shared" si="321"/>
        <v>0</v>
      </c>
      <c r="AC206" s="328">
        <f t="shared" si="321"/>
        <v>0</v>
      </c>
      <c r="AD206" s="328">
        <f t="shared" si="321"/>
        <v>0</v>
      </c>
      <c r="AE206" s="328">
        <f t="shared" si="321"/>
        <v>0</v>
      </c>
      <c r="AF206" s="328">
        <f t="shared" si="321"/>
        <v>0</v>
      </c>
      <c r="AG206" s="329">
        <f t="shared" si="321"/>
        <v>0</v>
      </c>
      <c r="AH206" s="329">
        <f t="shared" si="321"/>
        <v>0</v>
      </c>
      <c r="AI206" s="329">
        <f t="shared" si="321"/>
        <v>0</v>
      </c>
      <c r="AJ206" s="329">
        <f t="shared" si="321"/>
        <v>0</v>
      </c>
      <c r="AK206" s="329">
        <f t="shared" si="321"/>
        <v>0</v>
      </c>
      <c r="AL206" s="329">
        <f t="shared" si="321"/>
        <v>0</v>
      </c>
      <c r="AM206" s="329">
        <f t="shared" si="321"/>
        <v>0</v>
      </c>
      <c r="AN206" s="332">
        <f t="shared" si="321"/>
        <v>0</v>
      </c>
      <c r="AO206" s="327">
        <f t="shared" si="321"/>
        <v>32419946</v>
      </c>
      <c r="AP206" s="328">
        <f t="shared" si="321"/>
        <v>23544941</v>
      </c>
      <c r="AQ206" s="328">
        <f t="shared" si="321"/>
        <v>159625</v>
      </c>
      <c r="AR206" s="328">
        <f t="shared" si="321"/>
        <v>0</v>
      </c>
      <c r="AS206" s="328">
        <f t="shared" si="321"/>
        <v>8012142</v>
      </c>
      <c r="AT206" s="328">
        <f t="shared" si="321"/>
        <v>470902</v>
      </c>
      <c r="AU206" s="328">
        <f t="shared" si="321"/>
        <v>232336</v>
      </c>
      <c r="AV206" s="329">
        <f t="shared" si="321"/>
        <v>80.560000000000031</v>
      </c>
      <c r="AW206" s="329">
        <f t="shared" si="321"/>
        <v>0</v>
      </c>
      <c r="AX206" s="330">
        <f t="shared" si="321"/>
        <v>80.560000000000031</v>
      </c>
    </row>
    <row r="207" spans="1:50" s="738" customFormat="1" ht="12.75" x14ac:dyDescent="0.2">
      <c r="D207" s="16"/>
      <c r="E207" s="569"/>
      <c r="F207" s="16"/>
      <c r="G207" s="36"/>
      <c r="H207" s="28">
        <v>3143</v>
      </c>
      <c r="I207" s="331">
        <f t="shared" ref="I207:AX207" si="322">SUMIF($F$12:$F$427,"=3143",I$12:I$427)</f>
        <v>20934638</v>
      </c>
      <c r="J207" s="328">
        <f t="shared" si="322"/>
        <v>15379417</v>
      </c>
      <c r="K207" s="328">
        <f t="shared" si="322"/>
        <v>12425</v>
      </c>
      <c r="L207" s="328">
        <f t="shared" si="322"/>
        <v>0</v>
      </c>
      <c r="M207" s="328">
        <f t="shared" si="322"/>
        <v>5202446</v>
      </c>
      <c r="N207" s="328">
        <f t="shared" si="322"/>
        <v>307590</v>
      </c>
      <c r="O207" s="328">
        <f t="shared" si="322"/>
        <v>32760</v>
      </c>
      <c r="P207" s="329">
        <f t="shared" si="322"/>
        <v>34.347900000000003</v>
      </c>
      <c r="Q207" s="329">
        <f t="shared" si="322"/>
        <v>32.087899999999998</v>
      </c>
      <c r="R207" s="332">
        <f t="shared" si="322"/>
        <v>2.2600000000000002</v>
      </c>
      <c r="S207" s="327">
        <f t="shared" si="322"/>
        <v>0</v>
      </c>
      <c r="T207" s="328">
        <f t="shared" si="322"/>
        <v>0</v>
      </c>
      <c r="U207" s="328">
        <f t="shared" si="322"/>
        <v>0</v>
      </c>
      <c r="V207" s="328">
        <f t="shared" si="322"/>
        <v>0</v>
      </c>
      <c r="W207" s="328">
        <f t="shared" si="322"/>
        <v>0</v>
      </c>
      <c r="X207" s="328">
        <f t="shared" si="322"/>
        <v>0</v>
      </c>
      <c r="Y207" s="328">
        <f t="shared" si="322"/>
        <v>0</v>
      </c>
      <c r="Z207" s="328">
        <f t="shared" si="322"/>
        <v>0</v>
      </c>
      <c r="AA207" s="328">
        <f t="shared" si="322"/>
        <v>0</v>
      </c>
      <c r="AB207" s="328">
        <f t="shared" si="322"/>
        <v>0</v>
      </c>
      <c r="AC207" s="328">
        <f t="shared" si="322"/>
        <v>0</v>
      </c>
      <c r="AD207" s="328">
        <f t="shared" si="322"/>
        <v>0</v>
      </c>
      <c r="AE207" s="328">
        <f t="shared" si="322"/>
        <v>0</v>
      </c>
      <c r="AF207" s="328">
        <f t="shared" si="322"/>
        <v>0</v>
      </c>
      <c r="AG207" s="329">
        <f t="shared" si="322"/>
        <v>0</v>
      </c>
      <c r="AH207" s="329">
        <f t="shared" si="322"/>
        <v>0</v>
      </c>
      <c r="AI207" s="329">
        <f t="shared" si="322"/>
        <v>0</v>
      </c>
      <c r="AJ207" s="329">
        <f t="shared" si="322"/>
        <v>0</v>
      </c>
      <c r="AK207" s="329">
        <f t="shared" si="322"/>
        <v>0</v>
      </c>
      <c r="AL207" s="329">
        <f t="shared" si="322"/>
        <v>0</v>
      </c>
      <c r="AM207" s="329">
        <f t="shared" si="322"/>
        <v>0</v>
      </c>
      <c r="AN207" s="332">
        <f t="shared" si="322"/>
        <v>0</v>
      </c>
      <c r="AO207" s="327">
        <f t="shared" si="322"/>
        <v>20934638</v>
      </c>
      <c r="AP207" s="328">
        <f t="shared" si="322"/>
        <v>15379417</v>
      </c>
      <c r="AQ207" s="328">
        <f t="shared" si="322"/>
        <v>12425</v>
      </c>
      <c r="AR207" s="328">
        <f t="shared" si="322"/>
        <v>0</v>
      </c>
      <c r="AS207" s="328">
        <f t="shared" si="322"/>
        <v>5202446</v>
      </c>
      <c r="AT207" s="328">
        <f t="shared" si="322"/>
        <v>307590</v>
      </c>
      <c r="AU207" s="328">
        <f t="shared" si="322"/>
        <v>32760</v>
      </c>
      <c r="AV207" s="329">
        <f t="shared" si="322"/>
        <v>34.347900000000003</v>
      </c>
      <c r="AW207" s="329">
        <f t="shared" si="322"/>
        <v>32.087899999999998</v>
      </c>
      <c r="AX207" s="330">
        <f t="shared" si="322"/>
        <v>2.2600000000000002</v>
      </c>
    </row>
    <row r="208" spans="1:50" s="738" customFormat="1" ht="12.75" x14ac:dyDescent="0.2">
      <c r="D208" s="16"/>
      <c r="E208" s="569"/>
      <c r="F208" s="16"/>
      <c r="G208" s="36"/>
      <c r="H208" s="28">
        <v>3231</v>
      </c>
      <c r="I208" s="331">
        <f t="shared" ref="I208:AX208" si="323">SUMIF($F$12:$F$427,"=3231",I$12:I$427)</f>
        <v>20040698</v>
      </c>
      <c r="J208" s="328">
        <f t="shared" si="323"/>
        <v>14698600</v>
      </c>
      <c r="K208" s="328">
        <f t="shared" si="323"/>
        <v>0</v>
      </c>
      <c r="L208" s="328">
        <f t="shared" si="323"/>
        <v>0</v>
      </c>
      <c r="M208" s="328">
        <f t="shared" si="323"/>
        <v>4968127</v>
      </c>
      <c r="N208" s="328">
        <f t="shared" si="323"/>
        <v>293972</v>
      </c>
      <c r="O208" s="328">
        <f t="shared" si="323"/>
        <v>79999</v>
      </c>
      <c r="P208" s="329">
        <f t="shared" si="323"/>
        <v>28.902799999999999</v>
      </c>
      <c r="Q208" s="329">
        <f t="shared" si="323"/>
        <v>25.6968</v>
      </c>
      <c r="R208" s="332">
        <f t="shared" si="323"/>
        <v>3.206</v>
      </c>
      <c r="S208" s="327">
        <f t="shared" si="323"/>
        <v>0</v>
      </c>
      <c r="T208" s="328">
        <f t="shared" si="323"/>
        <v>0</v>
      </c>
      <c r="U208" s="328">
        <f t="shared" si="323"/>
        <v>-14727</v>
      </c>
      <c r="V208" s="328">
        <f t="shared" si="323"/>
        <v>-14727</v>
      </c>
      <c r="W208" s="328">
        <f t="shared" si="323"/>
        <v>0</v>
      </c>
      <c r="X208" s="328">
        <f t="shared" si="323"/>
        <v>0</v>
      </c>
      <c r="Y208" s="328">
        <f t="shared" si="323"/>
        <v>0</v>
      </c>
      <c r="Z208" s="328">
        <f t="shared" si="323"/>
        <v>-14727</v>
      </c>
      <c r="AA208" s="328">
        <f t="shared" si="323"/>
        <v>-4978</v>
      </c>
      <c r="AB208" s="328">
        <f t="shared" si="323"/>
        <v>-295</v>
      </c>
      <c r="AC208" s="328">
        <f t="shared" si="323"/>
        <v>0</v>
      </c>
      <c r="AD208" s="328">
        <f t="shared" si="323"/>
        <v>20000</v>
      </c>
      <c r="AE208" s="328">
        <f t="shared" si="323"/>
        <v>20000</v>
      </c>
      <c r="AF208" s="328">
        <f t="shared" si="323"/>
        <v>0</v>
      </c>
      <c r="AG208" s="329">
        <f t="shared" si="323"/>
        <v>0</v>
      </c>
      <c r="AH208" s="329">
        <f t="shared" si="323"/>
        <v>0</v>
      </c>
      <c r="AI208" s="329">
        <f t="shared" si="323"/>
        <v>0</v>
      </c>
      <c r="AJ208" s="329">
        <f t="shared" si="323"/>
        <v>0</v>
      </c>
      <c r="AK208" s="329">
        <f t="shared" si="323"/>
        <v>0</v>
      </c>
      <c r="AL208" s="329">
        <f t="shared" si="323"/>
        <v>0</v>
      </c>
      <c r="AM208" s="329">
        <f t="shared" si="323"/>
        <v>0</v>
      </c>
      <c r="AN208" s="332">
        <f t="shared" si="323"/>
        <v>0</v>
      </c>
      <c r="AO208" s="327">
        <f t="shared" si="323"/>
        <v>20040698</v>
      </c>
      <c r="AP208" s="328">
        <f t="shared" si="323"/>
        <v>14683873</v>
      </c>
      <c r="AQ208" s="328">
        <f t="shared" si="323"/>
        <v>0</v>
      </c>
      <c r="AR208" s="328">
        <f t="shared" si="323"/>
        <v>0</v>
      </c>
      <c r="AS208" s="328">
        <f t="shared" si="323"/>
        <v>4963149</v>
      </c>
      <c r="AT208" s="328">
        <f t="shared" si="323"/>
        <v>293677</v>
      </c>
      <c r="AU208" s="328">
        <f t="shared" si="323"/>
        <v>99999</v>
      </c>
      <c r="AV208" s="329">
        <f t="shared" si="323"/>
        <v>28.902799999999999</v>
      </c>
      <c r="AW208" s="329">
        <f t="shared" si="323"/>
        <v>25.6968</v>
      </c>
      <c r="AX208" s="330">
        <f t="shared" si="323"/>
        <v>3.206</v>
      </c>
    </row>
    <row r="209" spans="1:50" s="738" customFormat="1" ht="12.95" customHeight="1" thickBot="1" x14ac:dyDescent="0.25">
      <c r="D209" s="16"/>
      <c r="E209" s="569"/>
      <c r="F209" s="16"/>
      <c r="G209" s="36"/>
      <c r="H209" s="254">
        <v>3233</v>
      </c>
      <c r="I209" s="337">
        <f t="shared" ref="I209:AX209" si="324">SUMIF($F$12:$F$427,"=3233",I$12:I$427)</f>
        <v>3639199</v>
      </c>
      <c r="J209" s="334">
        <f t="shared" si="324"/>
        <v>2407042</v>
      </c>
      <c r="K209" s="334">
        <f t="shared" si="324"/>
        <v>250000</v>
      </c>
      <c r="L209" s="334">
        <f t="shared" si="324"/>
        <v>0</v>
      </c>
      <c r="M209" s="334">
        <f t="shared" si="324"/>
        <v>898080</v>
      </c>
      <c r="N209" s="334">
        <f t="shared" si="324"/>
        <v>48141</v>
      </c>
      <c r="O209" s="334">
        <f t="shared" si="324"/>
        <v>35936</v>
      </c>
      <c r="P209" s="335">
        <f t="shared" si="324"/>
        <v>5.6000000000000005</v>
      </c>
      <c r="Q209" s="335">
        <f t="shared" si="324"/>
        <v>3.69</v>
      </c>
      <c r="R209" s="338">
        <f t="shared" si="324"/>
        <v>1.91</v>
      </c>
      <c r="S209" s="333">
        <f t="shared" si="324"/>
        <v>0</v>
      </c>
      <c r="T209" s="334">
        <f t="shared" si="324"/>
        <v>0</v>
      </c>
      <c r="U209" s="334">
        <f t="shared" si="324"/>
        <v>0</v>
      </c>
      <c r="V209" s="334">
        <f t="shared" si="324"/>
        <v>0</v>
      </c>
      <c r="W209" s="334">
        <f t="shared" si="324"/>
        <v>0</v>
      </c>
      <c r="X209" s="334">
        <f t="shared" si="324"/>
        <v>0</v>
      </c>
      <c r="Y209" s="334">
        <f t="shared" si="324"/>
        <v>0</v>
      </c>
      <c r="Z209" s="334">
        <f t="shared" si="324"/>
        <v>0</v>
      </c>
      <c r="AA209" s="334">
        <f t="shared" si="324"/>
        <v>0</v>
      </c>
      <c r="AB209" s="334">
        <f t="shared" si="324"/>
        <v>0</v>
      </c>
      <c r="AC209" s="334">
        <f t="shared" si="324"/>
        <v>0</v>
      </c>
      <c r="AD209" s="334">
        <f t="shared" si="324"/>
        <v>0</v>
      </c>
      <c r="AE209" s="334">
        <f t="shared" si="324"/>
        <v>0</v>
      </c>
      <c r="AF209" s="334">
        <f t="shared" si="324"/>
        <v>0</v>
      </c>
      <c r="AG209" s="335">
        <f t="shared" si="324"/>
        <v>0</v>
      </c>
      <c r="AH209" s="335">
        <f t="shared" si="324"/>
        <v>0</v>
      </c>
      <c r="AI209" s="335">
        <f t="shared" si="324"/>
        <v>0</v>
      </c>
      <c r="AJ209" s="335">
        <f t="shared" si="324"/>
        <v>0</v>
      </c>
      <c r="AK209" s="335">
        <f t="shared" si="324"/>
        <v>0</v>
      </c>
      <c r="AL209" s="335">
        <f t="shared" si="324"/>
        <v>0</v>
      </c>
      <c r="AM209" s="335">
        <f t="shared" si="324"/>
        <v>0</v>
      </c>
      <c r="AN209" s="338">
        <f t="shared" si="324"/>
        <v>0</v>
      </c>
      <c r="AO209" s="333">
        <f t="shared" si="324"/>
        <v>3639199</v>
      </c>
      <c r="AP209" s="334">
        <f t="shared" si="324"/>
        <v>2407042</v>
      </c>
      <c r="AQ209" s="334">
        <f t="shared" si="324"/>
        <v>250000</v>
      </c>
      <c r="AR209" s="334">
        <f t="shared" si="324"/>
        <v>0</v>
      </c>
      <c r="AS209" s="334">
        <f t="shared" si="324"/>
        <v>898080</v>
      </c>
      <c r="AT209" s="334">
        <f t="shared" si="324"/>
        <v>48141</v>
      </c>
      <c r="AU209" s="334">
        <f t="shared" si="324"/>
        <v>35936</v>
      </c>
      <c r="AV209" s="335">
        <f t="shared" si="324"/>
        <v>5.6000000000000005</v>
      </c>
      <c r="AW209" s="335">
        <f t="shared" si="324"/>
        <v>3.69</v>
      </c>
      <c r="AX209" s="336">
        <f t="shared" si="324"/>
        <v>1.91</v>
      </c>
    </row>
    <row r="210" spans="1:50" s="81" customFormat="1" x14ac:dyDescent="0.25">
      <c r="A210" s="102"/>
      <c r="B210" s="82"/>
      <c r="C210" s="82"/>
      <c r="D210" s="82"/>
      <c r="E210" s="82"/>
      <c r="F210" s="82"/>
      <c r="G210" s="82"/>
      <c r="H210" s="127"/>
      <c r="I210" s="82"/>
      <c r="J210" s="82"/>
      <c r="K210" s="82"/>
      <c r="L210" s="82"/>
      <c r="M210" s="82"/>
      <c r="N210" s="82"/>
      <c r="O210" s="82"/>
      <c r="P210" s="112"/>
      <c r="Q210" s="112"/>
      <c r="R210" s="112"/>
      <c r="AG210" s="112"/>
      <c r="AH210" s="112"/>
      <c r="AI210" s="112"/>
      <c r="AJ210" s="112"/>
      <c r="AK210" s="112"/>
      <c r="AL210" s="112"/>
      <c r="AM210" s="112"/>
      <c r="AN210" s="112"/>
      <c r="AV210" s="112"/>
      <c r="AW210" s="112"/>
      <c r="AX210" s="112"/>
    </row>
    <row r="211" spans="1:50" s="81" customFormat="1" x14ac:dyDescent="0.25">
      <c r="A211" s="102"/>
      <c r="B211" s="82"/>
      <c r="C211" s="82"/>
      <c r="D211" s="82"/>
      <c r="E211" s="82"/>
      <c r="F211" s="80"/>
      <c r="G211" s="82"/>
      <c r="H211" s="127"/>
      <c r="I211" s="82"/>
      <c r="J211" s="82"/>
      <c r="K211" s="82"/>
      <c r="L211" s="82"/>
      <c r="M211" s="82"/>
      <c r="N211" s="82"/>
      <c r="O211" s="82"/>
      <c r="P211" s="112"/>
      <c r="Q211" s="112"/>
      <c r="R211" s="112"/>
      <c r="AG211" s="112"/>
      <c r="AH211" s="112"/>
      <c r="AI211" s="112"/>
      <c r="AJ211" s="112"/>
      <c r="AK211" s="112"/>
      <c r="AL211" s="112"/>
      <c r="AM211" s="112"/>
      <c r="AN211" s="112"/>
      <c r="AV211" s="112"/>
      <c r="AW211" s="112"/>
      <c r="AX211" s="112"/>
    </row>
    <row r="212" spans="1:50" s="81" customFormat="1" x14ac:dyDescent="0.25">
      <c r="A212" s="102"/>
      <c r="B212" s="82"/>
      <c r="C212" s="82"/>
      <c r="D212" s="82"/>
      <c r="E212" s="82"/>
      <c r="F212" s="80"/>
      <c r="G212" s="82"/>
      <c r="H212" s="127"/>
      <c r="I212" s="82"/>
      <c r="J212" s="82"/>
      <c r="K212" s="82"/>
      <c r="L212" s="82"/>
      <c r="M212" s="82"/>
      <c r="N212" s="82"/>
      <c r="O212" s="82"/>
      <c r="P212" s="112"/>
      <c r="Q212" s="112"/>
      <c r="R212" s="112"/>
      <c r="AG212" s="112"/>
      <c r="AH212" s="112"/>
      <c r="AI212" s="112"/>
      <c r="AJ212" s="112"/>
      <c r="AK212" s="112"/>
      <c r="AL212" s="112"/>
      <c r="AM212" s="112"/>
      <c r="AN212" s="112"/>
      <c r="AV212" s="112"/>
      <c r="AW212" s="112"/>
      <c r="AX212" s="112"/>
    </row>
    <row r="213" spans="1:50" s="81" customFormat="1" x14ac:dyDescent="0.25">
      <c r="A213" s="102"/>
      <c r="B213" s="82"/>
      <c r="C213" s="82"/>
      <c r="D213" s="82"/>
      <c r="E213" s="82"/>
      <c r="F213" s="80"/>
      <c r="G213" s="82"/>
      <c r="H213" s="127"/>
      <c r="I213" s="82"/>
      <c r="J213" s="82"/>
      <c r="K213" s="82"/>
      <c r="L213" s="82"/>
      <c r="M213" s="82"/>
      <c r="N213" s="82"/>
      <c r="O213" s="82"/>
      <c r="P213" s="112"/>
      <c r="Q213" s="112"/>
      <c r="R213" s="112"/>
      <c r="AG213" s="112"/>
      <c r="AH213" s="112"/>
      <c r="AI213" s="112"/>
      <c r="AJ213" s="112"/>
      <c r="AK213" s="112"/>
      <c r="AL213" s="112"/>
      <c r="AM213" s="112"/>
      <c r="AN213" s="112"/>
      <c r="AV213" s="112"/>
      <c r="AW213" s="112"/>
      <c r="AX213" s="112"/>
    </row>
    <row r="214" spans="1:50" s="81" customFormat="1" x14ac:dyDescent="0.25">
      <c r="A214" s="102"/>
      <c r="B214" s="82"/>
      <c r="C214" s="82"/>
      <c r="D214" s="82"/>
      <c r="E214" s="82"/>
      <c r="F214" s="80"/>
      <c r="G214" s="82"/>
      <c r="H214" s="127"/>
      <c r="I214" s="82"/>
      <c r="J214" s="82"/>
      <c r="K214" s="82"/>
      <c r="L214" s="82"/>
      <c r="M214" s="82"/>
      <c r="N214" s="82"/>
      <c r="O214" s="82"/>
      <c r="P214" s="112"/>
      <c r="Q214" s="112"/>
      <c r="R214" s="112"/>
      <c r="AG214" s="112"/>
      <c r="AH214" s="112"/>
      <c r="AI214" s="112"/>
      <c r="AJ214" s="112"/>
      <c r="AK214" s="112"/>
      <c r="AL214" s="112"/>
      <c r="AM214" s="112"/>
      <c r="AN214" s="112"/>
      <c r="AV214" s="112"/>
      <c r="AW214" s="112"/>
      <c r="AX214" s="112"/>
    </row>
    <row r="215" spans="1:50" s="81" customFormat="1" x14ac:dyDescent="0.25">
      <c r="A215" s="102"/>
      <c r="B215" s="82"/>
      <c r="C215" s="82"/>
      <c r="D215" s="82"/>
      <c r="E215" s="82"/>
      <c r="F215" s="80"/>
      <c r="G215" s="82"/>
      <c r="H215" s="127"/>
      <c r="I215" s="82"/>
      <c r="J215" s="82"/>
      <c r="K215" s="82"/>
      <c r="L215" s="82"/>
      <c r="M215" s="82"/>
      <c r="N215" s="82"/>
      <c r="O215" s="82"/>
      <c r="P215" s="112"/>
      <c r="Q215" s="112"/>
      <c r="R215" s="112"/>
      <c r="AG215" s="112"/>
      <c r="AH215" s="112"/>
      <c r="AI215" s="112"/>
      <c r="AJ215" s="112"/>
      <c r="AK215" s="112"/>
      <c r="AL215" s="112"/>
      <c r="AM215" s="112"/>
      <c r="AN215" s="112"/>
      <c r="AV215" s="112"/>
      <c r="AW215" s="112"/>
      <c r="AX215" s="112"/>
    </row>
    <row r="216" spans="1:50" s="81" customFormat="1" x14ac:dyDescent="0.25">
      <c r="A216" s="102"/>
      <c r="B216" s="82"/>
      <c r="C216" s="82"/>
      <c r="D216" s="82"/>
      <c r="E216" s="82"/>
      <c r="F216" s="80"/>
      <c r="G216" s="82"/>
      <c r="H216" s="127"/>
      <c r="I216" s="82"/>
      <c r="J216" s="82"/>
      <c r="K216" s="82"/>
      <c r="L216" s="82"/>
      <c r="M216" s="82"/>
      <c r="N216" s="82"/>
      <c r="O216" s="82"/>
      <c r="P216" s="112"/>
      <c r="Q216" s="112"/>
      <c r="R216" s="112"/>
      <c r="AG216" s="112"/>
      <c r="AH216" s="112"/>
      <c r="AI216" s="112"/>
      <c r="AJ216" s="112"/>
      <c r="AK216" s="112"/>
      <c r="AL216" s="112"/>
      <c r="AM216" s="112"/>
      <c r="AN216" s="112"/>
      <c r="AV216" s="112"/>
      <c r="AW216" s="112"/>
      <c r="AX216" s="112"/>
    </row>
    <row r="218" spans="1:50" x14ac:dyDescent="0.25">
      <c r="P218" s="82"/>
      <c r="Q218" s="82"/>
      <c r="R218" s="82"/>
    </row>
    <row r="220" spans="1:50" x14ac:dyDescent="0.25">
      <c r="P220" s="82"/>
      <c r="Q220" s="82"/>
      <c r="R220" s="82"/>
    </row>
  </sheetData>
  <mergeCells count="24"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  <mergeCell ref="S7:V9"/>
    <mergeCell ref="S6:AN6"/>
    <mergeCell ref="A3:E3"/>
    <mergeCell ref="AB7:AB10"/>
    <mergeCell ref="AA7:AA10"/>
    <mergeCell ref="I8:I10"/>
    <mergeCell ref="I6:R7"/>
    <mergeCell ref="J8:O9"/>
    <mergeCell ref="P8:P10"/>
    <mergeCell ref="Q8:R9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41"/>
  <sheetViews>
    <sheetView workbookViewId="0">
      <pane xSplit="1" ySplit="12" topLeftCell="X13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F3" sqref="AF3"/>
    </sheetView>
  </sheetViews>
  <sheetFormatPr defaultRowHeight="12.75" x14ac:dyDescent="0.2"/>
  <cols>
    <col min="1" max="1" width="11" style="37" customWidth="1"/>
    <col min="2" max="2" width="12.28515625" customWidth="1"/>
    <col min="3" max="4" width="11.85546875" customWidth="1"/>
    <col min="5" max="5" width="11.85546875" style="738" customWidth="1"/>
    <col min="6" max="6" width="11.85546875" customWidth="1"/>
    <col min="7" max="7" width="11.28515625" customWidth="1"/>
    <col min="8" max="8" width="11.5703125" customWidth="1"/>
    <col min="9" max="9" width="11.5703125" style="14" customWidth="1"/>
    <col min="10" max="10" width="9.5703125" style="14" customWidth="1"/>
    <col min="11" max="11" width="9" style="14" customWidth="1"/>
    <col min="12" max="12" width="9.7109375" style="26" customWidth="1"/>
    <col min="13" max="13" width="9.5703125" bestFit="1" customWidth="1"/>
    <col min="14" max="14" width="10.85546875" customWidth="1"/>
    <col min="15" max="15" width="9.5703125" bestFit="1" customWidth="1"/>
    <col min="19" max="19" width="9.85546875" customWidth="1"/>
    <col min="25" max="25" width="11.85546875" customWidth="1"/>
    <col min="26" max="33" width="9.140625" style="14"/>
    <col min="34" max="34" width="10.85546875" bestFit="1" customWidth="1"/>
    <col min="35" max="35" width="13.140625" bestFit="1" customWidth="1"/>
    <col min="36" max="36" width="10.85546875" bestFit="1" customWidth="1"/>
    <col min="37" max="37" width="11.140625" customWidth="1"/>
    <col min="38" max="38" width="12.7109375" bestFit="1" customWidth="1"/>
    <col min="39" max="40" width="10.85546875" bestFit="1" customWidth="1"/>
    <col min="41" max="41" width="11.5703125" style="14" customWidth="1"/>
    <col min="42" max="42" width="9.5703125" style="14" bestFit="1" customWidth="1"/>
    <col min="43" max="43" width="9.140625" style="14" customWidth="1"/>
    <col min="44" max="44" width="10" customWidth="1"/>
    <col min="48" max="49" width="10.85546875" bestFit="1" customWidth="1"/>
    <col min="50" max="50" width="10" bestFit="1" customWidth="1"/>
    <col min="51" max="52" width="9.28515625" bestFit="1" customWidth="1"/>
    <col min="291" max="291" width="7.42578125" customWidth="1"/>
    <col min="292" max="293" width="10.85546875" bestFit="1" customWidth="1"/>
    <col min="294" max="295" width="10.85546875" customWidth="1"/>
    <col min="296" max="300" width="10" customWidth="1"/>
    <col min="304" max="305" width="10.85546875" bestFit="1" customWidth="1"/>
    <col min="306" max="306" width="10" bestFit="1" customWidth="1"/>
    <col min="307" max="308" width="9.28515625" bestFit="1" customWidth="1"/>
    <col min="547" max="547" width="7.42578125" customWidth="1"/>
    <col min="548" max="549" width="10.85546875" bestFit="1" customWidth="1"/>
    <col min="550" max="551" width="10.85546875" customWidth="1"/>
    <col min="552" max="556" width="10" customWidth="1"/>
    <col min="560" max="561" width="10.85546875" bestFit="1" customWidth="1"/>
    <col min="562" max="562" width="10" bestFit="1" customWidth="1"/>
    <col min="563" max="564" width="9.28515625" bestFit="1" customWidth="1"/>
    <col min="803" max="803" width="7.42578125" customWidth="1"/>
    <col min="804" max="805" width="10.85546875" bestFit="1" customWidth="1"/>
    <col min="806" max="807" width="10.85546875" customWidth="1"/>
    <col min="808" max="812" width="10" customWidth="1"/>
    <col min="816" max="817" width="10.85546875" bestFit="1" customWidth="1"/>
    <col min="818" max="818" width="10" bestFit="1" customWidth="1"/>
    <col min="819" max="820" width="9.28515625" bestFit="1" customWidth="1"/>
    <col min="1059" max="1059" width="7.42578125" customWidth="1"/>
    <col min="1060" max="1061" width="10.85546875" bestFit="1" customWidth="1"/>
    <col min="1062" max="1063" width="10.85546875" customWidth="1"/>
    <col min="1064" max="1068" width="10" customWidth="1"/>
    <col min="1072" max="1073" width="10.85546875" bestFit="1" customWidth="1"/>
    <col min="1074" max="1074" width="10" bestFit="1" customWidth="1"/>
    <col min="1075" max="1076" width="9.28515625" bestFit="1" customWidth="1"/>
    <col min="1315" max="1315" width="7.42578125" customWidth="1"/>
    <col min="1316" max="1317" width="10.85546875" bestFit="1" customWidth="1"/>
    <col min="1318" max="1319" width="10.85546875" customWidth="1"/>
    <col min="1320" max="1324" width="10" customWidth="1"/>
    <col min="1328" max="1329" width="10.85546875" bestFit="1" customWidth="1"/>
    <col min="1330" max="1330" width="10" bestFit="1" customWidth="1"/>
    <col min="1331" max="1332" width="9.28515625" bestFit="1" customWidth="1"/>
    <col min="1571" max="1571" width="7.42578125" customWidth="1"/>
    <col min="1572" max="1573" width="10.85546875" bestFit="1" customWidth="1"/>
    <col min="1574" max="1575" width="10.85546875" customWidth="1"/>
    <col min="1576" max="1580" width="10" customWidth="1"/>
    <col min="1584" max="1585" width="10.85546875" bestFit="1" customWidth="1"/>
    <col min="1586" max="1586" width="10" bestFit="1" customWidth="1"/>
    <col min="1587" max="1588" width="9.28515625" bestFit="1" customWidth="1"/>
    <col min="1827" max="1827" width="7.42578125" customWidth="1"/>
    <col min="1828" max="1829" width="10.85546875" bestFit="1" customWidth="1"/>
    <col min="1830" max="1831" width="10.85546875" customWidth="1"/>
    <col min="1832" max="1836" width="10" customWidth="1"/>
    <col min="1840" max="1841" width="10.85546875" bestFit="1" customWidth="1"/>
    <col min="1842" max="1842" width="10" bestFit="1" customWidth="1"/>
    <col min="1843" max="1844" width="9.28515625" bestFit="1" customWidth="1"/>
    <col min="2083" max="2083" width="7.42578125" customWidth="1"/>
    <col min="2084" max="2085" width="10.85546875" bestFit="1" customWidth="1"/>
    <col min="2086" max="2087" width="10.85546875" customWidth="1"/>
    <col min="2088" max="2092" width="10" customWidth="1"/>
    <col min="2096" max="2097" width="10.85546875" bestFit="1" customWidth="1"/>
    <col min="2098" max="2098" width="10" bestFit="1" customWidth="1"/>
    <col min="2099" max="2100" width="9.28515625" bestFit="1" customWidth="1"/>
    <col min="2339" max="2339" width="7.42578125" customWidth="1"/>
    <col min="2340" max="2341" width="10.85546875" bestFit="1" customWidth="1"/>
    <col min="2342" max="2343" width="10.85546875" customWidth="1"/>
    <col min="2344" max="2348" width="10" customWidth="1"/>
    <col min="2352" max="2353" width="10.85546875" bestFit="1" customWidth="1"/>
    <col min="2354" max="2354" width="10" bestFit="1" customWidth="1"/>
    <col min="2355" max="2356" width="9.28515625" bestFit="1" customWidth="1"/>
    <col min="2595" max="2595" width="7.42578125" customWidth="1"/>
    <col min="2596" max="2597" width="10.85546875" bestFit="1" customWidth="1"/>
    <col min="2598" max="2599" width="10.85546875" customWidth="1"/>
    <col min="2600" max="2604" width="10" customWidth="1"/>
    <col min="2608" max="2609" width="10.85546875" bestFit="1" customWidth="1"/>
    <col min="2610" max="2610" width="10" bestFit="1" customWidth="1"/>
    <col min="2611" max="2612" width="9.28515625" bestFit="1" customWidth="1"/>
    <col min="2851" max="2851" width="7.42578125" customWidth="1"/>
    <col min="2852" max="2853" width="10.85546875" bestFit="1" customWidth="1"/>
    <col min="2854" max="2855" width="10.85546875" customWidth="1"/>
    <col min="2856" max="2860" width="10" customWidth="1"/>
    <col min="2864" max="2865" width="10.85546875" bestFit="1" customWidth="1"/>
    <col min="2866" max="2866" width="10" bestFit="1" customWidth="1"/>
    <col min="2867" max="2868" width="9.28515625" bestFit="1" customWidth="1"/>
    <col min="3107" max="3107" width="7.42578125" customWidth="1"/>
    <col min="3108" max="3109" width="10.85546875" bestFit="1" customWidth="1"/>
    <col min="3110" max="3111" width="10.85546875" customWidth="1"/>
    <col min="3112" max="3116" width="10" customWidth="1"/>
    <col min="3120" max="3121" width="10.85546875" bestFit="1" customWidth="1"/>
    <col min="3122" max="3122" width="10" bestFit="1" customWidth="1"/>
    <col min="3123" max="3124" width="9.28515625" bestFit="1" customWidth="1"/>
    <col min="3363" max="3363" width="7.42578125" customWidth="1"/>
    <col min="3364" max="3365" width="10.85546875" bestFit="1" customWidth="1"/>
    <col min="3366" max="3367" width="10.85546875" customWidth="1"/>
    <col min="3368" max="3372" width="10" customWidth="1"/>
    <col min="3376" max="3377" width="10.85546875" bestFit="1" customWidth="1"/>
    <col min="3378" max="3378" width="10" bestFit="1" customWidth="1"/>
    <col min="3379" max="3380" width="9.28515625" bestFit="1" customWidth="1"/>
    <col min="3619" max="3619" width="7.42578125" customWidth="1"/>
    <col min="3620" max="3621" width="10.85546875" bestFit="1" customWidth="1"/>
    <col min="3622" max="3623" width="10.85546875" customWidth="1"/>
    <col min="3624" max="3628" width="10" customWidth="1"/>
    <col min="3632" max="3633" width="10.85546875" bestFit="1" customWidth="1"/>
    <col min="3634" max="3634" width="10" bestFit="1" customWidth="1"/>
    <col min="3635" max="3636" width="9.28515625" bestFit="1" customWidth="1"/>
    <col min="3875" max="3875" width="7.42578125" customWidth="1"/>
    <col min="3876" max="3877" width="10.85546875" bestFit="1" customWidth="1"/>
    <col min="3878" max="3879" width="10.85546875" customWidth="1"/>
    <col min="3880" max="3884" width="10" customWidth="1"/>
    <col min="3888" max="3889" width="10.85546875" bestFit="1" customWidth="1"/>
    <col min="3890" max="3890" width="10" bestFit="1" customWidth="1"/>
    <col min="3891" max="3892" width="9.28515625" bestFit="1" customWidth="1"/>
    <col min="4131" max="4131" width="7.42578125" customWidth="1"/>
    <col min="4132" max="4133" width="10.85546875" bestFit="1" customWidth="1"/>
    <col min="4134" max="4135" width="10.85546875" customWidth="1"/>
    <col min="4136" max="4140" width="10" customWidth="1"/>
    <col min="4144" max="4145" width="10.85546875" bestFit="1" customWidth="1"/>
    <col min="4146" max="4146" width="10" bestFit="1" customWidth="1"/>
    <col min="4147" max="4148" width="9.28515625" bestFit="1" customWidth="1"/>
    <col min="4387" max="4387" width="7.42578125" customWidth="1"/>
    <col min="4388" max="4389" width="10.85546875" bestFit="1" customWidth="1"/>
    <col min="4390" max="4391" width="10.85546875" customWidth="1"/>
    <col min="4392" max="4396" width="10" customWidth="1"/>
    <col min="4400" max="4401" width="10.85546875" bestFit="1" customWidth="1"/>
    <col min="4402" max="4402" width="10" bestFit="1" customWidth="1"/>
    <col min="4403" max="4404" width="9.28515625" bestFit="1" customWidth="1"/>
    <col min="4643" max="4643" width="7.42578125" customWidth="1"/>
    <col min="4644" max="4645" width="10.85546875" bestFit="1" customWidth="1"/>
    <col min="4646" max="4647" width="10.85546875" customWidth="1"/>
    <col min="4648" max="4652" width="10" customWidth="1"/>
    <col min="4656" max="4657" width="10.85546875" bestFit="1" customWidth="1"/>
    <col min="4658" max="4658" width="10" bestFit="1" customWidth="1"/>
    <col min="4659" max="4660" width="9.28515625" bestFit="1" customWidth="1"/>
    <col min="4899" max="4899" width="7.42578125" customWidth="1"/>
    <col min="4900" max="4901" width="10.85546875" bestFit="1" customWidth="1"/>
    <col min="4902" max="4903" width="10.85546875" customWidth="1"/>
    <col min="4904" max="4908" width="10" customWidth="1"/>
    <col min="4912" max="4913" width="10.85546875" bestFit="1" customWidth="1"/>
    <col min="4914" max="4914" width="10" bestFit="1" customWidth="1"/>
    <col min="4915" max="4916" width="9.28515625" bestFit="1" customWidth="1"/>
    <col min="5155" max="5155" width="7.42578125" customWidth="1"/>
    <col min="5156" max="5157" width="10.85546875" bestFit="1" customWidth="1"/>
    <col min="5158" max="5159" width="10.85546875" customWidth="1"/>
    <col min="5160" max="5164" width="10" customWidth="1"/>
    <col min="5168" max="5169" width="10.85546875" bestFit="1" customWidth="1"/>
    <col min="5170" max="5170" width="10" bestFit="1" customWidth="1"/>
    <col min="5171" max="5172" width="9.28515625" bestFit="1" customWidth="1"/>
    <col min="5411" max="5411" width="7.42578125" customWidth="1"/>
    <col min="5412" max="5413" width="10.85546875" bestFit="1" customWidth="1"/>
    <col min="5414" max="5415" width="10.85546875" customWidth="1"/>
    <col min="5416" max="5420" width="10" customWidth="1"/>
    <col min="5424" max="5425" width="10.85546875" bestFit="1" customWidth="1"/>
    <col min="5426" max="5426" width="10" bestFit="1" customWidth="1"/>
    <col min="5427" max="5428" width="9.28515625" bestFit="1" customWidth="1"/>
    <col min="5667" max="5667" width="7.42578125" customWidth="1"/>
    <col min="5668" max="5669" width="10.85546875" bestFit="1" customWidth="1"/>
    <col min="5670" max="5671" width="10.85546875" customWidth="1"/>
    <col min="5672" max="5676" width="10" customWidth="1"/>
    <col min="5680" max="5681" width="10.85546875" bestFit="1" customWidth="1"/>
    <col min="5682" max="5682" width="10" bestFit="1" customWidth="1"/>
    <col min="5683" max="5684" width="9.28515625" bestFit="1" customWidth="1"/>
    <col min="5923" max="5923" width="7.42578125" customWidth="1"/>
    <col min="5924" max="5925" width="10.85546875" bestFit="1" customWidth="1"/>
    <col min="5926" max="5927" width="10.85546875" customWidth="1"/>
    <col min="5928" max="5932" width="10" customWidth="1"/>
    <col min="5936" max="5937" width="10.85546875" bestFit="1" customWidth="1"/>
    <col min="5938" max="5938" width="10" bestFit="1" customWidth="1"/>
    <col min="5939" max="5940" width="9.28515625" bestFit="1" customWidth="1"/>
    <col min="6179" max="6179" width="7.42578125" customWidth="1"/>
    <col min="6180" max="6181" width="10.85546875" bestFit="1" customWidth="1"/>
    <col min="6182" max="6183" width="10.85546875" customWidth="1"/>
    <col min="6184" max="6188" width="10" customWidth="1"/>
    <col min="6192" max="6193" width="10.85546875" bestFit="1" customWidth="1"/>
    <col min="6194" max="6194" width="10" bestFit="1" customWidth="1"/>
    <col min="6195" max="6196" width="9.28515625" bestFit="1" customWidth="1"/>
    <col min="6435" max="6435" width="7.42578125" customWidth="1"/>
    <col min="6436" max="6437" width="10.85546875" bestFit="1" customWidth="1"/>
    <col min="6438" max="6439" width="10.85546875" customWidth="1"/>
    <col min="6440" max="6444" width="10" customWidth="1"/>
    <col min="6448" max="6449" width="10.85546875" bestFit="1" customWidth="1"/>
    <col min="6450" max="6450" width="10" bestFit="1" customWidth="1"/>
    <col min="6451" max="6452" width="9.28515625" bestFit="1" customWidth="1"/>
    <col min="6691" max="6691" width="7.42578125" customWidth="1"/>
    <col min="6692" max="6693" width="10.85546875" bestFit="1" customWidth="1"/>
    <col min="6694" max="6695" width="10.85546875" customWidth="1"/>
    <col min="6696" max="6700" width="10" customWidth="1"/>
    <col min="6704" max="6705" width="10.85546875" bestFit="1" customWidth="1"/>
    <col min="6706" max="6706" width="10" bestFit="1" customWidth="1"/>
    <col min="6707" max="6708" width="9.28515625" bestFit="1" customWidth="1"/>
    <col min="6947" max="6947" width="7.42578125" customWidth="1"/>
    <col min="6948" max="6949" width="10.85546875" bestFit="1" customWidth="1"/>
    <col min="6950" max="6951" width="10.85546875" customWidth="1"/>
    <col min="6952" max="6956" width="10" customWidth="1"/>
    <col min="6960" max="6961" width="10.85546875" bestFit="1" customWidth="1"/>
    <col min="6962" max="6962" width="10" bestFit="1" customWidth="1"/>
    <col min="6963" max="6964" width="9.28515625" bestFit="1" customWidth="1"/>
    <col min="7203" max="7203" width="7.42578125" customWidth="1"/>
    <col min="7204" max="7205" width="10.85546875" bestFit="1" customWidth="1"/>
    <col min="7206" max="7207" width="10.85546875" customWidth="1"/>
    <col min="7208" max="7212" width="10" customWidth="1"/>
    <col min="7216" max="7217" width="10.85546875" bestFit="1" customWidth="1"/>
    <col min="7218" max="7218" width="10" bestFit="1" customWidth="1"/>
    <col min="7219" max="7220" width="9.28515625" bestFit="1" customWidth="1"/>
    <col min="7459" max="7459" width="7.42578125" customWidth="1"/>
    <col min="7460" max="7461" width="10.85546875" bestFit="1" customWidth="1"/>
    <col min="7462" max="7463" width="10.85546875" customWidth="1"/>
    <col min="7464" max="7468" width="10" customWidth="1"/>
    <col min="7472" max="7473" width="10.85546875" bestFit="1" customWidth="1"/>
    <col min="7474" max="7474" width="10" bestFit="1" customWidth="1"/>
    <col min="7475" max="7476" width="9.28515625" bestFit="1" customWidth="1"/>
    <col min="7715" max="7715" width="7.42578125" customWidth="1"/>
    <col min="7716" max="7717" width="10.85546875" bestFit="1" customWidth="1"/>
    <col min="7718" max="7719" width="10.85546875" customWidth="1"/>
    <col min="7720" max="7724" width="10" customWidth="1"/>
    <col min="7728" max="7729" width="10.85546875" bestFit="1" customWidth="1"/>
    <col min="7730" max="7730" width="10" bestFit="1" customWidth="1"/>
    <col min="7731" max="7732" width="9.28515625" bestFit="1" customWidth="1"/>
    <col min="7971" max="7971" width="7.42578125" customWidth="1"/>
    <col min="7972" max="7973" width="10.85546875" bestFit="1" customWidth="1"/>
    <col min="7974" max="7975" width="10.85546875" customWidth="1"/>
    <col min="7976" max="7980" width="10" customWidth="1"/>
    <col min="7984" max="7985" width="10.85546875" bestFit="1" customWidth="1"/>
    <col min="7986" max="7986" width="10" bestFit="1" customWidth="1"/>
    <col min="7987" max="7988" width="9.28515625" bestFit="1" customWidth="1"/>
    <col min="8227" max="8227" width="7.42578125" customWidth="1"/>
    <col min="8228" max="8229" width="10.85546875" bestFit="1" customWidth="1"/>
    <col min="8230" max="8231" width="10.85546875" customWidth="1"/>
    <col min="8232" max="8236" width="10" customWidth="1"/>
    <col min="8240" max="8241" width="10.85546875" bestFit="1" customWidth="1"/>
    <col min="8242" max="8242" width="10" bestFit="1" customWidth="1"/>
    <col min="8243" max="8244" width="9.28515625" bestFit="1" customWidth="1"/>
    <col min="8483" max="8483" width="7.42578125" customWidth="1"/>
    <col min="8484" max="8485" width="10.85546875" bestFit="1" customWidth="1"/>
    <col min="8486" max="8487" width="10.85546875" customWidth="1"/>
    <col min="8488" max="8492" width="10" customWidth="1"/>
    <col min="8496" max="8497" width="10.85546875" bestFit="1" customWidth="1"/>
    <col min="8498" max="8498" width="10" bestFit="1" customWidth="1"/>
    <col min="8499" max="8500" width="9.28515625" bestFit="1" customWidth="1"/>
    <col min="8739" max="8739" width="7.42578125" customWidth="1"/>
    <col min="8740" max="8741" width="10.85546875" bestFit="1" customWidth="1"/>
    <col min="8742" max="8743" width="10.85546875" customWidth="1"/>
    <col min="8744" max="8748" width="10" customWidth="1"/>
    <col min="8752" max="8753" width="10.85546875" bestFit="1" customWidth="1"/>
    <col min="8754" max="8754" width="10" bestFit="1" customWidth="1"/>
    <col min="8755" max="8756" width="9.28515625" bestFit="1" customWidth="1"/>
    <col min="8995" max="8995" width="7.42578125" customWidth="1"/>
    <col min="8996" max="8997" width="10.85546875" bestFit="1" customWidth="1"/>
    <col min="8998" max="8999" width="10.85546875" customWidth="1"/>
    <col min="9000" max="9004" width="10" customWidth="1"/>
    <col min="9008" max="9009" width="10.85546875" bestFit="1" customWidth="1"/>
    <col min="9010" max="9010" width="10" bestFit="1" customWidth="1"/>
    <col min="9011" max="9012" width="9.28515625" bestFit="1" customWidth="1"/>
    <col min="9251" max="9251" width="7.42578125" customWidth="1"/>
    <col min="9252" max="9253" width="10.85546875" bestFit="1" customWidth="1"/>
    <col min="9254" max="9255" width="10.85546875" customWidth="1"/>
    <col min="9256" max="9260" width="10" customWidth="1"/>
    <col min="9264" max="9265" width="10.85546875" bestFit="1" customWidth="1"/>
    <col min="9266" max="9266" width="10" bestFit="1" customWidth="1"/>
    <col min="9267" max="9268" width="9.28515625" bestFit="1" customWidth="1"/>
    <col min="9507" max="9507" width="7.42578125" customWidth="1"/>
    <col min="9508" max="9509" width="10.85546875" bestFit="1" customWidth="1"/>
    <col min="9510" max="9511" width="10.85546875" customWidth="1"/>
    <col min="9512" max="9516" width="10" customWidth="1"/>
    <col min="9520" max="9521" width="10.85546875" bestFit="1" customWidth="1"/>
    <col min="9522" max="9522" width="10" bestFit="1" customWidth="1"/>
    <col min="9523" max="9524" width="9.28515625" bestFit="1" customWidth="1"/>
    <col min="9763" max="9763" width="7.42578125" customWidth="1"/>
    <col min="9764" max="9765" width="10.85546875" bestFit="1" customWidth="1"/>
    <col min="9766" max="9767" width="10.85546875" customWidth="1"/>
    <col min="9768" max="9772" width="10" customWidth="1"/>
    <col min="9776" max="9777" width="10.85546875" bestFit="1" customWidth="1"/>
    <col min="9778" max="9778" width="10" bestFit="1" customWidth="1"/>
    <col min="9779" max="9780" width="9.28515625" bestFit="1" customWidth="1"/>
    <col min="10019" max="10019" width="7.42578125" customWidth="1"/>
    <col min="10020" max="10021" width="10.85546875" bestFit="1" customWidth="1"/>
    <col min="10022" max="10023" width="10.85546875" customWidth="1"/>
    <col min="10024" max="10028" width="10" customWidth="1"/>
    <col min="10032" max="10033" width="10.85546875" bestFit="1" customWidth="1"/>
    <col min="10034" max="10034" width="10" bestFit="1" customWidth="1"/>
    <col min="10035" max="10036" width="9.28515625" bestFit="1" customWidth="1"/>
    <col min="10275" max="10275" width="7.42578125" customWidth="1"/>
    <col min="10276" max="10277" width="10.85546875" bestFit="1" customWidth="1"/>
    <col min="10278" max="10279" width="10.85546875" customWidth="1"/>
    <col min="10280" max="10284" width="10" customWidth="1"/>
    <col min="10288" max="10289" width="10.85546875" bestFit="1" customWidth="1"/>
    <col min="10290" max="10290" width="10" bestFit="1" customWidth="1"/>
    <col min="10291" max="10292" width="9.28515625" bestFit="1" customWidth="1"/>
    <col min="10531" max="10531" width="7.42578125" customWidth="1"/>
    <col min="10532" max="10533" width="10.85546875" bestFit="1" customWidth="1"/>
    <col min="10534" max="10535" width="10.85546875" customWidth="1"/>
    <col min="10536" max="10540" width="10" customWidth="1"/>
    <col min="10544" max="10545" width="10.85546875" bestFit="1" customWidth="1"/>
    <col min="10546" max="10546" width="10" bestFit="1" customWidth="1"/>
    <col min="10547" max="10548" width="9.28515625" bestFit="1" customWidth="1"/>
    <col min="10787" max="10787" width="7.42578125" customWidth="1"/>
    <col min="10788" max="10789" width="10.85546875" bestFit="1" customWidth="1"/>
    <col min="10790" max="10791" width="10.85546875" customWidth="1"/>
    <col min="10792" max="10796" width="10" customWidth="1"/>
    <col min="10800" max="10801" width="10.85546875" bestFit="1" customWidth="1"/>
    <col min="10802" max="10802" width="10" bestFit="1" customWidth="1"/>
    <col min="10803" max="10804" width="9.28515625" bestFit="1" customWidth="1"/>
    <col min="11043" max="11043" width="7.42578125" customWidth="1"/>
    <col min="11044" max="11045" width="10.85546875" bestFit="1" customWidth="1"/>
    <col min="11046" max="11047" width="10.85546875" customWidth="1"/>
    <col min="11048" max="11052" width="10" customWidth="1"/>
    <col min="11056" max="11057" width="10.85546875" bestFit="1" customWidth="1"/>
    <col min="11058" max="11058" width="10" bestFit="1" customWidth="1"/>
    <col min="11059" max="11060" width="9.28515625" bestFit="1" customWidth="1"/>
    <col min="11299" max="11299" width="7.42578125" customWidth="1"/>
    <col min="11300" max="11301" width="10.85546875" bestFit="1" customWidth="1"/>
    <col min="11302" max="11303" width="10.85546875" customWidth="1"/>
    <col min="11304" max="11308" width="10" customWidth="1"/>
    <col min="11312" max="11313" width="10.85546875" bestFit="1" customWidth="1"/>
    <col min="11314" max="11314" width="10" bestFit="1" customWidth="1"/>
    <col min="11315" max="11316" width="9.28515625" bestFit="1" customWidth="1"/>
    <col min="11555" max="11555" width="7.42578125" customWidth="1"/>
    <col min="11556" max="11557" width="10.85546875" bestFit="1" customWidth="1"/>
    <col min="11558" max="11559" width="10.85546875" customWidth="1"/>
    <col min="11560" max="11564" width="10" customWidth="1"/>
    <col min="11568" max="11569" width="10.85546875" bestFit="1" customWidth="1"/>
    <col min="11570" max="11570" width="10" bestFit="1" customWidth="1"/>
    <col min="11571" max="11572" width="9.28515625" bestFit="1" customWidth="1"/>
    <col min="11811" max="11811" width="7.42578125" customWidth="1"/>
    <col min="11812" max="11813" width="10.85546875" bestFit="1" customWidth="1"/>
    <col min="11814" max="11815" width="10.85546875" customWidth="1"/>
    <col min="11816" max="11820" width="10" customWidth="1"/>
    <col min="11824" max="11825" width="10.85546875" bestFit="1" customWidth="1"/>
    <col min="11826" max="11826" width="10" bestFit="1" customWidth="1"/>
    <col min="11827" max="11828" width="9.28515625" bestFit="1" customWidth="1"/>
    <col min="12067" max="12067" width="7.42578125" customWidth="1"/>
    <col min="12068" max="12069" width="10.85546875" bestFit="1" customWidth="1"/>
    <col min="12070" max="12071" width="10.85546875" customWidth="1"/>
    <col min="12072" max="12076" width="10" customWidth="1"/>
    <col min="12080" max="12081" width="10.85546875" bestFit="1" customWidth="1"/>
    <col min="12082" max="12082" width="10" bestFit="1" customWidth="1"/>
    <col min="12083" max="12084" width="9.28515625" bestFit="1" customWidth="1"/>
    <col min="12323" max="12323" width="7.42578125" customWidth="1"/>
    <col min="12324" max="12325" width="10.85546875" bestFit="1" customWidth="1"/>
    <col min="12326" max="12327" width="10.85546875" customWidth="1"/>
    <col min="12328" max="12332" width="10" customWidth="1"/>
    <col min="12336" max="12337" width="10.85546875" bestFit="1" customWidth="1"/>
    <col min="12338" max="12338" width="10" bestFit="1" customWidth="1"/>
    <col min="12339" max="12340" width="9.28515625" bestFit="1" customWidth="1"/>
    <col min="12579" max="12579" width="7.42578125" customWidth="1"/>
    <col min="12580" max="12581" width="10.85546875" bestFit="1" customWidth="1"/>
    <col min="12582" max="12583" width="10.85546875" customWidth="1"/>
    <col min="12584" max="12588" width="10" customWidth="1"/>
    <col min="12592" max="12593" width="10.85546875" bestFit="1" customWidth="1"/>
    <col min="12594" max="12594" width="10" bestFit="1" customWidth="1"/>
    <col min="12595" max="12596" width="9.28515625" bestFit="1" customWidth="1"/>
    <col min="12835" max="12835" width="7.42578125" customWidth="1"/>
    <col min="12836" max="12837" width="10.85546875" bestFit="1" customWidth="1"/>
    <col min="12838" max="12839" width="10.85546875" customWidth="1"/>
    <col min="12840" max="12844" width="10" customWidth="1"/>
    <col min="12848" max="12849" width="10.85546875" bestFit="1" customWidth="1"/>
    <col min="12850" max="12850" width="10" bestFit="1" customWidth="1"/>
    <col min="12851" max="12852" width="9.28515625" bestFit="1" customWidth="1"/>
    <col min="13091" max="13091" width="7.42578125" customWidth="1"/>
    <col min="13092" max="13093" width="10.85546875" bestFit="1" customWidth="1"/>
    <col min="13094" max="13095" width="10.85546875" customWidth="1"/>
    <col min="13096" max="13100" width="10" customWidth="1"/>
    <col min="13104" max="13105" width="10.85546875" bestFit="1" customWidth="1"/>
    <col min="13106" max="13106" width="10" bestFit="1" customWidth="1"/>
    <col min="13107" max="13108" width="9.28515625" bestFit="1" customWidth="1"/>
    <col min="13347" max="13347" width="7.42578125" customWidth="1"/>
    <col min="13348" max="13349" width="10.85546875" bestFit="1" customWidth="1"/>
    <col min="13350" max="13351" width="10.85546875" customWidth="1"/>
    <col min="13352" max="13356" width="10" customWidth="1"/>
    <col min="13360" max="13361" width="10.85546875" bestFit="1" customWidth="1"/>
    <col min="13362" max="13362" width="10" bestFit="1" customWidth="1"/>
    <col min="13363" max="13364" width="9.28515625" bestFit="1" customWidth="1"/>
    <col min="13603" max="13603" width="7.42578125" customWidth="1"/>
    <col min="13604" max="13605" width="10.85546875" bestFit="1" customWidth="1"/>
    <col min="13606" max="13607" width="10.85546875" customWidth="1"/>
    <col min="13608" max="13612" width="10" customWidth="1"/>
    <col min="13616" max="13617" width="10.85546875" bestFit="1" customWidth="1"/>
    <col min="13618" max="13618" width="10" bestFit="1" customWidth="1"/>
    <col min="13619" max="13620" width="9.28515625" bestFit="1" customWidth="1"/>
    <col min="13859" max="13859" width="7.42578125" customWidth="1"/>
    <col min="13860" max="13861" width="10.85546875" bestFit="1" customWidth="1"/>
    <col min="13862" max="13863" width="10.85546875" customWidth="1"/>
    <col min="13864" max="13868" width="10" customWidth="1"/>
    <col min="13872" max="13873" width="10.85546875" bestFit="1" customWidth="1"/>
    <col min="13874" max="13874" width="10" bestFit="1" customWidth="1"/>
    <col min="13875" max="13876" width="9.28515625" bestFit="1" customWidth="1"/>
    <col min="14115" max="14115" width="7.42578125" customWidth="1"/>
    <col min="14116" max="14117" width="10.85546875" bestFit="1" customWidth="1"/>
    <col min="14118" max="14119" width="10.85546875" customWidth="1"/>
    <col min="14120" max="14124" width="10" customWidth="1"/>
    <col min="14128" max="14129" width="10.85546875" bestFit="1" customWidth="1"/>
    <col min="14130" max="14130" width="10" bestFit="1" customWidth="1"/>
    <col min="14131" max="14132" width="9.28515625" bestFit="1" customWidth="1"/>
    <col min="14371" max="14371" width="7.42578125" customWidth="1"/>
    <col min="14372" max="14373" width="10.85546875" bestFit="1" customWidth="1"/>
    <col min="14374" max="14375" width="10.85546875" customWidth="1"/>
    <col min="14376" max="14380" width="10" customWidth="1"/>
    <col min="14384" max="14385" width="10.85546875" bestFit="1" customWidth="1"/>
    <col min="14386" max="14386" width="10" bestFit="1" customWidth="1"/>
    <col min="14387" max="14388" width="9.28515625" bestFit="1" customWidth="1"/>
    <col min="14627" max="14627" width="7.42578125" customWidth="1"/>
    <col min="14628" max="14629" width="10.85546875" bestFit="1" customWidth="1"/>
    <col min="14630" max="14631" width="10.85546875" customWidth="1"/>
    <col min="14632" max="14636" width="10" customWidth="1"/>
    <col min="14640" max="14641" width="10.85546875" bestFit="1" customWidth="1"/>
    <col min="14642" max="14642" width="10" bestFit="1" customWidth="1"/>
    <col min="14643" max="14644" width="9.28515625" bestFit="1" customWidth="1"/>
    <col min="14883" max="14883" width="7.42578125" customWidth="1"/>
    <col min="14884" max="14885" width="10.85546875" bestFit="1" customWidth="1"/>
    <col min="14886" max="14887" width="10.85546875" customWidth="1"/>
    <col min="14888" max="14892" width="10" customWidth="1"/>
    <col min="14896" max="14897" width="10.85546875" bestFit="1" customWidth="1"/>
    <col min="14898" max="14898" width="10" bestFit="1" customWidth="1"/>
    <col min="14899" max="14900" width="9.28515625" bestFit="1" customWidth="1"/>
    <col min="15139" max="15139" width="7.42578125" customWidth="1"/>
    <col min="15140" max="15141" width="10.85546875" bestFit="1" customWidth="1"/>
    <col min="15142" max="15143" width="10.85546875" customWidth="1"/>
    <col min="15144" max="15148" width="10" customWidth="1"/>
    <col min="15152" max="15153" width="10.85546875" bestFit="1" customWidth="1"/>
    <col min="15154" max="15154" width="10" bestFit="1" customWidth="1"/>
    <col min="15155" max="15156" width="9.28515625" bestFit="1" customWidth="1"/>
    <col min="15395" max="15395" width="7.42578125" customWidth="1"/>
    <col min="15396" max="15397" width="10.85546875" bestFit="1" customWidth="1"/>
    <col min="15398" max="15399" width="10.85546875" customWidth="1"/>
    <col min="15400" max="15404" width="10" customWidth="1"/>
    <col min="15408" max="15409" width="10.85546875" bestFit="1" customWidth="1"/>
    <col min="15410" max="15410" width="10" bestFit="1" customWidth="1"/>
    <col min="15411" max="15412" width="9.28515625" bestFit="1" customWidth="1"/>
    <col min="15651" max="15651" width="7.42578125" customWidth="1"/>
    <col min="15652" max="15653" width="10.85546875" bestFit="1" customWidth="1"/>
    <col min="15654" max="15655" width="10.85546875" customWidth="1"/>
    <col min="15656" max="15660" width="10" customWidth="1"/>
    <col min="15664" max="15665" width="10.85546875" bestFit="1" customWidth="1"/>
    <col min="15666" max="15666" width="10" bestFit="1" customWidth="1"/>
    <col min="15667" max="15668" width="9.28515625" bestFit="1" customWidth="1"/>
    <col min="15907" max="15907" width="7.42578125" customWidth="1"/>
    <col min="15908" max="15909" width="10.85546875" bestFit="1" customWidth="1"/>
    <col min="15910" max="15911" width="10.85546875" customWidth="1"/>
    <col min="15912" max="15916" width="10" customWidth="1"/>
    <col min="15920" max="15921" width="10.85546875" bestFit="1" customWidth="1"/>
    <col min="15922" max="15922" width="10" bestFit="1" customWidth="1"/>
    <col min="15923" max="15924" width="9.28515625" bestFit="1" customWidth="1"/>
  </cols>
  <sheetData>
    <row r="1" spans="1:43" x14ac:dyDescent="0.2">
      <c r="A1" s="79" t="s">
        <v>2</v>
      </c>
      <c r="B1" s="14"/>
      <c r="C1" s="15"/>
      <c r="D1" s="15"/>
      <c r="E1" s="15"/>
      <c r="F1" s="15"/>
      <c r="G1" s="15"/>
      <c r="H1" s="15"/>
    </row>
    <row r="2" spans="1:43" ht="12.75" customHeight="1" x14ac:dyDescent="0.2">
      <c r="A2" s="79" t="s">
        <v>3</v>
      </c>
      <c r="B2" s="14"/>
      <c r="C2" s="15"/>
      <c r="D2" s="15"/>
      <c r="E2" s="15"/>
      <c r="F2" s="15"/>
      <c r="G2" s="15"/>
      <c r="H2" s="15"/>
    </row>
    <row r="3" spans="1:43" ht="12.75" customHeight="1" x14ac:dyDescent="0.2">
      <c r="A3" s="900" t="s">
        <v>4</v>
      </c>
      <c r="B3" s="900"/>
      <c r="C3" s="900"/>
      <c r="D3" s="900"/>
      <c r="E3" s="900"/>
      <c r="F3" s="900"/>
      <c r="G3" s="900"/>
      <c r="H3" s="900"/>
      <c r="I3" s="900"/>
    </row>
    <row r="4" spans="1:43" x14ac:dyDescent="0.2">
      <c r="A4" s="13"/>
      <c r="B4" s="14"/>
      <c r="C4" s="15"/>
      <c r="D4" s="15"/>
      <c r="E4" s="15"/>
      <c r="F4" s="15"/>
      <c r="G4" s="15"/>
      <c r="H4" s="15"/>
      <c r="AH4" s="15"/>
      <c r="AI4" s="15"/>
      <c r="AJ4" s="15"/>
      <c r="AK4" s="15"/>
      <c r="AL4" s="15"/>
      <c r="AM4" s="15"/>
      <c r="AN4" s="15"/>
    </row>
    <row r="5" spans="1:43" ht="16.5" customHeight="1" x14ac:dyDescent="0.25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232"/>
    </row>
    <row r="6" spans="1:43" ht="16.5" customHeight="1" thickBot="1" x14ac:dyDescent="0.3">
      <c r="A6" s="148"/>
      <c r="B6" s="13"/>
      <c r="F6" s="17"/>
      <c r="G6" s="13"/>
      <c r="H6" s="19"/>
      <c r="I6" s="18"/>
    </row>
    <row r="7" spans="1:43" ht="16.5" customHeight="1" x14ac:dyDescent="0.25">
      <c r="A7" s="17"/>
      <c r="B7" s="867" t="s">
        <v>842</v>
      </c>
      <c r="C7" s="868"/>
      <c r="D7" s="868"/>
      <c r="E7" s="868"/>
      <c r="F7" s="868"/>
      <c r="G7" s="868"/>
      <c r="H7" s="868"/>
      <c r="I7" s="868"/>
      <c r="J7" s="868"/>
      <c r="K7" s="869"/>
      <c r="L7" s="878" t="s">
        <v>822</v>
      </c>
      <c r="M7" s="879"/>
      <c r="N7" s="879"/>
      <c r="O7" s="879"/>
      <c r="P7" s="879"/>
      <c r="Q7" s="879"/>
      <c r="R7" s="879"/>
      <c r="S7" s="879"/>
      <c r="T7" s="879"/>
      <c r="U7" s="879"/>
      <c r="V7" s="879"/>
      <c r="W7" s="879"/>
      <c r="X7" s="879"/>
      <c r="Y7" s="879"/>
      <c r="Z7" s="879"/>
      <c r="AA7" s="879"/>
      <c r="AB7" s="879"/>
      <c r="AC7" s="879"/>
      <c r="AD7" s="879"/>
      <c r="AE7" s="879"/>
      <c r="AF7" s="879"/>
      <c r="AG7" s="879"/>
      <c r="AH7" s="806" t="s">
        <v>850</v>
      </c>
      <c r="AI7" s="807"/>
      <c r="AJ7" s="807"/>
      <c r="AK7" s="807"/>
      <c r="AL7" s="807"/>
      <c r="AM7" s="807"/>
      <c r="AN7" s="807"/>
      <c r="AO7" s="807"/>
      <c r="AP7" s="807"/>
      <c r="AQ7" s="808"/>
    </row>
    <row r="8" spans="1:43" ht="16.5" customHeight="1" thickBot="1" x14ac:dyDescent="0.25">
      <c r="B8" s="870"/>
      <c r="C8" s="871"/>
      <c r="D8" s="871"/>
      <c r="E8" s="871"/>
      <c r="F8" s="871"/>
      <c r="G8" s="871"/>
      <c r="H8" s="871"/>
      <c r="I8" s="871"/>
      <c r="J8" s="871"/>
      <c r="K8" s="872"/>
      <c r="L8" s="881" t="s">
        <v>289</v>
      </c>
      <c r="M8" s="882"/>
      <c r="N8" s="882"/>
      <c r="O8" s="883"/>
      <c r="P8" s="890" t="s">
        <v>290</v>
      </c>
      <c r="Q8" s="882"/>
      <c r="R8" s="883"/>
      <c r="S8" s="824" t="s">
        <v>291</v>
      </c>
      <c r="T8" s="824" t="s">
        <v>5</v>
      </c>
      <c r="U8" s="824" t="s">
        <v>292</v>
      </c>
      <c r="V8" s="827" t="s">
        <v>293</v>
      </c>
      <c r="W8" s="828"/>
      <c r="X8" s="829"/>
      <c r="Y8" s="824" t="s">
        <v>315</v>
      </c>
      <c r="Z8" s="836" t="s">
        <v>294</v>
      </c>
      <c r="AA8" s="837"/>
      <c r="AB8" s="837"/>
      <c r="AC8" s="837"/>
      <c r="AD8" s="837"/>
      <c r="AE8" s="837"/>
      <c r="AF8" s="837"/>
      <c r="AG8" s="837"/>
      <c r="AH8" s="809"/>
      <c r="AI8" s="810"/>
      <c r="AJ8" s="810"/>
      <c r="AK8" s="810"/>
      <c r="AL8" s="810"/>
      <c r="AM8" s="810"/>
      <c r="AN8" s="810"/>
      <c r="AO8" s="810"/>
      <c r="AP8" s="810"/>
      <c r="AQ8" s="811"/>
    </row>
    <row r="9" spans="1:43" ht="12.75" customHeight="1" x14ac:dyDescent="0.2">
      <c r="B9" s="849" t="s">
        <v>6</v>
      </c>
      <c r="C9" s="901" t="s">
        <v>814</v>
      </c>
      <c r="D9" s="902"/>
      <c r="E9" s="902"/>
      <c r="F9" s="902"/>
      <c r="G9" s="902"/>
      <c r="H9" s="903"/>
      <c r="I9" s="858" t="s">
        <v>286</v>
      </c>
      <c r="J9" s="901" t="s">
        <v>815</v>
      </c>
      <c r="K9" s="907"/>
      <c r="L9" s="884"/>
      <c r="M9" s="909"/>
      <c r="N9" s="909"/>
      <c r="O9" s="886"/>
      <c r="P9" s="891"/>
      <c r="Q9" s="909"/>
      <c r="R9" s="886"/>
      <c r="S9" s="825"/>
      <c r="T9" s="825"/>
      <c r="U9" s="825"/>
      <c r="V9" s="830"/>
      <c r="W9" s="910"/>
      <c r="X9" s="832"/>
      <c r="Y9" s="825"/>
      <c r="Z9" s="839" t="s">
        <v>295</v>
      </c>
      <c r="AA9" s="840"/>
      <c r="AB9" s="865" t="s">
        <v>296</v>
      </c>
      <c r="AC9" s="839" t="s">
        <v>297</v>
      </c>
      <c r="AD9" s="840"/>
      <c r="AE9" s="843" t="s">
        <v>298</v>
      </c>
      <c r="AF9" s="844"/>
      <c r="AG9" s="844"/>
      <c r="AH9" s="893" t="s">
        <v>6</v>
      </c>
      <c r="AI9" s="895" t="s">
        <v>814</v>
      </c>
      <c r="AJ9" s="895"/>
      <c r="AK9" s="895"/>
      <c r="AL9" s="895"/>
      <c r="AM9" s="895"/>
      <c r="AN9" s="895"/>
      <c r="AO9" s="896" t="s">
        <v>286</v>
      </c>
      <c r="AP9" s="898" t="s">
        <v>816</v>
      </c>
      <c r="AQ9" s="899"/>
    </row>
    <row r="10" spans="1:43" ht="13.5" customHeight="1" thickBot="1" x14ac:dyDescent="0.25">
      <c r="A10" s="20" t="s">
        <v>256</v>
      </c>
      <c r="B10" s="850"/>
      <c r="C10" s="904"/>
      <c r="D10" s="905"/>
      <c r="E10" s="905"/>
      <c r="F10" s="905"/>
      <c r="G10" s="905"/>
      <c r="H10" s="906"/>
      <c r="I10" s="859"/>
      <c r="J10" s="904"/>
      <c r="K10" s="908"/>
      <c r="L10" s="887"/>
      <c r="M10" s="888"/>
      <c r="N10" s="888"/>
      <c r="O10" s="889"/>
      <c r="P10" s="892"/>
      <c r="Q10" s="888"/>
      <c r="R10" s="889"/>
      <c r="S10" s="825"/>
      <c r="T10" s="825"/>
      <c r="U10" s="825"/>
      <c r="V10" s="833"/>
      <c r="W10" s="834"/>
      <c r="X10" s="835"/>
      <c r="Y10" s="825"/>
      <c r="Z10" s="841"/>
      <c r="AA10" s="842"/>
      <c r="AB10" s="866"/>
      <c r="AC10" s="841"/>
      <c r="AD10" s="842"/>
      <c r="AE10" s="846"/>
      <c r="AF10" s="847"/>
      <c r="AG10" s="847"/>
      <c r="AH10" s="893"/>
      <c r="AI10" s="895"/>
      <c r="AJ10" s="895"/>
      <c r="AK10" s="895"/>
      <c r="AL10" s="895"/>
      <c r="AM10" s="895"/>
      <c r="AN10" s="895"/>
      <c r="AO10" s="896"/>
      <c r="AP10" s="898"/>
      <c r="AQ10" s="899"/>
    </row>
    <row r="11" spans="1:43" s="12" customFormat="1" ht="34.5" thickBot="1" x14ac:dyDescent="0.25">
      <c r="A11" s="34" t="s">
        <v>257</v>
      </c>
      <c r="B11" s="851"/>
      <c r="C11" s="58" t="s">
        <v>280</v>
      </c>
      <c r="D11" s="58" t="s">
        <v>290</v>
      </c>
      <c r="E11" s="63" t="s">
        <v>835</v>
      </c>
      <c r="F11" s="59" t="s">
        <v>5</v>
      </c>
      <c r="G11" s="59" t="s">
        <v>1</v>
      </c>
      <c r="H11" s="59" t="s">
        <v>7</v>
      </c>
      <c r="I11" s="860"/>
      <c r="J11" s="60" t="s">
        <v>287</v>
      </c>
      <c r="K11" s="61" t="s">
        <v>288</v>
      </c>
      <c r="L11" s="418" t="s">
        <v>299</v>
      </c>
      <c r="M11" s="64" t="s">
        <v>296</v>
      </c>
      <c r="N11" s="65" t="s">
        <v>297</v>
      </c>
      <c r="O11" s="64" t="s">
        <v>790</v>
      </c>
      <c r="P11" s="68" t="s">
        <v>300</v>
      </c>
      <c r="Q11" s="68" t="s">
        <v>301</v>
      </c>
      <c r="R11" s="64" t="s">
        <v>791</v>
      </c>
      <c r="S11" s="826"/>
      <c r="T11" s="826"/>
      <c r="U11" s="826"/>
      <c r="V11" s="64" t="s">
        <v>296</v>
      </c>
      <c r="W11" s="65" t="s">
        <v>302</v>
      </c>
      <c r="X11" s="64" t="s">
        <v>792</v>
      </c>
      <c r="Y11" s="826"/>
      <c r="Z11" s="320" t="s">
        <v>287</v>
      </c>
      <c r="AA11" s="340" t="s">
        <v>288</v>
      </c>
      <c r="AB11" s="320" t="s">
        <v>287</v>
      </c>
      <c r="AC11" s="320" t="s">
        <v>287</v>
      </c>
      <c r="AD11" s="340" t="s">
        <v>288</v>
      </c>
      <c r="AE11" s="320" t="s">
        <v>287</v>
      </c>
      <c r="AF11" s="340" t="s">
        <v>288</v>
      </c>
      <c r="AG11" s="340" t="s">
        <v>311</v>
      </c>
      <c r="AH11" s="894"/>
      <c r="AI11" s="725" t="s">
        <v>280</v>
      </c>
      <c r="AJ11" s="726" t="s">
        <v>290</v>
      </c>
      <c r="AK11" s="726" t="s">
        <v>835</v>
      </c>
      <c r="AL11" s="727" t="s">
        <v>5</v>
      </c>
      <c r="AM11" s="727" t="s">
        <v>1</v>
      </c>
      <c r="AN11" s="727" t="s">
        <v>7</v>
      </c>
      <c r="AO11" s="897"/>
      <c r="AP11" s="728" t="s">
        <v>287</v>
      </c>
      <c r="AQ11" s="729" t="s">
        <v>288</v>
      </c>
    </row>
    <row r="12" spans="1:43" s="12" customFormat="1" ht="12" customHeight="1" thickBot="1" x14ac:dyDescent="0.25">
      <c r="A12" s="34"/>
      <c r="B12" s="256" t="s">
        <v>274</v>
      </c>
      <c r="C12" s="257" t="s">
        <v>275</v>
      </c>
      <c r="D12" s="257" t="s">
        <v>281</v>
      </c>
      <c r="E12" s="257" t="s">
        <v>834</v>
      </c>
      <c r="F12" s="257" t="s">
        <v>276</v>
      </c>
      <c r="G12" s="257" t="s">
        <v>277</v>
      </c>
      <c r="H12" s="257" t="s">
        <v>278</v>
      </c>
      <c r="I12" s="347" t="s">
        <v>279</v>
      </c>
      <c r="J12" s="258" t="s">
        <v>571</v>
      </c>
      <c r="K12" s="348" t="s">
        <v>572</v>
      </c>
      <c r="L12" s="419" t="s">
        <v>303</v>
      </c>
      <c r="M12" s="419" t="s">
        <v>303</v>
      </c>
      <c r="N12" s="257" t="s">
        <v>303</v>
      </c>
      <c r="O12" s="257" t="s">
        <v>303</v>
      </c>
      <c r="P12" s="257" t="s">
        <v>304</v>
      </c>
      <c r="Q12" s="257" t="s">
        <v>305</v>
      </c>
      <c r="R12" s="419" t="s">
        <v>304</v>
      </c>
      <c r="S12" s="257" t="s">
        <v>306</v>
      </c>
      <c r="T12" s="257" t="s">
        <v>307</v>
      </c>
      <c r="U12" s="257" t="s">
        <v>308</v>
      </c>
      <c r="V12" s="257" t="s">
        <v>310</v>
      </c>
      <c r="W12" s="257" t="s">
        <v>309</v>
      </c>
      <c r="X12" s="257" t="s">
        <v>309</v>
      </c>
      <c r="Y12" s="257" t="s">
        <v>316</v>
      </c>
      <c r="Z12" s="427" t="s">
        <v>312</v>
      </c>
      <c r="AA12" s="413" t="s">
        <v>313</v>
      </c>
      <c r="AB12" s="413" t="s">
        <v>312</v>
      </c>
      <c r="AC12" s="413" t="s">
        <v>312</v>
      </c>
      <c r="AD12" s="413" t="s">
        <v>313</v>
      </c>
      <c r="AE12" s="413" t="s">
        <v>312</v>
      </c>
      <c r="AF12" s="413" t="s">
        <v>313</v>
      </c>
      <c r="AG12" s="414" t="s">
        <v>314</v>
      </c>
      <c r="AH12" s="250" t="s">
        <v>274</v>
      </c>
      <c r="AI12" s="251" t="s">
        <v>275</v>
      </c>
      <c r="AJ12" s="251" t="s">
        <v>281</v>
      </c>
      <c r="AK12" s="251" t="s">
        <v>834</v>
      </c>
      <c r="AL12" s="251" t="s">
        <v>276</v>
      </c>
      <c r="AM12" s="251" t="s">
        <v>277</v>
      </c>
      <c r="AN12" s="251" t="s">
        <v>278</v>
      </c>
      <c r="AO12" s="413" t="s">
        <v>279</v>
      </c>
      <c r="AP12" s="413" t="s">
        <v>571</v>
      </c>
      <c r="AQ12" s="414" t="s">
        <v>572</v>
      </c>
    </row>
    <row r="13" spans="1:43" x14ac:dyDescent="0.2">
      <c r="A13" s="341" t="s">
        <v>258</v>
      </c>
      <c r="B13" s="35">
        <f>LB!I456</f>
        <v>1632746153</v>
      </c>
      <c r="C13" s="433">
        <f>LB!J456</f>
        <v>1165505172</v>
      </c>
      <c r="D13" s="433">
        <f>LB!K456</f>
        <v>10985240</v>
      </c>
      <c r="E13" s="433">
        <f>LB!L456</f>
        <v>4865231</v>
      </c>
      <c r="F13" s="433">
        <f>LB!M456</f>
        <v>395956097</v>
      </c>
      <c r="G13" s="433">
        <f>LB!N456</f>
        <v>23310103</v>
      </c>
      <c r="H13" s="433">
        <f>LB!O456</f>
        <v>36989541</v>
      </c>
      <c r="I13" s="434">
        <f>LB!P456</f>
        <v>2551.6908999999996</v>
      </c>
      <c r="J13" s="434">
        <f>LB!Q456</f>
        <v>1820.7553000000005</v>
      </c>
      <c r="K13" s="435">
        <f>LB!R456</f>
        <v>730.93559999999991</v>
      </c>
      <c r="L13" s="438">
        <f>LB!S456</f>
        <v>208673</v>
      </c>
      <c r="M13" s="433">
        <f>LB!T456</f>
        <v>128471</v>
      </c>
      <c r="N13" s="433">
        <f>LB!U456</f>
        <v>21030</v>
      </c>
      <c r="O13" s="433">
        <f>LB!V456</f>
        <v>358174</v>
      </c>
      <c r="P13" s="433">
        <f>LB!W456</f>
        <v>-208673</v>
      </c>
      <c r="Q13" s="433">
        <f>LB!X456</f>
        <v>0</v>
      </c>
      <c r="R13" s="438">
        <f>LB!Y456</f>
        <v>-208673</v>
      </c>
      <c r="S13" s="433">
        <f>LB!Z456</f>
        <v>149501</v>
      </c>
      <c r="T13" s="433">
        <f>LB!AA456</f>
        <v>50532</v>
      </c>
      <c r="U13" s="433">
        <f>LB!AB456</f>
        <v>7166</v>
      </c>
      <c r="V13" s="433">
        <f>LB!AC456</f>
        <v>22000</v>
      </c>
      <c r="W13" s="433">
        <f>LB!AD456</f>
        <v>371104</v>
      </c>
      <c r="X13" s="433">
        <f>LB!AE456</f>
        <v>393104</v>
      </c>
      <c r="Y13" s="433">
        <f>LB!AF456</f>
        <v>600303</v>
      </c>
      <c r="Z13" s="788">
        <f>LB!AG456</f>
        <v>0</v>
      </c>
      <c r="AA13" s="434">
        <f>LB!AH456</f>
        <v>0</v>
      </c>
      <c r="AB13" s="434">
        <f>LB!AI456</f>
        <v>0.33</v>
      </c>
      <c r="AC13" s="434">
        <f>LB!AJ456</f>
        <v>0.43</v>
      </c>
      <c r="AD13" s="434">
        <f>LB!AK456</f>
        <v>0</v>
      </c>
      <c r="AE13" s="434">
        <f>LB!AL456</f>
        <v>0.7599999999999999</v>
      </c>
      <c r="AF13" s="434">
        <f>LB!AM456</f>
        <v>0</v>
      </c>
      <c r="AG13" s="435">
        <f>LB!AN456</f>
        <v>0.7599999999999999</v>
      </c>
      <c r="AH13" s="777">
        <f>LB!AO456</f>
        <v>1633346456</v>
      </c>
      <c r="AI13" s="774">
        <f>LB!AP456</f>
        <v>1165863346</v>
      </c>
      <c r="AJ13" s="774">
        <f>LB!AQ456</f>
        <v>10776567</v>
      </c>
      <c r="AK13" s="774">
        <f>LB!AR456</f>
        <v>4865231</v>
      </c>
      <c r="AL13" s="774">
        <f>LB!AS456</f>
        <v>396006629</v>
      </c>
      <c r="AM13" s="774">
        <f>LB!AT456</f>
        <v>23317269</v>
      </c>
      <c r="AN13" s="774">
        <f>LB!AU456</f>
        <v>37382645</v>
      </c>
      <c r="AO13" s="775">
        <f>LB!AV456</f>
        <v>2552.4508999999994</v>
      </c>
      <c r="AP13" s="775">
        <f>LB!AW456</f>
        <v>1821.5153000000005</v>
      </c>
      <c r="AQ13" s="776">
        <f>LB!AX456</f>
        <v>730.93559999999991</v>
      </c>
    </row>
    <row r="14" spans="1:43" x14ac:dyDescent="0.2">
      <c r="A14" s="342" t="s">
        <v>259</v>
      </c>
      <c r="B14" s="4">
        <f>FR!I130</f>
        <v>307629155</v>
      </c>
      <c r="C14" s="429">
        <f>FR!J130</f>
        <v>219608669</v>
      </c>
      <c r="D14" s="429">
        <f>FR!K130</f>
        <v>2360726</v>
      </c>
      <c r="E14" s="429">
        <f>FR!L130</f>
        <v>926613</v>
      </c>
      <c r="F14" s="429">
        <f>FR!M130</f>
        <v>74684957</v>
      </c>
      <c r="G14" s="429">
        <f>FR!N130</f>
        <v>4392175</v>
      </c>
      <c r="H14" s="429">
        <f>FR!O130</f>
        <v>6582628</v>
      </c>
      <c r="I14" s="430">
        <f>FR!P130</f>
        <v>494.06450000000007</v>
      </c>
      <c r="J14" s="430">
        <f>FR!Q130</f>
        <v>355.68349999999998</v>
      </c>
      <c r="K14" s="436">
        <f>FR!R130</f>
        <v>138.381</v>
      </c>
      <c r="L14" s="439">
        <f>FR!S130</f>
        <v>-14650</v>
      </c>
      <c r="M14" s="429">
        <f>FR!T130</f>
        <v>36011</v>
      </c>
      <c r="N14" s="429">
        <f>FR!U130</f>
        <v>-16200</v>
      </c>
      <c r="O14" s="429">
        <f>FR!V130</f>
        <v>5161</v>
      </c>
      <c r="P14" s="429">
        <f>FR!W130</f>
        <v>14650</v>
      </c>
      <c r="Q14" s="429">
        <f>FR!X130</f>
        <v>0</v>
      </c>
      <c r="R14" s="439">
        <f>FR!Y130</f>
        <v>14650</v>
      </c>
      <c r="S14" s="429">
        <f>FR!Z130</f>
        <v>19811</v>
      </c>
      <c r="T14" s="429">
        <f>FR!AA130</f>
        <v>6696</v>
      </c>
      <c r="U14" s="429">
        <f>FR!AB130</f>
        <v>104</v>
      </c>
      <c r="V14" s="429">
        <f>FR!AC130</f>
        <v>6500</v>
      </c>
      <c r="W14" s="429">
        <f>FR!AD130</f>
        <v>22000</v>
      </c>
      <c r="X14" s="429">
        <f>FR!AE130</f>
        <v>28500</v>
      </c>
      <c r="Y14" s="429">
        <f>FR!AF130</f>
        <v>55111</v>
      </c>
      <c r="Z14" s="789">
        <f>FR!AG130</f>
        <v>0</v>
      </c>
      <c r="AA14" s="430">
        <f>FR!AH130</f>
        <v>0</v>
      </c>
      <c r="AB14" s="430">
        <f>FR!AI130</f>
        <v>9.9999999999999992E-2</v>
      </c>
      <c r="AC14" s="430">
        <f>FR!AJ130</f>
        <v>0</v>
      </c>
      <c r="AD14" s="430">
        <f>FR!AK130</f>
        <v>0</v>
      </c>
      <c r="AE14" s="430">
        <f>FR!AL130</f>
        <v>9.9999999999999992E-2</v>
      </c>
      <c r="AF14" s="430">
        <f>FR!AM130</f>
        <v>0</v>
      </c>
      <c r="AG14" s="436">
        <f>FR!AN130</f>
        <v>9.9999999999999992E-2</v>
      </c>
      <c r="AH14" s="439">
        <f>FR!AO130</f>
        <v>307684266</v>
      </c>
      <c r="AI14" s="429">
        <f>FR!AP130</f>
        <v>219613830</v>
      </c>
      <c r="AJ14" s="429">
        <f>FR!AQ130</f>
        <v>2375376</v>
      </c>
      <c r="AK14" s="429">
        <f>FR!AR130</f>
        <v>926613</v>
      </c>
      <c r="AL14" s="429">
        <f>FR!AS130</f>
        <v>74691653</v>
      </c>
      <c r="AM14" s="429">
        <f>FR!AT130</f>
        <v>4392279</v>
      </c>
      <c r="AN14" s="429">
        <f>FR!AU130</f>
        <v>6611128</v>
      </c>
      <c r="AO14" s="430">
        <f>FR!AV130</f>
        <v>494.16450000000003</v>
      </c>
      <c r="AP14" s="430">
        <f>FR!AW130</f>
        <v>355.78349999999995</v>
      </c>
      <c r="AQ14" s="436">
        <f>FR!AX130</f>
        <v>138.381</v>
      </c>
    </row>
    <row r="15" spans="1:43" s="3" customFormat="1" x14ac:dyDescent="0.2">
      <c r="A15" s="342" t="s">
        <v>260</v>
      </c>
      <c r="B15" s="31">
        <f>JN!I183</f>
        <v>603174664</v>
      </c>
      <c r="C15" s="431">
        <f>JN!J183</f>
        <v>431426699</v>
      </c>
      <c r="D15" s="431">
        <f>JN!K183</f>
        <v>2947055</v>
      </c>
      <c r="E15" s="431">
        <f>JN!L183</f>
        <v>1428200</v>
      </c>
      <c r="F15" s="431">
        <f>JN!M183</f>
        <v>146346207</v>
      </c>
      <c r="G15" s="431">
        <f>JN!N183</f>
        <v>8628540</v>
      </c>
      <c r="H15" s="431">
        <f>JN!O183</f>
        <v>13826163</v>
      </c>
      <c r="I15" s="432">
        <f>JN!P183</f>
        <v>966.28169999999989</v>
      </c>
      <c r="J15" s="432">
        <f>JN!Q183</f>
        <v>664.54300000000001</v>
      </c>
      <c r="K15" s="437">
        <f>JN!R183</f>
        <v>301.73869999999999</v>
      </c>
      <c r="L15" s="440">
        <f>JN!S183</f>
        <v>5670</v>
      </c>
      <c r="M15" s="431">
        <f>JN!T183</f>
        <v>-40519</v>
      </c>
      <c r="N15" s="431">
        <f>JN!U183</f>
        <v>-94992</v>
      </c>
      <c r="O15" s="431">
        <f>JN!V183</f>
        <v>-129841</v>
      </c>
      <c r="P15" s="431">
        <f>JN!W183</f>
        <v>-5670</v>
      </c>
      <c r="Q15" s="431">
        <f>JN!X183</f>
        <v>0</v>
      </c>
      <c r="R15" s="440">
        <f>JN!Y183</f>
        <v>-5670</v>
      </c>
      <c r="S15" s="431">
        <f>JN!Z183</f>
        <v>-135511</v>
      </c>
      <c r="T15" s="431">
        <f>JN!AA183</f>
        <v>-45803</v>
      </c>
      <c r="U15" s="431">
        <f>JN!AB183</f>
        <v>-2598</v>
      </c>
      <c r="V15" s="431">
        <f>JN!AC183</f>
        <v>2500</v>
      </c>
      <c r="W15" s="431">
        <f>JN!AD183</f>
        <v>129000</v>
      </c>
      <c r="X15" s="431">
        <f>JN!AE183</f>
        <v>131500</v>
      </c>
      <c r="Y15" s="431">
        <f>JN!AF183</f>
        <v>-52412</v>
      </c>
      <c r="Z15" s="790">
        <f>JN!AG183</f>
        <v>0.01</v>
      </c>
      <c r="AA15" s="432">
        <f>JN!AH183</f>
        <v>0</v>
      </c>
      <c r="AB15" s="432">
        <f>JN!AI183</f>
        <v>-0.06</v>
      </c>
      <c r="AC15" s="432">
        <f>JN!AJ183</f>
        <v>0</v>
      </c>
      <c r="AD15" s="432">
        <f>JN!AK183</f>
        <v>0</v>
      </c>
      <c r="AE15" s="432">
        <f>JN!AL183</f>
        <v>-4.9999999999999996E-2</v>
      </c>
      <c r="AF15" s="432">
        <f>JN!AM183</f>
        <v>0</v>
      </c>
      <c r="AG15" s="437">
        <f>JN!AN183</f>
        <v>-4.9999999999999996E-2</v>
      </c>
      <c r="AH15" s="440">
        <f>JN!AO183</f>
        <v>603122252</v>
      </c>
      <c r="AI15" s="431">
        <f>JN!AP183</f>
        <v>431296858</v>
      </c>
      <c r="AJ15" s="431">
        <f>JN!AQ183</f>
        <v>2941385</v>
      </c>
      <c r="AK15" s="431">
        <f>JN!AR183</f>
        <v>1428200</v>
      </c>
      <c r="AL15" s="431">
        <f>JN!AS183</f>
        <v>146300404</v>
      </c>
      <c r="AM15" s="431">
        <f>JN!AT183</f>
        <v>8625942</v>
      </c>
      <c r="AN15" s="431">
        <f>JN!AU183</f>
        <v>13957663</v>
      </c>
      <c r="AO15" s="432">
        <f>JN!AV183</f>
        <v>966.23169999999982</v>
      </c>
      <c r="AP15" s="432">
        <f>JN!AW183</f>
        <v>664.49299999999994</v>
      </c>
      <c r="AQ15" s="437">
        <f>JN!AX183</f>
        <v>301.73869999999999</v>
      </c>
    </row>
    <row r="16" spans="1:43" x14ac:dyDescent="0.2">
      <c r="A16" s="342" t="s">
        <v>261</v>
      </c>
      <c r="B16" s="4">
        <f>TA!I98</f>
        <v>230660556</v>
      </c>
      <c r="C16" s="429">
        <f>TA!J98</f>
        <v>164858299</v>
      </c>
      <c r="D16" s="429">
        <f>TA!K98</f>
        <v>1403974</v>
      </c>
      <c r="E16" s="429">
        <f>TA!L98</f>
        <v>411174</v>
      </c>
      <c r="F16" s="429">
        <f>TA!M98</f>
        <v>56057671</v>
      </c>
      <c r="G16" s="429">
        <f>TA!N98</f>
        <v>3297166</v>
      </c>
      <c r="H16" s="429">
        <f>TA!O98</f>
        <v>5043446</v>
      </c>
      <c r="I16" s="430">
        <f>TA!P98</f>
        <v>370.88509999999997</v>
      </c>
      <c r="J16" s="430">
        <f>TA!Q98</f>
        <v>268.4658</v>
      </c>
      <c r="K16" s="436">
        <f>TA!R98</f>
        <v>102.41929999999999</v>
      </c>
      <c r="L16" s="439">
        <f>TA!S98</f>
        <v>0</v>
      </c>
      <c r="M16" s="429">
        <f>TA!T98</f>
        <v>0</v>
      </c>
      <c r="N16" s="429">
        <f>TA!U98</f>
        <v>-109591</v>
      </c>
      <c r="O16" s="429">
        <f>TA!V98</f>
        <v>-109591</v>
      </c>
      <c r="P16" s="429">
        <f>TA!W98</f>
        <v>0</v>
      </c>
      <c r="Q16" s="429">
        <f>TA!X98</f>
        <v>0</v>
      </c>
      <c r="R16" s="439">
        <f>TA!Y98</f>
        <v>0</v>
      </c>
      <c r="S16" s="429">
        <f>TA!Z98</f>
        <v>-109591</v>
      </c>
      <c r="T16" s="429">
        <f>TA!AA98</f>
        <v>-37042</v>
      </c>
      <c r="U16" s="429">
        <f>TA!AB98</f>
        <v>-2193</v>
      </c>
      <c r="V16" s="429">
        <f>TA!AC98</f>
        <v>34750</v>
      </c>
      <c r="W16" s="429">
        <f>TA!AD98</f>
        <v>148826</v>
      </c>
      <c r="X16" s="429">
        <f>TA!AE98</f>
        <v>183576</v>
      </c>
      <c r="Y16" s="429">
        <f>TA!AF98</f>
        <v>34750</v>
      </c>
      <c r="Z16" s="789">
        <f>TA!AG98</f>
        <v>0</v>
      </c>
      <c r="AA16" s="430">
        <f>TA!AH98</f>
        <v>0</v>
      </c>
      <c r="AB16" s="430">
        <f>TA!AI98</f>
        <v>0</v>
      </c>
      <c r="AC16" s="430">
        <f>TA!AJ98</f>
        <v>0</v>
      </c>
      <c r="AD16" s="430">
        <f>TA!AK98</f>
        <v>0</v>
      </c>
      <c r="AE16" s="430">
        <f>TA!AL98</f>
        <v>0</v>
      </c>
      <c r="AF16" s="430">
        <f>TA!AM98</f>
        <v>0</v>
      </c>
      <c r="AG16" s="436">
        <f>TA!AN98</f>
        <v>0</v>
      </c>
      <c r="AH16" s="439">
        <f>TA!AO98</f>
        <v>230695306</v>
      </c>
      <c r="AI16" s="429">
        <f>TA!AP98</f>
        <v>164748708</v>
      </c>
      <c r="AJ16" s="429">
        <f>TA!AQ98</f>
        <v>1403974</v>
      </c>
      <c r="AK16" s="429">
        <f>TA!AR98</f>
        <v>411174</v>
      </c>
      <c r="AL16" s="429">
        <f>TA!AS98</f>
        <v>56020629</v>
      </c>
      <c r="AM16" s="429">
        <f>TA!AT98</f>
        <v>3294973</v>
      </c>
      <c r="AN16" s="429">
        <f>TA!AU98</f>
        <v>5227022</v>
      </c>
      <c r="AO16" s="430">
        <f>TA!AV98</f>
        <v>370.88509999999997</v>
      </c>
      <c r="AP16" s="430">
        <f>TA!AW98</f>
        <v>268.4658</v>
      </c>
      <c r="AQ16" s="436">
        <f>TA!AX98</f>
        <v>102.41929999999999</v>
      </c>
    </row>
    <row r="17" spans="1:43" x14ac:dyDescent="0.2">
      <c r="A17" s="342" t="s">
        <v>262</v>
      </c>
      <c r="B17" s="4">
        <f>ŽB!I73</f>
        <v>136331592</v>
      </c>
      <c r="C17" s="429">
        <f>ŽB!J73</f>
        <v>97581884</v>
      </c>
      <c r="D17" s="429">
        <f>ŽB!K73</f>
        <v>779947</v>
      </c>
      <c r="E17" s="429">
        <f>ŽB!L73</f>
        <v>297007</v>
      </c>
      <c r="F17" s="429">
        <f>ŽB!M73</f>
        <v>33145910</v>
      </c>
      <c r="G17" s="429">
        <f>ŽB!N73</f>
        <v>1951641</v>
      </c>
      <c r="H17" s="429">
        <f>ŽB!O73</f>
        <v>2872210</v>
      </c>
      <c r="I17" s="430">
        <f>ŽB!P73</f>
        <v>213.19290000000001</v>
      </c>
      <c r="J17" s="430">
        <f>ŽB!Q73</f>
        <v>145.1336</v>
      </c>
      <c r="K17" s="436">
        <f>ŽB!R73</f>
        <v>68.059299999999993</v>
      </c>
      <c r="L17" s="439">
        <f>ŽB!S73</f>
        <v>-10000</v>
      </c>
      <c r="M17" s="429">
        <f>ŽB!T73</f>
        <v>-54711</v>
      </c>
      <c r="N17" s="429">
        <f>ŽB!U73</f>
        <v>-92048</v>
      </c>
      <c r="O17" s="429">
        <f>ŽB!V73</f>
        <v>-156759</v>
      </c>
      <c r="P17" s="429">
        <f>ŽB!W73</f>
        <v>10000</v>
      </c>
      <c r="Q17" s="429">
        <f>ŽB!X73</f>
        <v>0</v>
      </c>
      <c r="R17" s="439">
        <f>ŽB!Y73</f>
        <v>10000</v>
      </c>
      <c r="S17" s="429">
        <f>ŽB!Z73</f>
        <v>-146759</v>
      </c>
      <c r="T17" s="429">
        <f>ŽB!AA73</f>
        <v>-49605</v>
      </c>
      <c r="U17" s="429">
        <f>ŽB!AB73</f>
        <v>-3135</v>
      </c>
      <c r="V17" s="429">
        <f>ŽB!AC73</f>
        <v>0</v>
      </c>
      <c r="W17" s="429">
        <f>ŽB!AD73</f>
        <v>125002</v>
      </c>
      <c r="X17" s="429">
        <f>ŽB!AE73</f>
        <v>125002</v>
      </c>
      <c r="Y17" s="429">
        <f>ŽB!AF73</f>
        <v>-74497</v>
      </c>
      <c r="Z17" s="789">
        <f>ŽB!AG73</f>
        <v>0</v>
      </c>
      <c r="AA17" s="430">
        <f>ŽB!AH73</f>
        <v>0</v>
      </c>
      <c r="AB17" s="430">
        <f>ŽB!AI73</f>
        <v>-0.17</v>
      </c>
      <c r="AC17" s="430">
        <f>ŽB!AJ73</f>
        <v>0</v>
      </c>
      <c r="AD17" s="430">
        <f>ŽB!AK73</f>
        <v>0</v>
      </c>
      <c r="AE17" s="430">
        <f>ŽB!AL73</f>
        <v>-0.17</v>
      </c>
      <c r="AF17" s="430">
        <f>ŽB!AM73</f>
        <v>0</v>
      </c>
      <c r="AG17" s="436">
        <f>ŽB!AN73</f>
        <v>-0.17</v>
      </c>
      <c r="AH17" s="439">
        <f>ŽB!AO73</f>
        <v>136257095</v>
      </c>
      <c r="AI17" s="429">
        <f>ŽB!AP73</f>
        <v>97425125</v>
      </c>
      <c r="AJ17" s="429">
        <f>ŽB!AQ73</f>
        <v>789947</v>
      </c>
      <c r="AK17" s="429">
        <f>ŽB!AR73</f>
        <v>297007</v>
      </c>
      <c r="AL17" s="429">
        <f>ŽB!AS73</f>
        <v>33096305</v>
      </c>
      <c r="AM17" s="429">
        <f>ŽB!AT73</f>
        <v>1948506</v>
      </c>
      <c r="AN17" s="429">
        <f>ŽB!AU73</f>
        <v>2997212</v>
      </c>
      <c r="AO17" s="430">
        <f>ŽB!AV73</f>
        <v>213.02290000000002</v>
      </c>
      <c r="AP17" s="430">
        <f>ŽB!AW73</f>
        <v>144.96359999999999</v>
      </c>
      <c r="AQ17" s="436">
        <f>ŽB!AX73</f>
        <v>68.059299999999993</v>
      </c>
    </row>
    <row r="18" spans="1:43" s="3" customFormat="1" x14ac:dyDescent="0.2">
      <c r="A18" s="342" t="s">
        <v>263</v>
      </c>
      <c r="B18" s="31">
        <f>ČL!I300</f>
        <v>938402853</v>
      </c>
      <c r="C18" s="431">
        <f>ČL!J300</f>
        <v>670804147</v>
      </c>
      <c r="D18" s="431">
        <f>ČL!K300</f>
        <v>5748888</v>
      </c>
      <c r="E18" s="431">
        <f>ČL!L300</f>
        <v>2473006</v>
      </c>
      <c r="F18" s="431">
        <f>ČL!M300</f>
        <v>227839044</v>
      </c>
      <c r="G18" s="431">
        <f>ČL!N300</f>
        <v>13416086</v>
      </c>
      <c r="H18" s="431">
        <f>ČL!O300</f>
        <v>20594688</v>
      </c>
      <c r="I18" s="432">
        <f>ČL!P300</f>
        <v>1483.6801</v>
      </c>
      <c r="J18" s="432">
        <f>ČL!Q300</f>
        <v>1054.5968000000005</v>
      </c>
      <c r="K18" s="437">
        <f>ČL!R300</f>
        <v>429.08330000000029</v>
      </c>
      <c r="L18" s="440">
        <f>ČL!S300</f>
        <v>104000</v>
      </c>
      <c r="M18" s="431">
        <f>ČL!T300</f>
        <v>72608</v>
      </c>
      <c r="N18" s="431">
        <f>ČL!U300</f>
        <v>-99411</v>
      </c>
      <c r="O18" s="431">
        <f>ČL!V300</f>
        <v>77197</v>
      </c>
      <c r="P18" s="431">
        <f>ČL!W300</f>
        <v>-104000</v>
      </c>
      <c r="Q18" s="431">
        <f>ČL!X300</f>
        <v>0</v>
      </c>
      <c r="R18" s="440">
        <f>ČL!Y300</f>
        <v>-104000</v>
      </c>
      <c r="S18" s="431">
        <f>ČL!Z300</f>
        <v>-26803</v>
      </c>
      <c r="T18" s="431">
        <f>ČL!AA300</f>
        <v>-9059</v>
      </c>
      <c r="U18" s="431">
        <f>ČL!AB300</f>
        <v>1543</v>
      </c>
      <c r="V18" s="431">
        <f>ČL!AC300</f>
        <v>20250</v>
      </c>
      <c r="W18" s="431">
        <f>ČL!AD300</f>
        <v>135001</v>
      </c>
      <c r="X18" s="431">
        <f>ČL!AE300</f>
        <v>155251</v>
      </c>
      <c r="Y18" s="431">
        <f>ČL!AF300</f>
        <v>120932</v>
      </c>
      <c r="Z18" s="790">
        <f>ČL!AG300</f>
        <v>0.2</v>
      </c>
      <c r="AA18" s="432">
        <f>ČL!AH300</f>
        <v>0</v>
      </c>
      <c r="AB18" s="432">
        <f>ČL!AI300</f>
        <v>7.0000000000000007E-2</v>
      </c>
      <c r="AC18" s="432">
        <f>ČL!AJ300</f>
        <v>0</v>
      </c>
      <c r="AD18" s="432">
        <f>ČL!AK300</f>
        <v>0</v>
      </c>
      <c r="AE18" s="432">
        <f>ČL!AL300</f>
        <v>0.27</v>
      </c>
      <c r="AF18" s="432">
        <f>ČL!AM300</f>
        <v>0</v>
      </c>
      <c r="AG18" s="437">
        <f>ČL!AN300</f>
        <v>0.27</v>
      </c>
      <c r="AH18" s="440">
        <f>ČL!AO300</f>
        <v>938523785</v>
      </c>
      <c r="AI18" s="431">
        <f>ČL!AP300</f>
        <v>670881344</v>
      </c>
      <c r="AJ18" s="431">
        <f>ČL!AQ300</f>
        <v>5644888</v>
      </c>
      <c r="AK18" s="431">
        <f>ČL!AR300</f>
        <v>2473006</v>
      </c>
      <c r="AL18" s="431">
        <f>ČL!AS300</f>
        <v>227829985</v>
      </c>
      <c r="AM18" s="431">
        <f>ČL!AT300</f>
        <v>13417629</v>
      </c>
      <c r="AN18" s="431">
        <f>ČL!AU300</f>
        <v>20749939</v>
      </c>
      <c r="AO18" s="432">
        <f>ČL!AV300</f>
        <v>1483.9501</v>
      </c>
      <c r="AP18" s="432">
        <f>ČL!AW300</f>
        <v>1054.8668000000005</v>
      </c>
      <c r="AQ18" s="437">
        <f>ČL!AX300</f>
        <v>429.08330000000029</v>
      </c>
    </row>
    <row r="19" spans="1:43" x14ac:dyDescent="0.2">
      <c r="A19" s="342" t="s">
        <v>264</v>
      </c>
      <c r="B19" s="4">
        <f>NB!I122</f>
        <v>308478526</v>
      </c>
      <c r="C19" s="429">
        <f>NB!J122</f>
        <v>221044758</v>
      </c>
      <c r="D19" s="429">
        <f>NB!K122</f>
        <v>1374532</v>
      </c>
      <c r="E19" s="429">
        <f>NB!L122</f>
        <v>470462</v>
      </c>
      <c r="F19" s="429">
        <f>NB!M122</f>
        <v>75018703</v>
      </c>
      <c r="G19" s="429">
        <f>NB!N122</f>
        <v>4420893</v>
      </c>
      <c r="H19" s="429">
        <f>NB!O122</f>
        <v>6619640</v>
      </c>
      <c r="I19" s="430">
        <f>NB!P122</f>
        <v>490.88410000000005</v>
      </c>
      <c r="J19" s="430">
        <f>NB!Q122</f>
        <v>339.90570000000002</v>
      </c>
      <c r="K19" s="436">
        <f>NB!R122</f>
        <v>150.97839999999999</v>
      </c>
      <c r="L19" s="439">
        <f>NB!S122</f>
        <v>18200</v>
      </c>
      <c r="M19" s="429">
        <f>NB!T122</f>
        <v>37265</v>
      </c>
      <c r="N19" s="429">
        <f>NB!U122</f>
        <v>-81001</v>
      </c>
      <c r="O19" s="429">
        <f>NB!V122</f>
        <v>-25536</v>
      </c>
      <c r="P19" s="429">
        <f>NB!W122</f>
        <v>-18200</v>
      </c>
      <c r="Q19" s="429">
        <f>NB!X122</f>
        <v>0</v>
      </c>
      <c r="R19" s="439">
        <f>NB!Y122</f>
        <v>-18200</v>
      </c>
      <c r="S19" s="429">
        <f>NB!Z122</f>
        <v>-43736</v>
      </c>
      <c r="T19" s="429">
        <f>NB!AA122</f>
        <v>-14783</v>
      </c>
      <c r="U19" s="429">
        <f>NB!AB122</f>
        <v>-510</v>
      </c>
      <c r="V19" s="429">
        <f>NB!AC122</f>
        <v>7250</v>
      </c>
      <c r="W19" s="429">
        <f>NB!AD122</f>
        <v>110000</v>
      </c>
      <c r="X19" s="429">
        <f>NB!AE122</f>
        <v>117250</v>
      </c>
      <c r="Y19" s="429">
        <f>NB!AF122</f>
        <v>58221</v>
      </c>
      <c r="Z19" s="789">
        <f>NB!AG122</f>
        <v>0</v>
      </c>
      <c r="AA19" s="430">
        <f>NB!AH122</f>
        <v>0</v>
      </c>
      <c r="AB19" s="430">
        <f>NB!AI122</f>
        <v>0.1</v>
      </c>
      <c r="AC19" s="430">
        <f>NB!AJ122</f>
        <v>0</v>
      </c>
      <c r="AD19" s="430">
        <f>NB!AK122</f>
        <v>0</v>
      </c>
      <c r="AE19" s="430">
        <f>NB!AL122</f>
        <v>0.1</v>
      </c>
      <c r="AF19" s="430">
        <f>NB!AM122</f>
        <v>0</v>
      </c>
      <c r="AG19" s="436">
        <f>NB!AN122</f>
        <v>0.1</v>
      </c>
      <c r="AH19" s="439">
        <f>NB!AO122</f>
        <v>308536747</v>
      </c>
      <c r="AI19" s="429">
        <f>NB!AP122</f>
        <v>221019222</v>
      </c>
      <c r="AJ19" s="429">
        <f>NB!AQ122</f>
        <v>1356332</v>
      </c>
      <c r="AK19" s="429">
        <f>NB!AR122</f>
        <v>470462</v>
      </c>
      <c r="AL19" s="429">
        <f>NB!AS122</f>
        <v>75003920</v>
      </c>
      <c r="AM19" s="429">
        <f>NB!AT122</f>
        <v>4420383</v>
      </c>
      <c r="AN19" s="429">
        <f>NB!AU122</f>
        <v>6736890</v>
      </c>
      <c r="AO19" s="430">
        <f>NB!AV122</f>
        <v>490.98410000000007</v>
      </c>
      <c r="AP19" s="430">
        <f>NB!AW122</f>
        <v>340.00570000000005</v>
      </c>
      <c r="AQ19" s="436">
        <f>NB!AX122</f>
        <v>150.97839999999999</v>
      </c>
    </row>
    <row r="20" spans="1:43" x14ac:dyDescent="0.2">
      <c r="A20" s="342" t="s">
        <v>265</v>
      </c>
      <c r="B20" s="4">
        <f>SM!I167</f>
        <v>326453409</v>
      </c>
      <c r="C20" s="429">
        <f>SM!J167</f>
        <v>233889883</v>
      </c>
      <c r="D20" s="429">
        <f>SM!K167</f>
        <v>1724764</v>
      </c>
      <c r="E20" s="429">
        <f>SM!L167</f>
        <v>606874</v>
      </c>
      <c r="F20" s="429">
        <f>SM!M167</f>
        <v>79432628</v>
      </c>
      <c r="G20" s="429">
        <f>SM!N167</f>
        <v>4677800</v>
      </c>
      <c r="H20" s="429">
        <f>SM!O167</f>
        <v>6728334</v>
      </c>
      <c r="I20" s="430">
        <f>SM!P167</f>
        <v>509.81470000000002</v>
      </c>
      <c r="J20" s="430">
        <f>SM!Q167</f>
        <v>349.42219999999986</v>
      </c>
      <c r="K20" s="436">
        <f>SM!R167</f>
        <v>160.39249999999998</v>
      </c>
      <c r="L20" s="439">
        <f>SM!S167</f>
        <v>-30000</v>
      </c>
      <c r="M20" s="429">
        <f>SM!T167</f>
        <v>3931</v>
      </c>
      <c r="N20" s="429">
        <f>SM!U167</f>
        <v>-16200</v>
      </c>
      <c r="O20" s="429">
        <f>SM!V167</f>
        <v>-42269</v>
      </c>
      <c r="P20" s="429">
        <f>SM!W167</f>
        <v>30000</v>
      </c>
      <c r="Q20" s="429">
        <f>SM!X167</f>
        <v>0</v>
      </c>
      <c r="R20" s="439">
        <f>SM!Y167</f>
        <v>30000</v>
      </c>
      <c r="S20" s="429">
        <f>SM!Z167</f>
        <v>-12269</v>
      </c>
      <c r="T20" s="429">
        <f>SM!AA167</f>
        <v>-4147</v>
      </c>
      <c r="U20" s="429">
        <f>SM!AB167</f>
        <v>-845</v>
      </c>
      <c r="V20" s="429">
        <f>SM!AC167</f>
        <v>3950</v>
      </c>
      <c r="W20" s="429">
        <f>SM!AD167</f>
        <v>21999</v>
      </c>
      <c r="X20" s="429">
        <f>SM!AE167</f>
        <v>25949</v>
      </c>
      <c r="Y20" s="429">
        <f>SM!AF167</f>
        <v>8688</v>
      </c>
      <c r="Z20" s="789">
        <f>SM!AG167</f>
        <v>0</v>
      </c>
      <c r="AA20" s="430">
        <f>SM!AH167</f>
        <v>0</v>
      </c>
      <c r="AB20" s="430">
        <f>SM!AI167</f>
        <v>0.01</v>
      </c>
      <c r="AC20" s="430">
        <f>SM!AJ167</f>
        <v>0</v>
      </c>
      <c r="AD20" s="430">
        <f>SM!AK167</f>
        <v>0</v>
      </c>
      <c r="AE20" s="430">
        <f>SM!AL167</f>
        <v>0.01</v>
      </c>
      <c r="AF20" s="430">
        <f>SM!AM167</f>
        <v>0</v>
      </c>
      <c r="AG20" s="436">
        <f>SM!AN167</f>
        <v>0.01</v>
      </c>
      <c r="AH20" s="439">
        <f>SM!AO167</f>
        <v>326462097</v>
      </c>
      <c r="AI20" s="429">
        <f>SM!AP167</f>
        <v>233847614</v>
      </c>
      <c r="AJ20" s="429">
        <f>SM!AQ167</f>
        <v>1754764</v>
      </c>
      <c r="AK20" s="429">
        <f>SM!AR167</f>
        <v>606874</v>
      </c>
      <c r="AL20" s="429">
        <f>SM!AS167</f>
        <v>79428481</v>
      </c>
      <c r="AM20" s="429">
        <f>SM!AT167</f>
        <v>4676955</v>
      </c>
      <c r="AN20" s="429">
        <f>SM!AU167</f>
        <v>6754283</v>
      </c>
      <c r="AO20" s="430">
        <f>SM!AV167</f>
        <v>509.82470000000006</v>
      </c>
      <c r="AP20" s="430">
        <f>SM!AW167</f>
        <v>349.43219999999991</v>
      </c>
      <c r="AQ20" s="436">
        <f>SM!AX167</f>
        <v>160.39249999999998</v>
      </c>
    </row>
    <row r="21" spans="1:43" s="3" customFormat="1" x14ac:dyDescent="0.2">
      <c r="A21" s="342" t="s">
        <v>266</v>
      </c>
      <c r="B21" s="31">
        <f>JI!I142</f>
        <v>269291290</v>
      </c>
      <c r="C21" s="431">
        <f>JI!J142</f>
        <v>193484528</v>
      </c>
      <c r="D21" s="431">
        <f>JI!K142</f>
        <v>1069522</v>
      </c>
      <c r="E21" s="431">
        <f>JI!L142</f>
        <v>517526</v>
      </c>
      <c r="F21" s="431">
        <f>JI!M142</f>
        <v>65584345</v>
      </c>
      <c r="G21" s="431">
        <f>JI!N142</f>
        <v>3869685</v>
      </c>
      <c r="H21" s="431">
        <f>JI!O142</f>
        <v>5283210</v>
      </c>
      <c r="I21" s="432">
        <f>JI!P142</f>
        <v>426.24259999999992</v>
      </c>
      <c r="J21" s="432">
        <f>JI!Q142</f>
        <v>295.00150000000002</v>
      </c>
      <c r="K21" s="437">
        <f>JI!R142</f>
        <v>131.24110000000002</v>
      </c>
      <c r="L21" s="440">
        <f>JI!S142</f>
        <v>0</v>
      </c>
      <c r="M21" s="431">
        <f>JI!T142</f>
        <v>14786</v>
      </c>
      <c r="N21" s="431">
        <f>JI!U142</f>
        <v>-67010</v>
      </c>
      <c r="O21" s="431">
        <f>JI!V142</f>
        <v>-52224</v>
      </c>
      <c r="P21" s="431">
        <f>JI!W142</f>
        <v>0</v>
      </c>
      <c r="Q21" s="431">
        <f>JI!X142</f>
        <v>0</v>
      </c>
      <c r="R21" s="440">
        <f>JI!Y142</f>
        <v>0</v>
      </c>
      <c r="S21" s="431">
        <f>JI!Z142</f>
        <v>-52224</v>
      </c>
      <c r="T21" s="431">
        <f>JI!AA142</f>
        <v>-17651</v>
      </c>
      <c r="U21" s="431">
        <f>JI!AB142</f>
        <v>-1045</v>
      </c>
      <c r="V21" s="431">
        <f>JI!AC142</f>
        <v>10200</v>
      </c>
      <c r="W21" s="431">
        <f>JI!AD142</f>
        <v>91000</v>
      </c>
      <c r="X21" s="431">
        <f>JI!AE142</f>
        <v>101200</v>
      </c>
      <c r="Y21" s="431">
        <f>JI!AF142</f>
        <v>30280</v>
      </c>
      <c r="Z21" s="790">
        <f>JI!AG142</f>
        <v>0</v>
      </c>
      <c r="AA21" s="432">
        <f>JI!AH142</f>
        <v>0</v>
      </c>
      <c r="AB21" s="432">
        <f>JI!AI142</f>
        <v>0.03</v>
      </c>
      <c r="AC21" s="432">
        <f>JI!AJ142</f>
        <v>0</v>
      </c>
      <c r="AD21" s="432">
        <f>JI!AK142</f>
        <v>0</v>
      </c>
      <c r="AE21" s="432">
        <f>JI!AL142</f>
        <v>0.03</v>
      </c>
      <c r="AF21" s="432">
        <f>JI!AM142</f>
        <v>0</v>
      </c>
      <c r="AG21" s="437">
        <f>JI!AN142</f>
        <v>0.03</v>
      </c>
      <c r="AH21" s="440">
        <f>JI!AO142</f>
        <v>269321570</v>
      </c>
      <c r="AI21" s="431">
        <f>JI!AP142</f>
        <v>193432304</v>
      </c>
      <c r="AJ21" s="431">
        <f>JI!AQ142</f>
        <v>1069522</v>
      </c>
      <c r="AK21" s="431">
        <f>JI!AR142</f>
        <v>517526</v>
      </c>
      <c r="AL21" s="431">
        <f>JI!AS142</f>
        <v>65566694</v>
      </c>
      <c r="AM21" s="431">
        <f>JI!AT142</f>
        <v>3868640</v>
      </c>
      <c r="AN21" s="431">
        <f>JI!AU142</f>
        <v>5384410</v>
      </c>
      <c r="AO21" s="432">
        <f>JI!AV142</f>
        <v>426.27260000000001</v>
      </c>
      <c r="AP21" s="432">
        <f>JI!AW142</f>
        <v>295.03149999999999</v>
      </c>
      <c r="AQ21" s="437">
        <f>JI!AX142</f>
        <v>131.24110000000002</v>
      </c>
    </row>
    <row r="22" spans="1:43" ht="13.5" thickBot="1" x14ac:dyDescent="0.25">
      <c r="A22" s="343" t="s">
        <v>267</v>
      </c>
      <c r="B22" s="784">
        <f>TU!I196</f>
        <v>403674992</v>
      </c>
      <c r="C22" s="785">
        <f>TU!J196</f>
        <v>288702527</v>
      </c>
      <c r="D22" s="785">
        <f>TU!K196</f>
        <v>2525722</v>
      </c>
      <c r="E22" s="785">
        <f>TU!L196</f>
        <v>684618</v>
      </c>
      <c r="F22" s="785">
        <f>TU!M196</f>
        <v>98125153</v>
      </c>
      <c r="G22" s="785">
        <f>TU!N196</f>
        <v>5774062</v>
      </c>
      <c r="H22" s="785">
        <f>TU!O196</f>
        <v>8547528</v>
      </c>
      <c r="I22" s="786">
        <f>TU!P196</f>
        <v>634.5764999999999</v>
      </c>
      <c r="J22" s="786">
        <f>TU!Q196</f>
        <v>432.95540000000005</v>
      </c>
      <c r="K22" s="787">
        <f>TU!R196</f>
        <v>201.62110000000001</v>
      </c>
      <c r="L22" s="793">
        <f>TU!S196</f>
        <v>16071</v>
      </c>
      <c r="M22" s="785">
        <f>TU!T196</f>
        <v>-16421</v>
      </c>
      <c r="N22" s="785">
        <f>TU!U196</f>
        <v>-185566</v>
      </c>
      <c r="O22" s="785">
        <f>TU!V196</f>
        <v>-185916</v>
      </c>
      <c r="P22" s="785">
        <f>TU!W196</f>
        <v>-16071</v>
      </c>
      <c r="Q22" s="785">
        <f>TU!X196</f>
        <v>0</v>
      </c>
      <c r="R22" s="793">
        <f>TU!Y196</f>
        <v>-16071</v>
      </c>
      <c r="S22" s="785">
        <f>TU!Z196</f>
        <v>-201987</v>
      </c>
      <c r="T22" s="785">
        <f>TU!AA196</f>
        <v>-68273</v>
      </c>
      <c r="U22" s="785">
        <f>TU!AB196</f>
        <v>-3720</v>
      </c>
      <c r="V22" s="785">
        <f>TU!AC196</f>
        <v>35250</v>
      </c>
      <c r="W22" s="785">
        <f>TU!AD196</f>
        <v>282000</v>
      </c>
      <c r="X22" s="785">
        <f>TU!AE196</f>
        <v>317250</v>
      </c>
      <c r="Y22" s="785">
        <f>TU!AF196</f>
        <v>43270</v>
      </c>
      <c r="Z22" s="791">
        <f>TU!AG196</f>
        <v>0</v>
      </c>
      <c r="AA22" s="786">
        <f>TU!AH196</f>
        <v>0</v>
      </c>
      <c r="AB22" s="786">
        <f>TU!AI196</f>
        <v>0.01</v>
      </c>
      <c r="AC22" s="786">
        <f>TU!AJ196</f>
        <v>0</v>
      </c>
      <c r="AD22" s="786">
        <f>TU!AK196</f>
        <v>0</v>
      </c>
      <c r="AE22" s="786">
        <f>TU!AL196</f>
        <v>0.01</v>
      </c>
      <c r="AF22" s="786">
        <f>TU!AM196</f>
        <v>0</v>
      </c>
      <c r="AG22" s="787">
        <f>TU!AN196</f>
        <v>0.01</v>
      </c>
      <c r="AH22" s="737">
        <f>TU!AO196</f>
        <v>403718262</v>
      </c>
      <c r="AI22" s="730">
        <f>TU!AP196</f>
        <v>288516611</v>
      </c>
      <c r="AJ22" s="730">
        <f>TU!AQ196</f>
        <v>2509651</v>
      </c>
      <c r="AK22" s="730">
        <f>TU!AR196</f>
        <v>684618</v>
      </c>
      <c r="AL22" s="730">
        <f>TU!AS196</f>
        <v>98056880</v>
      </c>
      <c r="AM22" s="730">
        <f>TU!AT196</f>
        <v>5770342</v>
      </c>
      <c r="AN22" s="730">
        <f>TU!AU196</f>
        <v>8864778</v>
      </c>
      <c r="AO22" s="731">
        <f>TU!AV196</f>
        <v>634.58649999999989</v>
      </c>
      <c r="AP22" s="731">
        <f>TU!AW196</f>
        <v>432.96540000000005</v>
      </c>
      <c r="AQ22" s="732">
        <f>TU!AX196</f>
        <v>201.62110000000001</v>
      </c>
    </row>
    <row r="23" spans="1:43" s="3" customFormat="1" ht="13.5" thickBot="1" x14ac:dyDescent="0.25">
      <c r="A23" s="344" t="s">
        <v>268</v>
      </c>
      <c r="B23" s="778">
        <f>SUM(B13:B22)</f>
        <v>5156843190</v>
      </c>
      <c r="C23" s="779">
        <f>SUM(C13:C22)</f>
        <v>3686906566</v>
      </c>
      <c r="D23" s="779">
        <f t="shared" ref="D23:AQ23" si="0">SUM(D13:D22)</f>
        <v>30920370</v>
      </c>
      <c r="E23" s="779">
        <f t="shared" ref="E23" si="1">SUM(E13:E22)</f>
        <v>12680711</v>
      </c>
      <c r="F23" s="779">
        <f t="shared" si="0"/>
        <v>1252190715</v>
      </c>
      <c r="G23" s="779">
        <f t="shared" si="0"/>
        <v>73738151</v>
      </c>
      <c r="H23" s="779">
        <f>SUM(H13:H22)</f>
        <v>113087388</v>
      </c>
      <c r="I23" s="780">
        <f t="shared" si="0"/>
        <v>8141.3130999999985</v>
      </c>
      <c r="J23" s="780">
        <f t="shared" si="0"/>
        <v>5726.4628000000012</v>
      </c>
      <c r="K23" s="781">
        <f t="shared" si="0"/>
        <v>2414.8503000000001</v>
      </c>
      <c r="L23" s="782">
        <f t="shared" si="0"/>
        <v>297964</v>
      </c>
      <c r="M23" s="779">
        <f t="shared" si="0"/>
        <v>181421</v>
      </c>
      <c r="N23" s="779">
        <f t="shared" si="0"/>
        <v>-740989</v>
      </c>
      <c r="O23" s="779">
        <f t="shared" si="0"/>
        <v>-261604</v>
      </c>
      <c r="P23" s="779">
        <f t="shared" si="0"/>
        <v>-297964</v>
      </c>
      <c r="Q23" s="779">
        <f t="shared" si="0"/>
        <v>0</v>
      </c>
      <c r="R23" s="782">
        <f t="shared" si="0"/>
        <v>-297964</v>
      </c>
      <c r="S23" s="779">
        <f t="shared" si="0"/>
        <v>-559568</v>
      </c>
      <c r="T23" s="779">
        <f t="shared" si="0"/>
        <v>-189135</v>
      </c>
      <c r="U23" s="779">
        <f t="shared" si="0"/>
        <v>-5233</v>
      </c>
      <c r="V23" s="779">
        <f t="shared" si="0"/>
        <v>142650</v>
      </c>
      <c r="W23" s="779">
        <f t="shared" si="0"/>
        <v>1435932</v>
      </c>
      <c r="X23" s="779">
        <f t="shared" si="0"/>
        <v>1578582</v>
      </c>
      <c r="Y23" s="779">
        <f t="shared" si="0"/>
        <v>824646</v>
      </c>
      <c r="Z23" s="792">
        <f t="shared" si="0"/>
        <v>0.21000000000000002</v>
      </c>
      <c r="AA23" s="780">
        <f t="shared" si="0"/>
        <v>0</v>
      </c>
      <c r="AB23" s="780">
        <f t="shared" si="0"/>
        <v>0.42000000000000004</v>
      </c>
      <c r="AC23" s="780">
        <f t="shared" si="0"/>
        <v>0.43</v>
      </c>
      <c r="AD23" s="780">
        <f t="shared" si="0"/>
        <v>0</v>
      </c>
      <c r="AE23" s="780">
        <f t="shared" si="0"/>
        <v>1.0599999999999998</v>
      </c>
      <c r="AF23" s="780">
        <f t="shared" si="0"/>
        <v>0</v>
      </c>
      <c r="AG23" s="783">
        <f t="shared" si="0"/>
        <v>1.0599999999999998</v>
      </c>
      <c r="AH23" s="733">
        <f t="shared" si="0"/>
        <v>5157667836</v>
      </c>
      <c r="AI23" s="734">
        <f t="shared" si="0"/>
        <v>3686644962</v>
      </c>
      <c r="AJ23" s="734">
        <f t="shared" si="0"/>
        <v>30622406</v>
      </c>
      <c r="AK23" s="734">
        <f t="shared" ref="AK23" si="2">SUM(AK13:AK22)</f>
        <v>12680711</v>
      </c>
      <c r="AL23" s="734">
        <f t="shared" si="0"/>
        <v>1252001580</v>
      </c>
      <c r="AM23" s="734">
        <f t="shared" si="0"/>
        <v>73732918</v>
      </c>
      <c r="AN23" s="734">
        <f t="shared" si="0"/>
        <v>114665970</v>
      </c>
      <c r="AO23" s="735">
        <f t="shared" si="0"/>
        <v>8142.3730999999989</v>
      </c>
      <c r="AP23" s="735">
        <f t="shared" si="0"/>
        <v>5727.5228000000006</v>
      </c>
      <c r="AQ23" s="736">
        <f t="shared" si="0"/>
        <v>2414.8503000000001</v>
      </c>
    </row>
    <row r="24" spans="1:43" x14ac:dyDescent="0.2">
      <c r="A24" s="36" t="s">
        <v>269</v>
      </c>
      <c r="B24" s="173">
        <f>C23+D23+F23+G23+H23</f>
        <v>5156843190</v>
      </c>
      <c r="C24" s="173"/>
      <c r="D24" s="173"/>
      <c r="E24" s="173"/>
      <c r="F24" s="173"/>
      <c r="G24" s="173"/>
      <c r="H24" s="173"/>
      <c r="I24" s="174">
        <f>SUM(J23:K23)</f>
        <v>8141.3131000000012</v>
      </c>
      <c r="J24" s="174"/>
      <c r="K24" s="174"/>
      <c r="L24" s="509">
        <f>P23</f>
        <v>-297964</v>
      </c>
      <c r="M24" s="191"/>
      <c r="N24" s="191"/>
      <c r="O24" s="659">
        <f>SUM(L23:N23)</f>
        <v>-261604</v>
      </c>
      <c r="P24" s="660"/>
      <c r="Q24" s="660"/>
      <c r="R24" s="659">
        <f>SUM(P23:Q23)</f>
        <v>-297964</v>
      </c>
      <c r="S24" s="659">
        <f>O23+R23</f>
        <v>-559568</v>
      </c>
      <c r="T24" s="260"/>
      <c r="U24" s="260"/>
      <c r="V24" s="660"/>
      <c r="W24" s="660"/>
      <c r="X24" s="659">
        <f>SUM(V23:W23)</f>
        <v>1578582</v>
      </c>
      <c r="Y24" s="659">
        <f>S23+T23+U23+X23</f>
        <v>824646</v>
      </c>
      <c r="Z24" s="661"/>
      <c r="AA24" s="661"/>
      <c r="AB24" s="661"/>
      <c r="AC24" s="661"/>
      <c r="AD24" s="661"/>
      <c r="AE24" s="662">
        <f>Z23+AB23+AC23</f>
        <v>1.06</v>
      </c>
      <c r="AF24" s="662">
        <f>AA23+AD23</f>
        <v>0</v>
      </c>
      <c r="AG24" s="662">
        <f>SUM(AE23:AF23)</f>
        <v>1.0599999999999998</v>
      </c>
      <c r="AH24" s="318">
        <f>AI23+AJ23+AL23+AM23+AN23</f>
        <v>5157667836</v>
      </c>
      <c r="AI24" s="190"/>
      <c r="AJ24" s="190"/>
      <c r="AK24" s="318"/>
      <c r="AL24" s="190"/>
      <c r="AM24" s="190"/>
      <c r="AN24" s="190"/>
      <c r="AO24" s="191">
        <f>SUM(AP23:AQ23)</f>
        <v>8142.3731000000007</v>
      </c>
      <c r="AP24" s="198"/>
      <c r="AQ24" s="198"/>
    </row>
    <row r="25" spans="1:43" ht="13.5" thickBot="1" x14ac:dyDescent="0.25">
      <c r="A25" s="16"/>
      <c r="B25" s="12"/>
      <c r="C25" s="12"/>
      <c r="D25" s="12"/>
      <c r="E25" s="12"/>
      <c r="F25" s="12"/>
      <c r="G25" s="12"/>
      <c r="H25" s="12"/>
      <c r="I25" s="7"/>
      <c r="J25" s="7"/>
      <c r="K25" s="7"/>
      <c r="L25" s="191"/>
      <c r="M25" s="191"/>
      <c r="N25" s="191"/>
      <c r="O25" s="659">
        <f ca="1">SUM(L26:N26)</f>
        <v>-261604</v>
      </c>
      <c r="P25" s="660"/>
      <c r="Q25" s="660"/>
      <c r="R25" s="659">
        <f ca="1">SUM(P26:Q26)</f>
        <v>-297964</v>
      </c>
      <c r="S25" s="659">
        <f ca="1">O26+R26</f>
        <v>-559568</v>
      </c>
      <c r="T25" s="260"/>
      <c r="U25" s="260"/>
      <c r="V25" s="660"/>
      <c r="W25" s="660"/>
      <c r="X25" s="659">
        <f ca="1">SUM(V26:W26)</f>
        <v>1578582</v>
      </c>
      <c r="Y25" s="659">
        <f ca="1">S26+T26+U26+X26</f>
        <v>824646</v>
      </c>
      <c r="Z25" s="661"/>
      <c r="AA25" s="661"/>
      <c r="AB25" s="661"/>
      <c r="AC25" s="661"/>
      <c r="AD25" s="661"/>
      <c r="AE25" s="662">
        <f ca="1">Z26+AB26+AC26</f>
        <v>1.06</v>
      </c>
      <c r="AF25" s="662">
        <f ca="1">AA26+AD26</f>
        <v>0</v>
      </c>
      <c r="AG25" s="662">
        <f ca="1">SUM(AE26:AF26)</f>
        <v>1.06</v>
      </c>
      <c r="AH25" s="318">
        <f ca="1">AI26+AJ26+AL26+AM26+AN26</f>
        <v>5157667836</v>
      </c>
      <c r="AI25" s="190"/>
      <c r="AJ25" s="190"/>
      <c r="AK25" s="197"/>
      <c r="AL25" s="190"/>
      <c r="AM25" s="190"/>
      <c r="AN25" s="190"/>
      <c r="AO25" s="191">
        <f ca="1">SUM(AP26:AQ26)</f>
        <v>8142.3730999999989</v>
      </c>
      <c r="AP25" s="198"/>
      <c r="AQ25" s="198"/>
    </row>
    <row r="26" spans="1:43" ht="13.5" thickBot="1" x14ac:dyDescent="0.25">
      <c r="A26" s="39" t="s">
        <v>0</v>
      </c>
      <c r="B26" s="255">
        <f t="shared" ref="B26:AN26" ca="1" si="3">SUM(B27:B36)</f>
        <v>5156843190</v>
      </c>
      <c r="C26" s="46">
        <f t="shared" ca="1" si="3"/>
        <v>3686906566</v>
      </c>
      <c r="D26" s="46">
        <f t="shared" ca="1" si="3"/>
        <v>30920370</v>
      </c>
      <c r="E26" s="46">
        <f t="shared" ref="E26" ca="1" si="4">SUM(E27:E36)</f>
        <v>12680711</v>
      </c>
      <c r="F26" s="46">
        <f t="shared" ca="1" si="3"/>
        <v>1252190715</v>
      </c>
      <c r="G26" s="46">
        <f t="shared" ca="1" si="3"/>
        <v>73738151</v>
      </c>
      <c r="H26" s="46">
        <f ca="1">SUM(H27:H36)</f>
        <v>113087388</v>
      </c>
      <c r="I26" s="47">
        <f t="shared" ca="1" si="3"/>
        <v>8141.3130999999994</v>
      </c>
      <c r="J26" s="47">
        <f t="shared" ca="1" si="3"/>
        <v>5726.4628000000002</v>
      </c>
      <c r="K26" s="48">
        <f t="shared" ca="1" si="3"/>
        <v>2414.8503000000001</v>
      </c>
      <c r="L26" s="264">
        <f t="shared" ca="1" si="3"/>
        <v>297964</v>
      </c>
      <c r="M26" s="46">
        <f t="shared" ca="1" si="3"/>
        <v>181421</v>
      </c>
      <c r="N26" s="46">
        <f t="shared" ca="1" si="3"/>
        <v>-740989</v>
      </c>
      <c r="O26" s="46">
        <f t="shared" ca="1" si="3"/>
        <v>-261604</v>
      </c>
      <c r="P26" s="46">
        <f t="shared" ca="1" si="3"/>
        <v>-297964</v>
      </c>
      <c r="Q26" s="46">
        <f t="shared" ca="1" si="3"/>
        <v>0</v>
      </c>
      <c r="R26" s="46">
        <f t="shared" ca="1" si="3"/>
        <v>-297964</v>
      </c>
      <c r="S26" s="46">
        <f t="shared" ca="1" si="3"/>
        <v>-559568</v>
      </c>
      <c r="T26" s="46">
        <f t="shared" ca="1" si="3"/>
        <v>-189135</v>
      </c>
      <c r="U26" s="46">
        <f t="shared" ca="1" si="3"/>
        <v>-5233</v>
      </c>
      <c r="V26" s="46">
        <f t="shared" ca="1" si="3"/>
        <v>142650</v>
      </c>
      <c r="W26" s="46">
        <f t="shared" ca="1" si="3"/>
        <v>1435932</v>
      </c>
      <c r="X26" s="46">
        <f t="shared" ca="1" si="3"/>
        <v>1578582</v>
      </c>
      <c r="Y26" s="46">
        <f t="shared" ca="1" si="3"/>
        <v>824646</v>
      </c>
      <c r="Z26" s="47">
        <f t="shared" ca="1" si="3"/>
        <v>0.21000000000000002</v>
      </c>
      <c r="AA26" s="47">
        <f t="shared" ca="1" si="3"/>
        <v>0</v>
      </c>
      <c r="AB26" s="47">
        <f t="shared" ca="1" si="3"/>
        <v>0.42000000000000004</v>
      </c>
      <c r="AC26" s="47">
        <f t="shared" ca="1" si="3"/>
        <v>0.43</v>
      </c>
      <c r="AD26" s="47">
        <f t="shared" ca="1" si="3"/>
        <v>0</v>
      </c>
      <c r="AE26" s="47">
        <f t="shared" ca="1" si="3"/>
        <v>1.06</v>
      </c>
      <c r="AF26" s="47">
        <f t="shared" ca="1" si="3"/>
        <v>0</v>
      </c>
      <c r="AG26" s="263">
        <f t="shared" ca="1" si="3"/>
        <v>1.06</v>
      </c>
      <c r="AH26" s="255">
        <f t="shared" ca="1" si="3"/>
        <v>5157667836</v>
      </c>
      <c r="AI26" s="46">
        <f t="shared" ca="1" si="3"/>
        <v>3686644962</v>
      </c>
      <c r="AJ26" s="46">
        <f t="shared" ca="1" si="3"/>
        <v>30622406</v>
      </c>
      <c r="AK26" s="46">
        <f t="shared" ca="1" si="3"/>
        <v>12680711</v>
      </c>
      <c r="AL26" s="46">
        <f t="shared" ca="1" si="3"/>
        <v>1252001580</v>
      </c>
      <c r="AM26" s="46">
        <f t="shared" ca="1" si="3"/>
        <v>73732918</v>
      </c>
      <c r="AN26" s="46">
        <f t="shared" ca="1" si="3"/>
        <v>114665970</v>
      </c>
      <c r="AO26" s="47">
        <f t="shared" ref="AO26:AQ26" ca="1" si="5">SUM(AO27:AO36)</f>
        <v>8142.3730999999989</v>
      </c>
      <c r="AP26" s="47">
        <f t="shared" ca="1" si="5"/>
        <v>5727.5227999999988</v>
      </c>
      <c r="AQ26" s="48">
        <f t="shared" ca="1" si="5"/>
        <v>2414.8503000000001</v>
      </c>
    </row>
    <row r="27" spans="1:43" x14ac:dyDescent="0.2">
      <c r="A27" s="1">
        <v>3111</v>
      </c>
      <c r="B27" s="321">
        <f ca="1">LB!I460+FR!I134+JN!I187+TA!I102+ŽB!I77+ČL!I304+NB!I126+SM!I171+JI!I146+TU!I200</f>
        <v>1067683703</v>
      </c>
      <c r="C27" s="322">
        <f ca="1">LB!J460+FR!J134+JN!J187+TA!J102+ŽB!J77+ČL!J304+NB!J126+SM!J171+JI!J146+TU!J200</f>
        <v>780583397</v>
      </c>
      <c r="D27" s="322">
        <f ca="1">LB!K460+FR!K134+JN!K187+TA!K102+ŽB!K77+ČL!K304+NB!K126+SM!K171+JI!K146+TU!K200</f>
        <v>3055549</v>
      </c>
      <c r="E27" s="322">
        <f ca="1">LB!L460+FR!L134+JN!L187+TA!L102+ŽB!L77+ČL!L304+NB!L126+SM!L171+JI!L146+TU!L200</f>
        <v>0</v>
      </c>
      <c r="F27" s="322">
        <f ca="1">LB!M460+FR!M134+JN!M187+TA!M102+ŽB!M77+ČL!M304+NB!M126+SM!M171+JI!M146+TU!M200</f>
        <v>255944256</v>
      </c>
      <c r="G27" s="322">
        <f ca="1">LB!N460+FR!N134+JN!N187+TA!N102+ŽB!N77+ČL!N304+NB!N126+SM!N171+JI!N146+TU!N200</f>
        <v>15083915</v>
      </c>
      <c r="H27" s="322">
        <f ca="1">LB!O460+FR!O134+JN!O187+TA!O102+ŽB!O77+ČL!O304+NB!O126+SM!O171+JI!O146+TU!O200</f>
        <v>13016586</v>
      </c>
      <c r="I27" s="323">
        <f ca="1">LB!P460+FR!P134+JN!P187+TA!P102+ŽB!P77+ČL!P304+NB!P126+SM!P171+JI!P146+TU!P200</f>
        <v>1859.2948999999999</v>
      </c>
      <c r="J27" s="323">
        <f ca="1">LB!Q460+FR!Q134+JN!Q187+TA!Q102+ŽB!Q77+ČL!Q304+NB!Q126+SM!Q171+JI!Q146+TU!Q200</f>
        <v>1422.6618000000001</v>
      </c>
      <c r="K27" s="324">
        <f ca="1">LB!R460+FR!R134+JN!R187+TA!R102+ŽB!R77+ČL!R304+NB!R126+SM!R171+JI!R146+TU!R200</f>
        <v>436.63310000000001</v>
      </c>
      <c r="L27" s="325">
        <f ca="1">LB!S460+FR!S134+JN!S187+TA!S102+ŽB!S77+ČL!S304+NB!S126+SM!S171+JI!S146+TU!S200</f>
        <v>72428</v>
      </c>
      <c r="M27" s="322">
        <f ca="1">LB!T460+FR!T134+JN!T187+TA!T102+ŽB!T77+ČL!T304+NB!T126+SM!T171+JI!T146+TU!T200</f>
        <v>82969</v>
      </c>
      <c r="N27" s="322">
        <f ca="1">LB!U460+FR!U134+JN!U187+TA!U102+ŽB!U77+ČL!U304+NB!U126+SM!U171+JI!U146+TU!U200</f>
        <v>-413182</v>
      </c>
      <c r="O27" s="322">
        <f ca="1">LB!V460+FR!V134+JN!V187+TA!V102+ŽB!V77+ČL!V304+NB!V126+SM!V171+JI!V146+TU!V200</f>
        <v>-257785</v>
      </c>
      <c r="P27" s="322">
        <f ca="1">LB!W460+FR!W134+JN!W187+TA!W102+ŽB!W77+ČL!W304+NB!W126+SM!W171+JI!W146+TU!W200</f>
        <v>-72428</v>
      </c>
      <c r="Q27" s="322">
        <f ca="1">LB!X460+FR!X134+JN!X187+TA!X102+ŽB!X77+ČL!X304+NB!X126+SM!X171+JI!X146+TU!X200</f>
        <v>0</v>
      </c>
      <c r="R27" s="322">
        <f ca="1">LB!Y460+FR!Y134+JN!Y187+TA!Y102+ŽB!Y77+ČL!Y304+NB!Y126+SM!Y171+JI!Y146+TU!Y200</f>
        <v>-72428</v>
      </c>
      <c r="S27" s="322">
        <f ca="1">LB!Z460+FR!Z134+JN!Z187+TA!Z102+ŽB!Z77+ČL!Z304+NB!Z126+SM!Z171+JI!Z146+TU!Z200</f>
        <v>-330213</v>
      </c>
      <c r="T27" s="322">
        <f ca="1">LB!AA460+FR!AA134+JN!AA187+TA!AA102+ŽB!AA77+ČL!AA304+NB!AA126+SM!AA171+JI!AA146+TU!AA200</f>
        <v>-111614</v>
      </c>
      <c r="U27" s="322">
        <f ca="1">LB!AB460+FR!AB134+JN!AB187+TA!AB102+ŽB!AB77+ČL!AB304+NB!AB126+SM!AB171+JI!AB146+TU!AB200</f>
        <v>-5158</v>
      </c>
      <c r="V27" s="322">
        <f ca="1">LB!AC460+FR!AC134+JN!AC187+TA!AC102+ŽB!AC77+ČL!AC304+NB!AC126+SM!AC171+JI!AC146+TU!AC200</f>
        <v>13500</v>
      </c>
      <c r="W27" s="322">
        <f ca="1">LB!AD460+FR!AD134+JN!AD187+TA!AD102+ŽB!AD77+ČL!AD304+NB!AD126+SM!AD171+JI!AD146+TU!AD200</f>
        <v>606106</v>
      </c>
      <c r="X27" s="322">
        <f ca="1">LB!AE460+FR!AE134+JN!AE187+TA!AE102+ŽB!AE77+ČL!AE304+NB!AE126+SM!AE171+JI!AE146+TU!AE200</f>
        <v>619606</v>
      </c>
      <c r="Y27" s="322">
        <f ca="1">LB!AF460+FR!AF134+JN!AF187+TA!AF102+ŽB!AF77+ČL!AF304+NB!AF126+SM!AF171+JI!AF146+TU!AF200</f>
        <v>172621</v>
      </c>
      <c r="Z27" s="323">
        <f ca="1">LB!AG460+FR!AG134+JN!AG187+TA!AG102+ŽB!AG77+ČL!AG304+NB!AG126+SM!AG171+JI!AG146+TU!AG200</f>
        <v>0</v>
      </c>
      <c r="AA27" s="323">
        <f ca="1">LB!AH460+FR!AH134+JN!AH187+TA!AH102+ŽB!AH77+ČL!AH304+NB!AH126+SM!AH171+JI!AH146+TU!AH200</f>
        <v>0</v>
      </c>
      <c r="AB27" s="323">
        <f ca="1">LB!AI460+FR!AI134+JN!AI187+TA!AI102+ŽB!AI77+ČL!AI304+NB!AI126+SM!AI171+JI!AI146+TU!AI200</f>
        <v>0.16999999999999998</v>
      </c>
      <c r="AC27" s="323">
        <f ca="1">LB!AJ460+FR!AJ134+JN!AJ187+TA!AJ102+ŽB!AJ77+ČL!AJ304+NB!AJ126+SM!AJ171+JI!AJ146+TU!AJ200</f>
        <v>0</v>
      </c>
      <c r="AD27" s="323">
        <f ca="1">LB!AK460+FR!AK134+JN!AK187+TA!AK102+ŽB!AK77+ČL!AK304+NB!AK126+SM!AK171+JI!AK146+TU!AK200</f>
        <v>0</v>
      </c>
      <c r="AE27" s="323">
        <f ca="1">LB!AL460+FR!AL134+JN!AL187+TA!AL102+ŽB!AL77+ČL!AL304+NB!AL126+SM!AL171+JI!AL146+TU!AL200</f>
        <v>0.16999999999999998</v>
      </c>
      <c r="AF27" s="323">
        <f ca="1">LB!AM460+FR!AM134+JN!AM187+TA!AM102+ŽB!AM77+ČL!AM304+NB!AM126+SM!AM171+JI!AM146+TU!AM200</f>
        <v>0</v>
      </c>
      <c r="AG27" s="326">
        <f ca="1">LB!AN460+FR!AN134+JN!AN187+TA!AN102+ŽB!AN77+ČL!AN304+NB!AN126+SM!AN171+JI!AN146+TU!AN200</f>
        <v>0.16999999999999998</v>
      </c>
      <c r="AH27" s="321">
        <f ca="1">LB!AO460+FR!AO134+JN!AO187+TA!AO102+ŽB!AO77+ČL!AO304+NB!AO126+SM!AO171+JI!AO146+TU!AO200</f>
        <v>1067856324</v>
      </c>
      <c r="AI27" s="322">
        <f ca="1">LB!AP460+FR!AP134+JN!AP187+TA!AP102+ŽB!AP77+ČL!AP304+NB!AP126+SM!AP171+JI!AP146+TU!AP200</f>
        <v>780325612</v>
      </c>
      <c r="AJ27" s="322">
        <f ca="1">LB!AQ460+FR!AQ134+JN!AQ187+TA!AQ102+ŽB!AQ77+ČL!AQ304+NB!AQ126+SM!AQ171+JI!AQ146+TU!AQ200</f>
        <v>2983121</v>
      </c>
      <c r="AK27" s="322">
        <f ca="1">LB!AR460+FR!AR134+JN!AR187+TA!AR102+ŽB!AR77+ČL!AR304+NB!AR126+SM!AR171+JI!AR146+TU!AR200</f>
        <v>0</v>
      </c>
      <c r="AL27" s="322">
        <f ca="1">LB!AS460+FR!AS134+JN!AS187+TA!AS102+ŽB!AS77+ČL!AS304+NB!AS126+SM!AS171+JI!AS146+TU!AS200</f>
        <v>255832642</v>
      </c>
      <c r="AM27" s="322">
        <f ca="1">LB!AT460+FR!AT134+JN!AT187+TA!AT102+ŽB!AT77+ČL!AT304+NB!AT126+SM!AT171+JI!AT146+TU!AT200</f>
        <v>15078757</v>
      </c>
      <c r="AN27" s="322">
        <f ca="1">LB!AU460+FR!AU134+JN!AU187+TA!AU102+ŽB!AU77+ČL!AU304+NB!AU126+SM!AU171+JI!AU146+TU!AU200</f>
        <v>13636192</v>
      </c>
      <c r="AO27" s="323">
        <f ca="1">LB!AV460+FR!AV134+JN!AV187+TA!AV102+ŽB!AV77+ČL!AV304+NB!AV126+SM!AV171+JI!AV146+TU!AV200</f>
        <v>1859.4648999999999</v>
      </c>
      <c r="AP27" s="323">
        <f ca="1">LB!AW460+FR!AW134+JN!AW187+TA!AW102+ŽB!AW77+ČL!AW304+NB!AW126+SM!AW171+JI!AW146+TU!AW200</f>
        <v>1422.8317999999999</v>
      </c>
      <c r="AQ27" s="324">
        <f ca="1">LB!AX460+FR!AX134+JN!AX187+TA!AX102+ŽB!AX77+ČL!AX304+NB!AX126+SM!AX171+JI!AX146+TU!AX200</f>
        <v>436.63310000000001</v>
      </c>
    </row>
    <row r="28" spans="1:43" x14ac:dyDescent="0.2">
      <c r="A28" s="2">
        <v>3113</v>
      </c>
      <c r="B28" s="327">
        <f>LB!I461+FR!I135+JN!I188+TA!I103+ŽB!I78+ČL!I305+NB!I127+SM!I172+JI!I147+TU!I201</f>
        <v>2660395128</v>
      </c>
      <c r="C28" s="328">
        <f>LB!J461+FR!J135+JN!J188+TA!J103+ŽB!J78+ČL!J305+NB!J127+SM!J172+JI!J147+TU!J201</f>
        <v>1876059560</v>
      </c>
      <c r="D28" s="328">
        <f>LB!K461+FR!K135+JN!K188+TA!K103+ŽB!K78+ČL!K305+NB!K127+SM!K172+JI!K147+TU!K201</f>
        <v>17931651</v>
      </c>
      <c r="E28" s="328">
        <f>LB!L461+FR!L135+JN!L188+TA!L103+ŽB!L78+ČL!L305+NB!L127+SM!L172+JI!L147+TU!L201</f>
        <v>11955305</v>
      </c>
      <c r="F28" s="328">
        <f>LB!M461+FR!M135+JN!M188+TA!M103+ŽB!M78+ČL!M305+NB!M127+SM!M172+JI!M147+TU!M201</f>
        <v>644137379</v>
      </c>
      <c r="G28" s="328">
        <f>LB!N461+FR!N135+JN!N188+TA!N103+ŽB!N78+ČL!N305+NB!N127+SM!N172+JI!N147+TU!N201</f>
        <v>38000838</v>
      </c>
      <c r="H28" s="328">
        <f>LB!O461+FR!O135+JN!O188+TA!O103+ŽB!O78+ČL!O305+NB!O127+SM!O172+JI!O147+TU!O201</f>
        <v>84265700</v>
      </c>
      <c r="I28" s="329">
        <f>LB!P461+FR!P135+JN!P188+TA!P103+ŽB!P78+ČL!P305+NB!P127+SM!P172+JI!P147+TU!P201</f>
        <v>3749.8460000000005</v>
      </c>
      <c r="J28" s="329">
        <f>LB!Q461+FR!Q135+JN!Q188+TA!Q103+ŽB!Q78+ČL!Q305+NB!Q127+SM!Q172+JI!Q147+TU!Q201</f>
        <v>2972.7832000000003</v>
      </c>
      <c r="K28" s="330">
        <f>LB!R461+FR!R135+JN!R188+TA!R103+ŽB!R78+ČL!R305+NB!R127+SM!R172+JI!R147+TU!R201</f>
        <v>777.06280000000004</v>
      </c>
      <c r="L28" s="331">
        <f>LB!S461+FR!S135+JN!S188+TA!S103+ŽB!S78+ČL!S305+NB!S127+SM!S172+JI!S147+TU!S201</f>
        <v>350</v>
      </c>
      <c r="M28" s="328">
        <f>LB!T461+FR!T135+JN!T188+TA!T103+ŽB!T78+ČL!T305+NB!T127+SM!T172+JI!T147+TU!T201</f>
        <v>49687</v>
      </c>
      <c r="N28" s="328">
        <f>LB!U461+FR!U135+JN!U188+TA!U103+ŽB!U78+ČL!U305+NB!U127+SM!U172+JI!U147+TU!U201</f>
        <v>-147526</v>
      </c>
      <c r="O28" s="328">
        <f>LB!V461+FR!V135+JN!V188+TA!V103+ŽB!V78+ČL!V305+NB!V127+SM!V172+JI!V147+TU!V201</f>
        <v>-97489</v>
      </c>
      <c r="P28" s="328">
        <f>LB!W461+FR!W135+JN!W188+TA!W103+ŽB!W78+ČL!W305+NB!W127+SM!W172+JI!W147+TU!W201</f>
        <v>-350</v>
      </c>
      <c r="Q28" s="328">
        <f>LB!X461+FR!X135+JN!X188+TA!X103+ŽB!X78+ČL!X305+NB!X127+SM!X172+JI!X147+TU!X201</f>
        <v>0</v>
      </c>
      <c r="R28" s="328">
        <f>LB!Y461+FR!Y135+JN!Y188+TA!Y103+ŽB!Y78+ČL!Y305+NB!Y127+SM!Y172+JI!Y147+TU!Y201</f>
        <v>-350</v>
      </c>
      <c r="S28" s="328">
        <f>LB!Z461+FR!Z135+JN!Z188+TA!Z103+ŽB!Z78+ČL!Z305+NB!Z127+SM!Z172+JI!Z147+TU!Z201</f>
        <v>-97839</v>
      </c>
      <c r="T28" s="328">
        <f>LB!AA461+FR!AA135+JN!AA188+TA!AA103+ŽB!AA78+ČL!AA305+NB!AA127+SM!AA172+JI!AA147+TU!AA201</f>
        <v>-33068</v>
      </c>
      <c r="U28" s="328">
        <f>LB!AB461+FR!AB135+JN!AB188+TA!AB103+ŽB!AB78+ČL!AB305+NB!AB127+SM!AB172+JI!AB147+TU!AB201</f>
        <v>-1948</v>
      </c>
      <c r="V28" s="328">
        <f>LB!AC461+FR!AC135+JN!AC188+TA!AC103+ŽB!AC78+ČL!AC305+NB!AC127+SM!AC172+JI!AC147+TU!AC201</f>
        <v>117900</v>
      </c>
      <c r="W28" s="328">
        <f>LB!AD461+FR!AD135+JN!AD188+TA!AD103+ŽB!AD78+ČL!AD305+NB!AD127+SM!AD172+JI!AD147+TU!AD201</f>
        <v>585002</v>
      </c>
      <c r="X28" s="328">
        <f>LB!AE461+FR!AE135+JN!AE188+TA!AE103+ŽB!AE78+ČL!AE305+NB!AE127+SM!AE172+JI!AE147+TU!AE201</f>
        <v>702902</v>
      </c>
      <c r="Y28" s="328">
        <f>LB!AF461+FR!AF135+JN!AF188+TA!AF103+ŽB!AF78+ČL!AF305+NB!AF127+SM!AF172+JI!AF147+TU!AF201</f>
        <v>570047</v>
      </c>
      <c r="Z28" s="329">
        <f>LB!AG461+FR!AG135+JN!AG188+TA!AG103+ŽB!AG78+ČL!AG305+NB!AG127+SM!AG172+JI!AG147+TU!AG201</f>
        <v>0</v>
      </c>
      <c r="AA28" s="329">
        <f>LB!AH461+FR!AH135+JN!AH188+TA!AH103+ŽB!AH78+ČL!AH305+NB!AH127+SM!AH172+JI!AH147+TU!AH201</f>
        <v>0</v>
      </c>
      <c r="AB28" s="329">
        <f>LB!AI461+FR!AI135+JN!AI188+TA!AI103+ŽB!AI78+ČL!AI305+NB!AI127+SM!AI172+JI!AI147+TU!AI201</f>
        <v>0.22</v>
      </c>
      <c r="AC28" s="329">
        <f>LB!AJ461+FR!AJ135+JN!AJ188+TA!AJ103+ŽB!AJ78+ČL!AJ305+NB!AJ127+SM!AJ172+JI!AJ147+TU!AJ201</f>
        <v>0.43</v>
      </c>
      <c r="AD28" s="329">
        <f>LB!AK461+FR!AK135+JN!AK188+TA!AK103+ŽB!AK78+ČL!AK305+NB!AK127+SM!AK172+JI!AK147+TU!AK201</f>
        <v>0</v>
      </c>
      <c r="AE28" s="329">
        <f>LB!AL461+FR!AL135+JN!AL188+TA!AL103+ŽB!AL78+ČL!AL305+NB!AL127+SM!AL172+JI!AL147+TU!AL201</f>
        <v>0.65000000000000013</v>
      </c>
      <c r="AF28" s="329">
        <f>LB!AM461+FR!AM135+JN!AM188+TA!AM103+ŽB!AM78+ČL!AM305+NB!AM127+SM!AM172+JI!AM147+TU!AM201</f>
        <v>0</v>
      </c>
      <c r="AG28" s="332">
        <f>LB!AN461+FR!AN135+JN!AN188+TA!AN103+ŽB!AN78+ČL!AN305+NB!AN127+SM!AN172+JI!AN147+TU!AN201</f>
        <v>0.65000000000000013</v>
      </c>
      <c r="AH28" s="327">
        <f>LB!AO461+FR!AO135+JN!AO188+TA!AO103+ŽB!AO78+ČL!AO305+NB!AO127+SM!AO172+JI!AO147+TU!AO201</f>
        <v>2660965175</v>
      </c>
      <c r="AI28" s="328">
        <f>LB!AP461+FR!AP135+JN!AP188+TA!AP103+ŽB!AP78+ČL!AP305+NB!AP127+SM!AP172+JI!AP147+TU!AP201</f>
        <v>1875962071</v>
      </c>
      <c r="AJ28" s="328">
        <f>LB!AQ461+FR!AQ135+JN!AQ188+TA!AQ103+ŽB!AQ78+ČL!AQ305+NB!AQ127+SM!AQ172+JI!AQ147+TU!AQ201</f>
        <v>17931301</v>
      </c>
      <c r="AK28" s="328">
        <f>LB!AR461+FR!AR135+JN!AR188+TA!AR103+ŽB!AR78+ČL!AR305+NB!AR127+SM!AR172+JI!AR147+TU!AR201</f>
        <v>11955305</v>
      </c>
      <c r="AL28" s="328">
        <f>LB!AS461+FR!AS135+JN!AS188+TA!AS103+ŽB!AS78+ČL!AS305+NB!AS127+SM!AS172+JI!AS147+TU!AS201</f>
        <v>644104311</v>
      </c>
      <c r="AM28" s="328">
        <f>LB!AT461+FR!AT135+JN!AT188+TA!AT103+ŽB!AT78+ČL!AT305+NB!AT127+SM!AT172+JI!AT147+TU!AT201</f>
        <v>37998890</v>
      </c>
      <c r="AN28" s="328">
        <f>LB!AU461+FR!AU135+JN!AU188+TA!AU103+ŽB!AU78+ČL!AU305+NB!AU127+SM!AU172+JI!AU147+TU!AU201</f>
        <v>84968602</v>
      </c>
      <c r="AO28" s="329">
        <f>LB!AV461+FR!AV135+JN!AV188+TA!AV103+ŽB!AV78+ČL!AV305+NB!AV127+SM!AV172+JI!AV147+TU!AV201</f>
        <v>3750.4960000000005</v>
      </c>
      <c r="AP28" s="329">
        <f>LB!AW461+FR!AW135+JN!AW188+TA!AW103+ŽB!AW78+ČL!AW305+NB!AW127+SM!AW172+JI!AW147+TU!AW201</f>
        <v>2973.4331999999999</v>
      </c>
      <c r="AQ28" s="330">
        <f>LB!AX461+FR!AX135+JN!AX188+TA!AX103+ŽB!AX78+ČL!AX305+NB!AX127+SM!AX172+JI!AX147+TU!AX201</f>
        <v>777.06280000000004</v>
      </c>
    </row>
    <row r="29" spans="1:43" x14ac:dyDescent="0.2">
      <c r="A29" s="2">
        <v>3114</v>
      </c>
      <c r="B29" s="327">
        <f>LB!I462+FR!I136+JN!I189+TA!I104+ŽB!I79+ČL!I306+NB!I128+SM!I173+JI!I148+TU!I202</f>
        <v>145884545</v>
      </c>
      <c r="C29" s="328">
        <f>LB!J462+FR!J136+JN!J189+TA!J104+ŽB!J79+ČL!J306+NB!J128+SM!J173+JI!J148+TU!J202</f>
        <v>105003075</v>
      </c>
      <c r="D29" s="328">
        <f>LB!K462+FR!K136+JN!K189+TA!K104+ŽB!K79+ČL!K306+NB!K128+SM!K173+JI!K148+TU!K202</f>
        <v>741622</v>
      </c>
      <c r="E29" s="328">
        <f>LB!L462+FR!L136+JN!L189+TA!L104+ŽB!L79+ČL!L306+NB!L128+SM!L173+JI!L148+TU!L202</f>
        <v>142287</v>
      </c>
      <c r="F29" s="328">
        <f>LB!M462+FR!M136+JN!M189+TA!M104+ŽB!M79+ČL!M306+NB!M128+SM!M173+JI!M148+TU!M202</f>
        <v>35693613</v>
      </c>
      <c r="G29" s="328">
        <f>LB!N462+FR!N136+JN!N189+TA!N104+ŽB!N79+ČL!N306+NB!N128+SM!N173+JI!N148+TU!N202</f>
        <v>2100061</v>
      </c>
      <c r="H29" s="328">
        <f>LB!O462+FR!O136+JN!O189+TA!O104+ŽB!O79+ČL!O306+NB!O128+SM!O173+JI!O148+TU!O202</f>
        <v>2346174</v>
      </c>
      <c r="I29" s="329">
        <f>LB!P462+FR!P136+JN!P189+TA!P104+ŽB!P79+ČL!P306+NB!P128+SM!P173+JI!P148+TU!P202</f>
        <v>209.1294</v>
      </c>
      <c r="J29" s="329">
        <f>LB!Q462+FR!Q136+JN!Q189+TA!Q104+ŽB!Q79+ČL!Q306+NB!Q128+SM!Q173+JI!Q148+TU!Q202</f>
        <v>167.52609999999999</v>
      </c>
      <c r="K29" s="330">
        <f>LB!R462+FR!R136+JN!R189+TA!R104+ŽB!R79+ČL!R306+NB!R128+SM!R173+JI!R148+TU!R202</f>
        <v>41.603299999999997</v>
      </c>
      <c r="L29" s="331">
        <f>LB!S462+FR!S136+JN!S189+TA!S104+ŽB!S79+ČL!S306+NB!S128+SM!S173+JI!S148+TU!S202</f>
        <v>100245</v>
      </c>
      <c r="M29" s="328">
        <f>LB!T462+FR!T136+JN!T189+TA!T104+ŽB!T79+ČL!T306+NB!T128+SM!T173+JI!T148+TU!T202</f>
        <v>0</v>
      </c>
      <c r="N29" s="328">
        <f>LB!U462+FR!U136+JN!U189+TA!U104+ŽB!U79+ČL!U306+NB!U128+SM!U173+JI!U148+TU!U202</f>
        <v>-50810</v>
      </c>
      <c r="O29" s="328">
        <f>LB!V462+FR!V136+JN!V189+TA!V104+ŽB!V79+ČL!V306+NB!V128+SM!V173+JI!V148+TU!V202</f>
        <v>49435</v>
      </c>
      <c r="P29" s="328">
        <f>LB!W462+FR!W136+JN!W189+TA!W104+ŽB!W79+ČL!W306+NB!W128+SM!W173+JI!W148+TU!W202</f>
        <v>-100245</v>
      </c>
      <c r="Q29" s="328">
        <f>LB!X462+FR!X136+JN!X189+TA!X104+ŽB!X79+ČL!X306+NB!X128+SM!X173+JI!X148+TU!X202</f>
        <v>0</v>
      </c>
      <c r="R29" s="328">
        <f>LB!Y462+FR!Y136+JN!Y189+TA!Y104+ŽB!Y79+ČL!Y306+NB!Y128+SM!Y173+JI!Y148+TU!Y202</f>
        <v>-100245</v>
      </c>
      <c r="S29" s="328">
        <f>LB!Z462+FR!Z136+JN!Z189+TA!Z104+ŽB!Z79+ČL!Z306+NB!Z128+SM!Z173+JI!Z148+TU!Z202</f>
        <v>-50810</v>
      </c>
      <c r="T29" s="328">
        <f>LB!AA462+FR!AA136+JN!AA189+TA!AA104+ŽB!AA79+ČL!AA306+NB!AA128+SM!AA173+JI!AA148+TU!AA202</f>
        <v>-17174</v>
      </c>
      <c r="U29" s="328">
        <f>LB!AB462+FR!AB136+JN!AB189+TA!AB104+ŽB!AB79+ČL!AB306+NB!AB128+SM!AB173+JI!AB148+TU!AB202</f>
        <v>988</v>
      </c>
      <c r="V29" s="328">
        <f>LB!AC462+FR!AC136+JN!AC189+TA!AC104+ŽB!AC79+ČL!AC306+NB!AC128+SM!AC173+JI!AC148+TU!AC202</f>
        <v>0</v>
      </c>
      <c r="W29" s="328">
        <f>LB!AD462+FR!AD136+JN!AD189+TA!AD104+ŽB!AD79+ČL!AD306+NB!AD128+SM!AD173+JI!AD148+TU!AD202</f>
        <v>69001</v>
      </c>
      <c r="X29" s="328">
        <f>LB!AE462+FR!AE136+JN!AE189+TA!AE104+ŽB!AE79+ČL!AE306+NB!AE128+SM!AE173+JI!AE148+TU!AE202</f>
        <v>69001</v>
      </c>
      <c r="Y29" s="328">
        <f>LB!AF462+FR!AF136+JN!AF189+TA!AF104+ŽB!AF79+ČL!AF306+NB!AF128+SM!AF173+JI!AF148+TU!AF202</f>
        <v>2005</v>
      </c>
      <c r="Z29" s="329">
        <f>LB!AG462+FR!AG136+JN!AG189+TA!AG104+ŽB!AG79+ČL!AG306+NB!AG128+SM!AG173+JI!AG148+TU!AG202</f>
        <v>0</v>
      </c>
      <c r="AA29" s="329">
        <f>LB!AH462+FR!AH136+JN!AH189+TA!AH104+ŽB!AH79+ČL!AH306+NB!AH128+SM!AH173+JI!AH148+TU!AH202</f>
        <v>0</v>
      </c>
      <c r="AB29" s="329">
        <f>LB!AI462+FR!AI136+JN!AI189+TA!AI104+ŽB!AI79+ČL!AI306+NB!AI128+SM!AI173+JI!AI148+TU!AI202</f>
        <v>0</v>
      </c>
      <c r="AC29" s="329">
        <f>LB!AJ462+FR!AJ136+JN!AJ189+TA!AJ104+ŽB!AJ79+ČL!AJ306+NB!AJ128+SM!AJ173+JI!AJ148+TU!AJ202</f>
        <v>0</v>
      </c>
      <c r="AD29" s="329">
        <f>LB!AK462+FR!AK136+JN!AK189+TA!AK104+ŽB!AK79+ČL!AK306+NB!AK128+SM!AK173+JI!AK148+TU!AK202</f>
        <v>0</v>
      </c>
      <c r="AE29" s="329">
        <f>LB!AL462+FR!AL136+JN!AL189+TA!AL104+ŽB!AL79+ČL!AL306+NB!AL128+SM!AL173+JI!AL148+TU!AL202</f>
        <v>0</v>
      </c>
      <c r="AF29" s="329">
        <f>LB!AM462+FR!AM136+JN!AM189+TA!AM104+ŽB!AM79+ČL!AM306+NB!AM128+SM!AM173+JI!AM148+TU!AM202</f>
        <v>0</v>
      </c>
      <c r="AG29" s="332">
        <f>LB!AN462+FR!AN136+JN!AN189+TA!AN104+ŽB!AN79+ČL!AN306+NB!AN128+SM!AN173+JI!AN148+TU!AN202</f>
        <v>0</v>
      </c>
      <c r="AH29" s="327">
        <f>LB!AO462+FR!AO136+JN!AO189+TA!AO104+ŽB!AO79+ČL!AO306+NB!AO128+SM!AO173+JI!AO148+TU!AO202</f>
        <v>145886550</v>
      </c>
      <c r="AI29" s="328">
        <f>LB!AP462+FR!AP136+JN!AP189+TA!AP104+ŽB!AP79+ČL!AP306+NB!AP128+SM!AP173+JI!AP148+TU!AP202</f>
        <v>105052510</v>
      </c>
      <c r="AJ29" s="328">
        <f>LB!AQ462+FR!AQ136+JN!AQ189+TA!AQ104+ŽB!AQ79+ČL!AQ306+NB!AQ128+SM!AQ173+JI!AQ148+TU!AQ202</f>
        <v>641377</v>
      </c>
      <c r="AK29" s="328">
        <f>LB!AR462+FR!AR136+JN!AR189+TA!AR104+ŽB!AR79+ČL!AR306+NB!AR128+SM!AR173+JI!AR148+TU!AR202</f>
        <v>142287</v>
      </c>
      <c r="AL29" s="328">
        <f>LB!AS462+FR!AS136+JN!AS189+TA!AS104+ŽB!AS79+ČL!AS306+NB!AS128+SM!AS173+JI!AS148+TU!AS202</f>
        <v>35676439</v>
      </c>
      <c r="AM29" s="328">
        <f>LB!AT462+FR!AT136+JN!AT189+TA!AT104+ŽB!AT79+ČL!AT306+NB!AT128+SM!AT173+JI!AT148+TU!AT202</f>
        <v>2101049</v>
      </c>
      <c r="AN29" s="328">
        <f>LB!AU462+FR!AU136+JN!AU189+TA!AU104+ŽB!AU79+ČL!AU306+NB!AU128+SM!AU173+JI!AU148+TU!AU202</f>
        <v>2415175</v>
      </c>
      <c r="AO29" s="329">
        <f>LB!AV462+FR!AV136+JN!AV189+TA!AV104+ŽB!AV79+ČL!AV306+NB!AV128+SM!AV173+JI!AV148+TU!AV202</f>
        <v>209.1294</v>
      </c>
      <c r="AP29" s="329">
        <f>LB!AW462+FR!AW136+JN!AW189+TA!AW104+ŽB!AW79+ČL!AW306+NB!AW128+SM!AW173+JI!AW148+TU!AW202</f>
        <v>167.52609999999999</v>
      </c>
      <c r="AQ29" s="330">
        <f>LB!AX462+FR!AX136+JN!AX189+TA!AX104+ŽB!AX79+ČL!AX306+NB!AX128+SM!AX173+JI!AX148+TU!AX202</f>
        <v>41.603299999999997</v>
      </c>
    </row>
    <row r="30" spans="1:43" x14ac:dyDescent="0.2">
      <c r="A30" s="2">
        <v>3117</v>
      </c>
      <c r="B30" s="327">
        <f>LB!I463+FR!I137+JN!I190+TA!I105+ŽB!I80+ČL!I307+NB!I129+SM!I174+JI!I149+TU!I203</f>
        <v>292776349</v>
      </c>
      <c r="C30" s="328">
        <f>LB!J463+FR!J137+JN!J190+TA!J105+ŽB!J80+ČL!J307+NB!J129+SM!J174+JI!J149+TU!J203</f>
        <v>206462095</v>
      </c>
      <c r="D30" s="328">
        <f>LB!K463+FR!K137+JN!K190+TA!K105+ŽB!K80+ČL!K307+NB!K129+SM!K174+JI!K149+TU!K203</f>
        <v>1857689</v>
      </c>
      <c r="E30" s="328">
        <f>LB!L463+FR!L137+JN!L190+TA!L105+ŽB!L80+ČL!L307+NB!L129+SM!L174+JI!L149+TU!L203</f>
        <v>578235</v>
      </c>
      <c r="F30" s="328">
        <f>LB!M463+FR!M137+JN!M190+TA!M105+ŽB!M80+ČL!M307+NB!M129+SM!M174+JI!M149+TU!M203</f>
        <v>71620738</v>
      </c>
      <c r="G30" s="328">
        <f>LB!N463+FR!N137+JN!N190+TA!N105+ŽB!N80+ČL!N307+NB!N129+SM!N174+JI!N149+TU!N203</f>
        <v>4213956</v>
      </c>
      <c r="H30" s="328">
        <f>LB!O463+FR!O137+JN!O190+TA!O105+ŽB!O80+ČL!O307+NB!O129+SM!O174+JI!O149+TU!O203</f>
        <v>8621871</v>
      </c>
      <c r="I30" s="329">
        <f>LB!P463+FR!P137+JN!P190+TA!P105+ŽB!P80+ČL!P307+NB!P129+SM!P174+JI!P149+TU!P203</f>
        <v>443.80029999999999</v>
      </c>
      <c r="J30" s="329">
        <f>LB!Q463+FR!Q137+JN!Q190+TA!Q105+ŽB!Q80+ČL!Q307+NB!Q129+SM!Q174+JI!Q149+TU!Q203</f>
        <v>321.80020000000002</v>
      </c>
      <c r="K30" s="330">
        <f>LB!R463+FR!R137+JN!R190+TA!R105+ŽB!R80+ČL!R307+NB!R129+SM!R174+JI!R149+TU!R203</f>
        <v>122.0001</v>
      </c>
      <c r="L30" s="331">
        <f>LB!S463+FR!S137+JN!S190+TA!S105+ŽB!S80+ČL!S307+NB!S129+SM!S174+JI!S149+TU!S203</f>
        <v>11741</v>
      </c>
      <c r="M30" s="328">
        <f>LB!T463+FR!T137+JN!T190+TA!T105+ŽB!T80+ČL!T307+NB!T129+SM!T174+JI!T149+TU!T203</f>
        <v>41690</v>
      </c>
      <c r="N30" s="328">
        <f>LB!U463+FR!U137+JN!U190+TA!U105+ŽB!U80+ČL!U307+NB!U129+SM!U174+JI!U149+TU!U203</f>
        <v>-52152</v>
      </c>
      <c r="O30" s="328">
        <f>LB!V463+FR!V137+JN!V190+TA!V105+ŽB!V80+ČL!V307+NB!V129+SM!V174+JI!V149+TU!V203</f>
        <v>1279</v>
      </c>
      <c r="P30" s="328">
        <f>LB!W463+FR!W137+JN!W190+TA!W105+ŽB!W80+ČL!W307+NB!W129+SM!W174+JI!W149+TU!W203</f>
        <v>-11741</v>
      </c>
      <c r="Q30" s="328">
        <f>LB!X463+FR!X137+JN!X190+TA!X105+ŽB!X80+ČL!X307+NB!X129+SM!X174+JI!X149+TU!X203</f>
        <v>0</v>
      </c>
      <c r="R30" s="328">
        <f>LB!Y463+FR!Y137+JN!Y190+TA!Y105+ŽB!Y80+ČL!Y307+NB!Y129+SM!Y174+JI!Y149+TU!Y203</f>
        <v>-11741</v>
      </c>
      <c r="S30" s="328">
        <f>LB!Z463+FR!Z137+JN!Z190+TA!Z105+ŽB!Z80+ČL!Z307+NB!Z129+SM!Z174+JI!Z149+TU!Z203</f>
        <v>-10462</v>
      </c>
      <c r="T30" s="328">
        <f>LB!AA463+FR!AA137+JN!AA190+TA!AA105+ŽB!AA80+ČL!AA307+NB!AA129+SM!AA174+JI!AA149+TU!AA203</f>
        <v>-3536</v>
      </c>
      <c r="U30" s="328">
        <f>LB!AB463+FR!AB137+JN!AB190+TA!AB105+ŽB!AB80+ČL!AB307+NB!AB129+SM!AB174+JI!AB149+TU!AB203</f>
        <v>26</v>
      </c>
      <c r="V30" s="328">
        <f>LB!AC463+FR!AC137+JN!AC190+TA!AC105+ŽB!AC80+ČL!AC307+NB!AC129+SM!AC174+JI!AC149+TU!AC203</f>
        <v>11250</v>
      </c>
      <c r="W30" s="328">
        <f>LB!AD463+FR!AD137+JN!AD190+TA!AD105+ŽB!AD80+ČL!AD307+NB!AD129+SM!AD174+JI!AD149+TU!AD203</f>
        <v>70823</v>
      </c>
      <c r="X30" s="328">
        <f>LB!AE463+FR!AE137+JN!AE190+TA!AE105+ŽB!AE80+ČL!AE307+NB!AE129+SM!AE174+JI!AE149+TU!AE203</f>
        <v>82073</v>
      </c>
      <c r="Y30" s="328">
        <f>LB!AF463+FR!AF137+JN!AF190+TA!AF105+ŽB!AF80+ČL!AF307+NB!AF129+SM!AF174+JI!AF149+TU!AF203</f>
        <v>68101</v>
      </c>
      <c r="Z30" s="329">
        <f>LB!AG463+FR!AG137+JN!AG190+TA!AG105+ŽB!AG80+ČL!AG307+NB!AG129+SM!AG174+JI!AG149+TU!AG203</f>
        <v>0.04</v>
      </c>
      <c r="AA30" s="329">
        <f>LB!AH463+FR!AH137+JN!AH190+TA!AH105+ŽB!AH80+ČL!AH307+NB!AH129+SM!AH174+JI!AH149+TU!AH203</f>
        <v>0</v>
      </c>
      <c r="AB30" s="329">
        <f>LB!AI463+FR!AI137+JN!AI190+TA!AI105+ŽB!AI80+ČL!AI307+NB!AI129+SM!AI174+JI!AI149+TU!AI203</f>
        <v>0.01</v>
      </c>
      <c r="AC30" s="329">
        <f>LB!AJ463+FR!AJ137+JN!AJ190+TA!AJ105+ŽB!AJ80+ČL!AJ307+NB!AJ129+SM!AJ174+JI!AJ149+TU!AJ203</f>
        <v>0</v>
      </c>
      <c r="AD30" s="329">
        <f>LB!AK463+FR!AK137+JN!AK190+TA!AK105+ŽB!AK80+ČL!AK307+NB!AK129+SM!AK174+JI!AK149+TU!AK203</f>
        <v>0</v>
      </c>
      <c r="AE30" s="329">
        <f>LB!AL463+FR!AL137+JN!AL190+TA!AL105+ŽB!AL80+ČL!AL307+NB!AL129+SM!AL174+JI!AL149+TU!AL203</f>
        <v>0.05</v>
      </c>
      <c r="AF30" s="329">
        <f>LB!AM463+FR!AM137+JN!AM190+TA!AM105+ŽB!AM80+ČL!AM307+NB!AM129+SM!AM174+JI!AM149+TU!AM203</f>
        <v>0</v>
      </c>
      <c r="AG30" s="332">
        <f>LB!AN463+FR!AN137+JN!AN190+TA!AN105+ŽB!AN80+ČL!AN307+NB!AN129+SM!AN174+JI!AN149+TU!AN203</f>
        <v>0.05</v>
      </c>
      <c r="AH30" s="327">
        <f>LB!AO463+FR!AO137+JN!AO190+TA!AO105+ŽB!AO80+ČL!AO307+NB!AO129+SM!AO174+JI!AO149+TU!AO203</f>
        <v>292844450</v>
      </c>
      <c r="AI30" s="328">
        <f>LB!AP463+FR!AP137+JN!AP190+TA!AP105+ŽB!AP80+ČL!AP307+NB!AP129+SM!AP174+JI!AP149+TU!AP203</f>
        <v>206463374</v>
      </c>
      <c r="AJ30" s="328">
        <f>LB!AQ463+FR!AQ137+JN!AQ190+TA!AQ105+ŽB!AQ80+ČL!AQ307+NB!AQ129+SM!AQ174+JI!AQ149+TU!AQ203</f>
        <v>1845948</v>
      </c>
      <c r="AK30" s="328">
        <f>LB!AR463+FR!AR137+JN!AR190+TA!AR105+ŽB!AR80+ČL!AR307+NB!AR129+SM!AR174+JI!AR149+TU!AR203</f>
        <v>578235</v>
      </c>
      <c r="AL30" s="328">
        <f>LB!AS463+FR!AS137+JN!AS190+TA!AS105+ŽB!AS80+ČL!AS307+NB!AS129+SM!AS174+JI!AS149+TU!AS203</f>
        <v>71617202</v>
      </c>
      <c r="AM30" s="328">
        <f>LB!AT463+FR!AT137+JN!AT190+TA!AT105+ŽB!AT80+ČL!AT307+NB!AT129+SM!AT174+JI!AT149+TU!AT203</f>
        <v>4213982</v>
      </c>
      <c r="AN30" s="328">
        <f>LB!AU463+FR!AU137+JN!AU190+TA!AU105+ŽB!AU80+ČL!AU307+NB!AU129+SM!AU174+JI!AU149+TU!AU203</f>
        <v>8703944</v>
      </c>
      <c r="AO30" s="329">
        <f>LB!AV463+FR!AV137+JN!AV190+TA!AV105+ŽB!AV80+ČL!AV307+NB!AV129+SM!AV174+JI!AV149+TU!AV203</f>
        <v>443.85029999999995</v>
      </c>
      <c r="AP30" s="329">
        <f>LB!AW463+FR!AW137+JN!AW190+TA!AW105+ŽB!AW80+ČL!AW307+NB!AW129+SM!AW174+JI!AW149+TU!AW203</f>
        <v>321.85020000000003</v>
      </c>
      <c r="AQ30" s="330">
        <f>LB!AX463+FR!AX137+JN!AX190+TA!AX105+ŽB!AX80+ČL!AX307+NB!AX129+SM!AX174+JI!AX149+TU!AX203</f>
        <v>122.0001</v>
      </c>
    </row>
    <row r="31" spans="1:43" x14ac:dyDescent="0.2">
      <c r="A31" s="2">
        <v>3122</v>
      </c>
      <c r="B31" s="327">
        <f>LB!I464+FR!I138+JN!I191+TA!I106+ŽB!I81+ČL!I308+NB!I130+SM!I175+JI!I150+TU!I204</f>
        <v>7654533</v>
      </c>
      <c r="C31" s="328">
        <f>LB!J464+FR!J138+JN!J191+TA!J106+ŽB!J81+ČL!J308+NB!J130+SM!J175+JI!J150+TU!J204</f>
        <v>5460552</v>
      </c>
      <c r="D31" s="328">
        <f>LB!K464+FR!K138+JN!K191+TA!K106+ŽB!K81+ČL!K308+NB!K130+SM!K175+JI!K150+TU!K204</f>
        <v>77992</v>
      </c>
      <c r="E31" s="328">
        <f>LB!L464+FR!L138+JN!L191+TA!L106+ŽB!L81+ČL!L308+NB!L130+SM!L175+JI!L150+TU!L204</f>
        <v>4440</v>
      </c>
      <c r="F31" s="328">
        <f>LB!M464+FR!M138+JN!M191+TA!M106+ŽB!M81+ČL!M308+NB!M130+SM!M175+JI!M150+TU!M204</f>
        <v>1870528</v>
      </c>
      <c r="G31" s="328">
        <f>LB!N464+FR!N138+JN!N191+TA!N106+ŽB!N81+ČL!N308+NB!N130+SM!N175+JI!N150+TU!N204</f>
        <v>109211</v>
      </c>
      <c r="H31" s="328">
        <f>LB!O464+FR!O138+JN!O191+TA!O106+ŽB!O81+ČL!O308+NB!O130+SM!O175+JI!O150+TU!O204</f>
        <v>136250</v>
      </c>
      <c r="I31" s="329">
        <f>LB!P464+FR!P138+JN!P191+TA!P106+ŽB!P81+ČL!P308+NB!P130+SM!P175+JI!P150+TU!P204</f>
        <v>9.9675000000000011</v>
      </c>
      <c r="J31" s="329">
        <f>LB!Q464+FR!Q138+JN!Q191+TA!Q106+ŽB!Q81+ČL!Q308+NB!Q130+SM!Q175+JI!Q150+TU!Q204</f>
        <v>8.6447000000000003</v>
      </c>
      <c r="K31" s="330">
        <f>LB!R464+FR!R138+JN!R191+TA!R106+ŽB!R81+ČL!R308+NB!R130+SM!R175+JI!R150+TU!R204</f>
        <v>1.3228</v>
      </c>
      <c r="L31" s="331">
        <f>LB!S464+FR!S138+JN!S191+TA!S106+ŽB!S81+ČL!S308+NB!S130+SM!S175+JI!S150+TU!S204</f>
        <v>0</v>
      </c>
      <c r="M31" s="328">
        <f>LB!T464+FR!T138+JN!T191+TA!T106+ŽB!T81+ČL!T308+NB!T130+SM!T175+JI!T150+TU!T204</f>
        <v>0</v>
      </c>
      <c r="N31" s="328">
        <f>LB!U464+FR!U138+JN!U191+TA!U106+ŽB!U81+ČL!U308+NB!U130+SM!U175+JI!U150+TU!U204</f>
        <v>0</v>
      </c>
      <c r="O31" s="328">
        <f>LB!V464+FR!V138+JN!V191+TA!V106+ŽB!V81+ČL!V308+NB!V130+SM!V175+JI!V150+TU!V204</f>
        <v>0</v>
      </c>
      <c r="P31" s="328">
        <f>LB!W464+FR!W138+JN!W191+TA!W106+ŽB!W81+ČL!W308+NB!W130+SM!W175+JI!W150+TU!W204</f>
        <v>0</v>
      </c>
      <c r="Q31" s="328">
        <f>LB!X464+FR!X138+JN!X191+TA!X106+ŽB!X81+ČL!X308+NB!X130+SM!X175+JI!X150+TU!X204</f>
        <v>0</v>
      </c>
      <c r="R31" s="328">
        <f>LB!Y464+FR!Y138+JN!Y191+TA!Y106+ŽB!Y81+ČL!Y308+NB!Y130+SM!Y175+JI!Y150+TU!Y204</f>
        <v>0</v>
      </c>
      <c r="S31" s="328">
        <f>LB!Z464+FR!Z138+JN!Z191+TA!Z106+ŽB!Z81+ČL!Z308+NB!Z130+SM!Z175+JI!Z150+TU!Z204</f>
        <v>0</v>
      </c>
      <c r="T31" s="328">
        <f>LB!AA464+FR!AA138+JN!AA191+TA!AA106+ŽB!AA81+ČL!AA308+NB!AA130+SM!AA175+JI!AA150+TU!AA204</f>
        <v>0</v>
      </c>
      <c r="U31" s="328">
        <f>LB!AB464+FR!AB138+JN!AB191+TA!AB106+ŽB!AB81+ČL!AB308+NB!AB130+SM!AB175+JI!AB150+TU!AB204</f>
        <v>0</v>
      </c>
      <c r="V31" s="328">
        <f>LB!AC464+FR!AC138+JN!AC191+TA!AC106+ŽB!AC81+ČL!AC308+NB!AC130+SM!AC175+JI!AC150+TU!AC204</f>
        <v>0</v>
      </c>
      <c r="W31" s="328">
        <f>LB!AD464+FR!AD138+JN!AD191+TA!AD106+ŽB!AD81+ČL!AD308+NB!AD130+SM!AD175+JI!AD150+TU!AD204</f>
        <v>0</v>
      </c>
      <c r="X31" s="328">
        <f>LB!AE464+FR!AE138+JN!AE191+TA!AE106+ŽB!AE81+ČL!AE308+NB!AE130+SM!AE175+JI!AE150+TU!AE204</f>
        <v>0</v>
      </c>
      <c r="Y31" s="328">
        <f>LB!AF464+FR!AF138+JN!AF191+TA!AF106+ŽB!AF81+ČL!AF308+NB!AF130+SM!AF175+JI!AF150+TU!AF204</f>
        <v>0</v>
      </c>
      <c r="Z31" s="329">
        <f>LB!AG464+FR!AG138+JN!AG191+TA!AG106+ŽB!AG81+ČL!AG308+NB!AG130+SM!AG175+JI!AG150+TU!AG204</f>
        <v>0</v>
      </c>
      <c r="AA31" s="329">
        <f>LB!AH464+FR!AH138+JN!AH191+TA!AH106+ŽB!AH81+ČL!AH308+NB!AH130+SM!AH175+JI!AH150+TU!AH204</f>
        <v>0</v>
      </c>
      <c r="AB31" s="329">
        <f>LB!AI464+FR!AI138+JN!AI191+TA!AI106+ŽB!AI81+ČL!AI308+NB!AI130+SM!AI175+JI!AI150+TU!AI204</f>
        <v>0</v>
      </c>
      <c r="AC31" s="329">
        <f>LB!AJ464+FR!AJ138+JN!AJ191+TA!AJ106+ŽB!AJ81+ČL!AJ308+NB!AJ130+SM!AJ175+JI!AJ150+TU!AJ204</f>
        <v>0</v>
      </c>
      <c r="AD31" s="329">
        <f>LB!AK464+FR!AK138+JN!AK191+TA!AK106+ŽB!AK81+ČL!AK308+NB!AK130+SM!AK175+JI!AK150+TU!AK204</f>
        <v>0</v>
      </c>
      <c r="AE31" s="329">
        <f>LB!AL464+FR!AL138+JN!AL191+TA!AL106+ŽB!AL81+ČL!AL308+NB!AL130+SM!AL175+JI!AL150+TU!AL204</f>
        <v>0</v>
      </c>
      <c r="AF31" s="329">
        <f>LB!AM464+FR!AM138+JN!AM191+TA!AM106+ŽB!AM81+ČL!AM308+NB!AM130+SM!AM175+JI!AM150+TU!AM204</f>
        <v>0</v>
      </c>
      <c r="AG31" s="332">
        <f>LB!AN464+FR!AN138+JN!AN191+TA!AN106+ŽB!AN81+ČL!AN308+NB!AN130+SM!AN175+JI!AN150+TU!AN204</f>
        <v>0</v>
      </c>
      <c r="AH31" s="327">
        <f>LB!AO464+FR!AO138+JN!AO191+TA!AO106+ŽB!AO81+ČL!AO308+NB!AO130+SM!AO175+JI!AO150+TU!AO204</f>
        <v>7654533</v>
      </c>
      <c r="AI31" s="328">
        <f>LB!AP464+FR!AP138+JN!AP191+TA!AP106+ŽB!AP81+ČL!AP308+NB!AP130+SM!AP175+JI!AP150+TU!AP204</f>
        <v>5460552</v>
      </c>
      <c r="AJ31" s="328">
        <f>LB!AQ464+FR!AQ138+JN!AQ191+TA!AQ106+ŽB!AQ81+ČL!AQ308+NB!AQ130+SM!AQ175+JI!AQ150+TU!AQ204</f>
        <v>77992</v>
      </c>
      <c r="AK31" s="328">
        <f>LB!AR464+FR!AR138+JN!AR191+TA!AR106+ŽB!AR81+ČL!AR308+NB!AR130+SM!AR175+JI!AR150+TU!AR204</f>
        <v>4440</v>
      </c>
      <c r="AL31" s="328">
        <f>LB!AS464+FR!AS138+JN!AS191+TA!AS106+ŽB!AS81+ČL!AS308+NB!AS130+SM!AS175+JI!AS150+TU!AS204</f>
        <v>1870528</v>
      </c>
      <c r="AM31" s="328">
        <f>LB!AT464+FR!AT138+JN!AT191+TA!AT106+ŽB!AT81+ČL!AT308+NB!AT130+SM!AT175+JI!AT150+TU!AT204</f>
        <v>109211</v>
      </c>
      <c r="AN31" s="328">
        <f>LB!AU464+FR!AU138+JN!AU191+TA!AU106+ŽB!AU81+ČL!AU308+NB!AU130+SM!AU175+JI!AU150+TU!AU204</f>
        <v>136250</v>
      </c>
      <c r="AO31" s="329">
        <f>LB!AV464+FR!AV138+JN!AV191+TA!AV106+ŽB!AV81+ČL!AV308+NB!AV130+SM!AV175+JI!AV150+TU!AV204</f>
        <v>9.9675000000000011</v>
      </c>
      <c r="AP31" s="329">
        <f>LB!AW464+FR!AW138+JN!AW191+TA!AW106+ŽB!AW81+ČL!AW308+NB!AW130+SM!AW175+JI!AW150+TU!AW204</f>
        <v>8.6447000000000003</v>
      </c>
      <c r="AQ31" s="330">
        <f>LB!AX464+FR!AX138+JN!AX191+TA!AX106+ŽB!AX81+ČL!AX308+NB!AX130+SM!AX175+JI!AX150+TU!AX204</f>
        <v>1.3228</v>
      </c>
    </row>
    <row r="32" spans="1:43" x14ac:dyDescent="0.2">
      <c r="A32" s="2">
        <v>3124</v>
      </c>
      <c r="B32" s="327">
        <f>LB!I465+FR!I139+JN!I192+TA!I107+ŽB!I82+ČL!I309+NB!I131+SM!I176+JI!I151+TU!I205</f>
        <v>3651931</v>
      </c>
      <c r="C32" s="328">
        <f>LB!J465+FR!J139+JN!J192+TA!J107+ŽB!J82+ČL!J309+NB!J131+SM!J176+JI!J151+TU!J205</f>
        <v>2667075</v>
      </c>
      <c r="D32" s="328">
        <f>LB!K465+FR!K139+JN!K192+TA!K107+ŽB!K82+ČL!K309+NB!K131+SM!K176+JI!K151+TU!K205</f>
        <v>444</v>
      </c>
      <c r="E32" s="328">
        <f>LB!L465+FR!L139+JN!L192+TA!L107+ŽB!L82+ČL!L309+NB!L131+SM!L176+JI!L151+TU!L205</f>
        <v>444</v>
      </c>
      <c r="F32" s="328">
        <f>LB!M465+FR!M139+JN!M192+TA!M107+ŽB!M82+ČL!M309+NB!M131+SM!M176+JI!M151+TU!M205</f>
        <v>901471</v>
      </c>
      <c r="G32" s="328">
        <f>LB!N465+FR!N139+JN!N192+TA!N107+ŽB!N82+ČL!N309+NB!N131+SM!N176+JI!N151+TU!N205</f>
        <v>53341</v>
      </c>
      <c r="H32" s="328">
        <f>LB!O465+FR!O139+JN!O192+TA!O107+ŽB!O82+ČL!O309+NB!O131+SM!O176+JI!O151+TU!O205</f>
        <v>29600</v>
      </c>
      <c r="I32" s="329">
        <f>LB!P465+FR!P139+JN!P192+TA!P107+ŽB!P82+ČL!P309+NB!P131+SM!P176+JI!P151+TU!P205</f>
        <v>5.4828999999999999</v>
      </c>
      <c r="J32" s="329">
        <f>LB!Q465+FR!Q139+JN!Q192+TA!Q107+ŽB!Q82+ČL!Q309+NB!Q131+SM!Q176+JI!Q151+TU!Q205</f>
        <v>4.7199</v>
      </c>
      <c r="K32" s="330">
        <f>LB!R465+FR!R139+JN!R192+TA!R107+ŽB!R82+ČL!R309+NB!R131+SM!R176+JI!R151+TU!R205</f>
        <v>0.76300000000000001</v>
      </c>
      <c r="L32" s="331">
        <f>LB!S465+FR!S139+JN!S192+TA!S107+ŽB!S82+ČL!S309+NB!S131+SM!S176+JI!S151+TU!S205</f>
        <v>0</v>
      </c>
      <c r="M32" s="328">
        <f>LB!T465+FR!T139+JN!T192+TA!T107+ŽB!T82+ČL!T309+NB!T131+SM!T176+JI!T151+TU!T205</f>
        <v>0</v>
      </c>
      <c r="N32" s="328">
        <f>LB!U465+FR!U139+JN!U192+TA!U107+ŽB!U82+ČL!U309+NB!U131+SM!U176+JI!U151+TU!U205</f>
        <v>0</v>
      </c>
      <c r="O32" s="328">
        <f>LB!V465+FR!V139+JN!V192+TA!V107+ŽB!V82+ČL!V309+NB!V131+SM!V176+JI!V151+TU!V205</f>
        <v>0</v>
      </c>
      <c r="P32" s="328">
        <f>LB!W465+FR!W139+JN!W192+TA!W107+ŽB!W82+ČL!W309+NB!W131+SM!W176+JI!W151+TU!W205</f>
        <v>0</v>
      </c>
      <c r="Q32" s="328">
        <f>LB!X465+FR!X139+JN!X192+TA!X107+ŽB!X82+ČL!X309+NB!X131+SM!X176+JI!X151+TU!X205</f>
        <v>0</v>
      </c>
      <c r="R32" s="328">
        <f>LB!Y465+FR!Y139+JN!Y192+TA!Y107+ŽB!Y82+ČL!Y309+NB!Y131+SM!Y176+JI!Y151+TU!Y205</f>
        <v>0</v>
      </c>
      <c r="S32" s="328">
        <f>LB!Z465+FR!Z139+JN!Z192+TA!Z107+ŽB!Z82+ČL!Z309+NB!Z131+SM!Z176+JI!Z151+TU!Z205</f>
        <v>0</v>
      </c>
      <c r="T32" s="328">
        <f>LB!AA465+FR!AA139+JN!AA192+TA!AA107+ŽB!AA82+ČL!AA309+NB!AA131+SM!AA176+JI!AA151+TU!AA205</f>
        <v>0</v>
      </c>
      <c r="U32" s="328">
        <f>LB!AB465+FR!AB139+JN!AB192+TA!AB107+ŽB!AB82+ČL!AB309+NB!AB131+SM!AB176+JI!AB151+TU!AB205</f>
        <v>0</v>
      </c>
      <c r="V32" s="328">
        <f>LB!AC465+FR!AC139+JN!AC192+TA!AC107+ŽB!AC82+ČL!AC309+NB!AC131+SM!AC176+JI!AC151+TU!AC205</f>
        <v>0</v>
      </c>
      <c r="W32" s="328">
        <f>LB!AD465+FR!AD139+JN!AD192+TA!AD107+ŽB!AD82+ČL!AD309+NB!AD131+SM!AD176+JI!AD151+TU!AD205</f>
        <v>0</v>
      </c>
      <c r="X32" s="328">
        <f>LB!AE465+FR!AE139+JN!AE192+TA!AE107+ŽB!AE82+ČL!AE309+NB!AE131+SM!AE176+JI!AE151+TU!AE205</f>
        <v>0</v>
      </c>
      <c r="Y32" s="328">
        <f>LB!AF465+FR!AF139+JN!AF192+TA!AF107+ŽB!AF82+ČL!AF309+NB!AF131+SM!AF176+JI!AF151+TU!AF205</f>
        <v>0</v>
      </c>
      <c r="Z32" s="329">
        <f>LB!AG465+FR!AG139+JN!AG192+TA!AG107+ŽB!AG82+ČL!AG309+NB!AG131+SM!AG176+JI!AG151+TU!AG205</f>
        <v>0</v>
      </c>
      <c r="AA32" s="329">
        <f>LB!AH465+FR!AH139+JN!AH192+TA!AH107+ŽB!AH82+ČL!AH309+NB!AH131+SM!AH176+JI!AH151+TU!AH205</f>
        <v>0</v>
      </c>
      <c r="AB32" s="329">
        <f>LB!AI465+FR!AI139+JN!AI192+TA!AI107+ŽB!AI82+ČL!AI309+NB!AI131+SM!AI176+JI!AI151+TU!AI205</f>
        <v>0</v>
      </c>
      <c r="AC32" s="329">
        <f>LB!AJ465+FR!AJ139+JN!AJ192+TA!AJ107+ŽB!AJ82+ČL!AJ309+NB!AJ131+SM!AJ176+JI!AJ151+TU!AJ205</f>
        <v>0</v>
      </c>
      <c r="AD32" s="329">
        <f>LB!AK465+FR!AK139+JN!AK192+TA!AK107+ŽB!AK82+ČL!AK309+NB!AK131+SM!AK176+JI!AK151+TU!AK205</f>
        <v>0</v>
      </c>
      <c r="AE32" s="329">
        <f>LB!AL465+FR!AL139+JN!AL192+TA!AL107+ŽB!AL82+ČL!AL309+NB!AL131+SM!AL176+JI!AL151+TU!AL205</f>
        <v>0</v>
      </c>
      <c r="AF32" s="329">
        <f>LB!AM465+FR!AM139+JN!AM192+TA!AM107+ŽB!AM82+ČL!AM309+NB!AM131+SM!AM176+JI!AM151+TU!AM205</f>
        <v>0</v>
      </c>
      <c r="AG32" s="332">
        <f>LB!AN465+FR!AN139+JN!AN192+TA!AN107+ŽB!AN82+ČL!AN309+NB!AN131+SM!AN176+JI!AN151+TU!AN205</f>
        <v>0</v>
      </c>
      <c r="AH32" s="327">
        <f>LB!AO465+FR!AO139+JN!AO192+TA!AO107+ŽB!AO82+ČL!AO309+NB!AO131+SM!AO176+JI!AO151+TU!AO205</f>
        <v>3651931</v>
      </c>
      <c r="AI32" s="328">
        <f>LB!AP465+FR!AP139+JN!AP192+TA!AP107+ŽB!AP82+ČL!AP309+NB!AP131+SM!AP176+JI!AP151+TU!AP205</f>
        <v>2667075</v>
      </c>
      <c r="AJ32" s="328">
        <f>LB!AQ465+FR!AQ139+JN!AQ192+TA!AQ107+ŽB!AQ82+ČL!AQ309+NB!AQ131+SM!AQ176+JI!AQ151+TU!AQ205</f>
        <v>444</v>
      </c>
      <c r="AK32" s="328">
        <f>LB!AR465+FR!AR139+JN!AR192+TA!AR107+ŽB!AR82+ČL!AR309+NB!AR131+SM!AR176+JI!AR151+TU!AR205</f>
        <v>444</v>
      </c>
      <c r="AL32" s="328">
        <f>LB!AS465+FR!AS139+JN!AS192+TA!AS107+ŽB!AS82+ČL!AS309+NB!AS131+SM!AS176+JI!AS151+TU!AS205</f>
        <v>901471</v>
      </c>
      <c r="AM32" s="328">
        <f>LB!AT465+FR!AT139+JN!AT192+TA!AT107+ŽB!AT82+ČL!AT309+NB!AT131+SM!AT176+JI!AT151+TU!AT205</f>
        <v>53341</v>
      </c>
      <c r="AN32" s="328">
        <f>LB!AU465+FR!AU139+JN!AU192+TA!AU107+ŽB!AU82+ČL!AU309+NB!AU131+SM!AU176+JI!AU151+TU!AU205</f>
        <v>29600</v>
      </c>
      <c r="AO32" s="329">
        <f>LB!AV465+FR!AV139+JN!AV192+TA!AV107+ŽB!AV82+ČL!AV309+NB!AV131+SM!AV176+JI!AV151+TU!AV205</f>
        <v>5.4828999999999999</v>
      </c>
      <c r="AP32" s="329">
        <f>LB!AW465+FR!AW139+JN!AW192+TA!AW107+ŽB!AW82+ČL!AW309+NB!AW131+SM!AW176+JI!AW151+TU!AW205</f>
        <v>4.7199</v>
      </c>
      <c r="AQ32" s="330">
        <f>LB!AX465+FR!AX139+JN!AX192+TA!AX107+ŽB!AX82+ČL!AX309+NB!AX131+SM!AX176+JI!AX151+TU!AX205</f>
        <v>0.76300000000000001</v>
      </c>
    </row>
    <row r="33" spans="1:43" x14ac:dyDescent="0.2">
      <c r="A33" s="2">
        <v>3141</v>
      </c>
      <c r="B33" s="327">
        <f>LB!I466+FR!I140+JN!I193+TA!I108+ŽB!I83+ČL!I310+NB!I132+SM!I177+JI!I152+TU!I206</f>
        <v>375937403</v>
      </c>
      <c r="C33" s="328">
        <f>LB!J466+FR!J140+JN!J193+TA!J108+ŽB!J83+ČL!J310+NB!J132+SM!J177+JI!J152+TU!J206</f>
        <v>273116314</v>
      </c>
      <c r="D33" s="328">
        <f>LB!K466+FR!K140+JN!K193+TA!K108+ŽB!K83+ČL!K310+NB!K132+SM!K177+JI!K152+TU!K206</f>
        <v>1719565</v>
      </c>
      <c r="E33" s="328">
        <f>LB!L466+FR!L140+JN!L193+TA!L108+ŽB!L83+ČL!L310+NB!L132+SM!L177+JI!L152+TU!L206</f>
        <v>0</v>
      </c>
      <c r="F33" s="328">
        <f>LB!M466+FR!M140+JN!M193+TA!M108+ŽB!M83+ČL!M310+NB!M132+SM!M177+JI!M152+TU!M206</f>
        <v>92905142</v>
      </c>
      <c r="G33" s="328">
        <f>LB!N466+FR!N140+JN!N193+TA!N108+ŽB!N83+ČL!N310+NB!N132+SM!N177+JI!N152+TU!N206</f>
        <v>5462326</v>
      </c>
      <c r="H33" s="328">
        <f>LB!O466+FR!O140+JN!O193+TA!O108+ŽB!O83+ČL!O310+NB!O132+SM!O177+JI!O152+TU!O206</f>
        <v>2734056</v>
      </c>
      <c r="I33" s="329">
        <f>LB!P466+FR!P140+JN!P193+TA!P108+ŽB!P83+ČL!P310+NB!P132+SM!P177+JI!P152+TU!P206</f>
        <v>931.61</v>
      </c>
      <c r="J33" s="329">
        <f>LB!Q466+FR!Q140+JN!Q193+TA!Q108+ŽB!Q83+ČL!Q310+NB!Q132+SM!Q177+JI!Q152+TU!Q206</f>
        <v>0</v>
      </c>
      <c r="K33" s="330">
        <f>LB!R466+FR!R140+JN!R193+TA!R108+ŽB!R83+ČL!R310+NB!R132+SM!R177+JI!R152+TU!R206</f>
        <v>931.61</v>
      </c>
      <c r="L33" s="331">
        <f>LB!S466+FR!S140+JN!S193+TA!S108+ŽB!S83+ČL!S310+NB!S132+SM!S177+JI!S152+TU!S206</f>
        <v>0</v>
      </c>
      <c r="M33" s="328">
        <f>LB!T466+FR!T140+JN!T193+TA!T108+ŽB!T83+ČL!T310+NB!T132+SM!T177+JI!T152+TU!T206</f>
        <v>0</v>
      </c>
      <c r="N33" s="328">
        <f>LB!U466+FR!U140+JN!U193+TA!U108+ŽB!U83+ČL!U310+NB!U132+SM!U177+JI!U152+TU!U206</f>
        <v>0</v>
      </c>
      <c r="O33" s="328">
        <f>LB!V466+FR!V140+JN!V193+TA!V108+ŽB!V83+ČL!V310+NB!V132+SM!V177+JI!V152+TU!V206</f>
        <v>0</v>
      </c>
      <c r="P33" s="328">
        <f>LB!W466+FR!W140+JN!W193+TA!W108+ŽB!W83+ČL!W310+NB!W132+SM!W177+JI!W152+TU!W206</f>
        <v>0</v>
      </c>
      <c r="Q33" s="328">
        <f>LB!X466+FR!X140+JN!X193+TA!X108+ŽB!X83+ČL!X310+NB!X132+SM!X177+JI!X152+TU!X206</f>
        <v>0</v>
      </c>
      <c r="R33" s="328">
        <f>LB!Y466+FR!Y140+JN!Y193+TA!Y108+ŽB!Y83+ČL!Y310+NB!Y132+SM!Y177+JI!Y152+TU!Y206</f>
        <v>0</v>
      </c>
      <c r="S33" s="328">
        <f>LB!Z466+FR!Z140+JN!Z193+TA!Z108+ŽB!Z83+ČL!Z310+NB!Z132+SM!Z177+JI!Z152+TU!Z206</f>
        <v>0</v>
      </c>
      <c r="T33" s="328">
        <f>LB!AA466+FR!AA140+JN!AA193+TA!AA108+ŽB!AA83+ČL!AA310+NB!AA132+SM!AA177+JI!AA152+TU!AA206</f>
        <v>0</v>
      </c>
      <c r="U33" s="328">
        <f>LB!AB466+FR!AB140+JN!AB193+TA!AB108+ŽB!AB83+ČL!AB310+NB!AB132+SM!AB177+JI!AB152+TU!AB206</f>
        <v>0</v>
      </c>
      <c r="V33" s="328">
        <f>LB!AC466+FR!AC140+JN!AC193+TA!AC108+ŽB!AC83+ČL!AC310+NB!AC132+SM!AC177+JI!AC152+TU!AC206</f>
        <v>0</v>
      </c>
      <c r="W33" s="328">
        <f>LB!AD466+FR!AD140+JN!AD193+TA!AD108+ŽB!AD83+ČL!AD310+NB!AD132+SM!AD177+JI!AD152+TU!AD206</f>
        <v>0</v>
      </c>
      <c r="X33" s="328">
        <f>LB!AE466+FR!AE140+JN!AE193+TA!AE108+ŽB!AE83+ČL!AE310+NB!AE132+SM!AE177+JI!AE152+TU!AE206</f>
        <v>0</v>
      </c>
      <c r="Y33" s="328">
        <f>LB!AF466+FR!AF140+JN!AF193+TA!AF108+ŽB!AF83+ČL!AF310+NB!AF132+SM!AF177+JI!AF152+TU!AF206</f>
        <v>0</v>
      </c>
      <c r="Z33" s="329">
        <f>LB!AG466+FR!AG140+JN!AG193+TA!AG108+ŽB!AG83+ČL!AG310+NB!AG132+SM!AG177+JI!AG152+TU!AG206</f>
        <v>0</v>
      </c>
      <c r="AA33" s="329">
        <f>LB!AH466+FR!AH140+JN!AH193+TA!AH108+ŽB!AH83+ČL!AH310+NB!AH132+SM!AH177+JI!AH152+TU!AH206</f>
        <v>0</v>
      </c>
      <c r="AB33" s="329">
        <f>LB!AI466+FR!AI140+JN!AI193+TA!AI108+ŽB!AI83+ČL!AI310+NB!AI132+SM!AI177+JI!AI152+TU!AI206</f>
        <v>0</v>
      </c>
      <c r="AC33" s="329">
        <f>LB!AJ466+FR!AJ140+JN!AJ193+TA!AJ108+ŽB!AJ83+ČL!AJ310+NB!AJ132+SM!AJ177+JI!AJ152+TU!AJ206</f>
        <v>0</v>
      </c>
      <c r="AD33" s="329">
        <f>LB!AK466+FR!AK140+JN!AK193+TA!AK108+ŽB!AK83+ČL!AK310+NB!AK132+SM!AK177+JI!AK152+TU!AK206</f>
        <v>0</v>
      </c>
      <c r="AE33" s="329">
        <f>LB!AL466+FR!AL140+JN!AL193+TA!AL108+ŽB!AL83+ČL!AL310+NB!AL132+SM!AL177+JI!AL152+TU!AL206</f>
        <v>0</v>
      </c>
      <c r="AF33" s="329">
        <f>LB!AM466+FR!AM140+JN!AM193+TA!AM108+ŽB!AM83+ČL!AM310+NB!AM132+SM!AM177+JI!AM152+TU!AM206</f>
        <v>0</v>
      </c>
      <c r="AG33" s="332">
        <f>LB!AN466+FR!AN140+JN!AN193+TA!AN108+ŽB!AN83+ČL!AN310+NB!AN132+SM!AN177+JI!AN152+TU!AN206</f>
        <v>0</v>
      </c>
      <c r="AH33" s="327">
        <f>LB!AO466+FR!AO140+JN!AO193+TA!AO108+ŽB!AO83+ČL!AO310+NB!AO132+SM!AO177+JI!AO152+TU!AO206</f>
        <v>375937403</v>
      </c>
      <c r="AI33" s="328">
        <f>LB!AP466+FR!AP140+JN!AP193+TA!AP108+ŽB!AP83+ČL!AP310+NB!AP132+SM!AP177+JI!AP152+TU!AP206</f>
        <v>273116314</v>
      </c>
      <c r="AJ33" s="328">
        <f>LB!AQ466+FR!AQ140+JN!AQ193+TA!AQ108+ŽB!AQ83+ČL!AQ310+NB!AQ132+SM!AQ177+JI!AQ152+TU!AQ206</f>
        <v>1719565</v>
      </c>
      <c r="AK33" s="328">
        <f>LB!AR466+FR!AR140+JN!AR193+TA!AR108+ŽB!AR83+ČL!AR310+NB!AR132+SM!AR177+JI!AR152+TU!AR206</f>
        <v>0</v>
      </c>
      <c r="AL33" s="328">
        <f>LB!AS466+FR!AS140+JN!AS193+TA!AS108+ŽB!AS83+ČL!AS310+NB!AS132+SM!AS177+JI!AS152+TU!AS206</f>
        <v>92905142</v>
      </c>
      <c r="AM33" s="328">
        <f>LB!AT466+FR!AT140+JN!AT193+TA!AT108+ŽB!AT83+ČL!AT310+NB!AT132+SM!AT177+JI!AT152+TU!AT206</f>
        <v>5462326</v>
      </c>
      <c r="AN33" s="328">
        <f>LB!AU466+FR!AU140+JN!AU193+TA!AU108+ŽB!AU83+ČL!AU310+NB!AU132+SM!AU177+JI!AU152+TU!AU206</f>
        <v>2734056</v>
      </c>
      <c r="AO33" s="329">
        <f>LB!AV466+FR!AV140+JN!AV193+TA!AV108+ŽB!AV83+ČL!AV310+NB!AV132+SM!AV177+JI!AV152+TU!AV206</f>
        <v>931.61</v>
      </c>
      <c r="AP33" s="329">
        <f>LB!AW466+FR!AW140+JN!AW193+TA!AW108+ŽB!AW83+ČL!AW310+NB!AW132+SM!AW177+JI!AW152+TU!AW206</f>
        <v>0</v>
      </c>
      <c r="AQ33" s="330">
        <f>LB!AX466+FR!AX140+JN!AX193+TA!AX108+ŽB!AX83+ČL!AX310+NB!AX132+SM!AX177+JI!AX152+TU!AX206</f>
        <v>931.61</v>
      </c>
    </row>
    <row r="34" spans="1:43" x14ac:dyDescent="0.2">
      <c r="A34" s="2">
        <v>3143</v>
      </c>
      <c r="B34" s="327">
        <f>LB!I467+FR!I141+JN!I194+TA!I109+ŽB!I84+ČL!I311+NB!I133+SM!I178+JI!I153+TU!I207</f>
        <v>271738425</v>
      </c>
      <c r="C34" s="328">
        <f>LB!J467+FR!J141+JN!J194+TA!J109+ŽB!J84+ČL!J311+NB!J133+SM!J178+JI!J153+TU!J207</f>
        <v>199449667</v>
      </c>
      <c r="D34" s="328">
        <f>LB!K467+FR!K141+JN!K194+TA!K109+ŽB!K84+ČL!K311+NB!K133+SM!K178+JI!K153+TU!K207</f>
        <v>862530</v>
      </c>
      <c r="E34" s="328">
        <f>LB!L467+FR!L141+JN!L194+TA!L109+ŽB!L84+ČL!L311+NB!L133+SM!L178+JI!L153+TU!L207</f>
        <v>0</v>
      </c>
      <c r="F34" s="328">
        <f>LB!M467+FR!M141+JN!M194+TA!M109+ŽB!M84+ČL!M311+NB!M133+SM!M178+JI!M153+TU!M207</f>
        <v>67086911</v>
      </c>
      <c r="G34" s="328">
        <f>LB!N467+FR!N141+JN!N194+TA!N109+ŽB!N84+ČL!N311+NB!N133+SM!N178+JI!N153+TU!N207</f>
        <v>3952407</v>
      </c>
      <c r="H34" s="328">
        <f>LB!O467+FR!O141+JN!O194+TA!O109+ŽB!O84+ČL!O311+NB!O133+SM!O178+JI!O153+TU!O207</f>
        <v>386910</v>
      </c>
      <c r="I34" s="329">
        <f>LB!P467+FR!P141+JN!P194+TA!P109+ŽB!P84+ČL!P311+NB!P133+SM!P178+JI!P153+TU!P207</f>
        <v>448.9067</v>
      </c>
      <c r="J34" s="329">
        <f>LB!Q467+FR!Q141+JN!Q194+TA!Q109+ŽB!Q84+ČL!Q311+NB!Q133+SM!Q178+JI!Q153+TU!Q207</f>
        <v>422.10669999999999</v>
      </c>
      <c r="K34" s="330">
        <f>LB!R467+FR!R141+JN!R194+TA!R109+ŽB!R84+ČL!R311+NB!R133+SM!R178+JI!R153+TU!R207</f>
        <v>26.8</v>
      </c>
      <c r="L34" s="331">
        <f>LB!S467+FR!S141+JN!S194+TA!S109+ŽB!S84+ČL!S311+NB!S133+SM!S178+JI!S153+TU!S207</f>
        <v>5000</v>
      </c>
      <c r="M34" s="328">
        <f>LB!T467+FR!T141+JN!T194+TA!T109+ŽB!T84+ČL!T311+NB!T133+SM!T178+JI!T153+TU!T207</f>
        <v>0</v>
      </c>
      <c r="N34" s="328">
        <f>LB!U467+FR!U141+JN!U194+TA!U109+ŽB!U84+ČL!U311+NB!U133+SM!U178+JI!U153+TU!U207</f>
        <v>0</v>
      </c>
      <c r="O34" s="328">
        <f>LB!V467+FR!V141+JN!V194+TA!V109+ŽB!V84+ČL!V311+NB!V133+SM!V178+JI!V153+TU!V207</f>
        <v>5000</v>
      </c>
      <c r="P34" s="328">
        <f>LB!W467+FR!W141+JN!W194+TA!W109+ŽB!W84+ČL!W311+NB!W133+SM!W178+JI!W153+TU!W207</f>
        <v>-5000</v>
      </c>
      <c r="Q34" s="328">
        <f>LB!X467+FR!X141+JN!X194+TA!X109+ŽB!X84+ČL!X311+NB!X133+SM!X178+JI!X153+TU!X207</f>
        <v>0</v>
      </c>
      <c r="R34" s="328">
        <f>LB!Y467+FR!Y141+JN!Y194+TA!Y109+ŽB!Y84+ČL!Y311+NB!Y133+SM!Y178+JI!Y153+TU!Y207</f>
        <v>-5000</v>
      </c>
      <c r="S34" s="328">
        <f>LB!Z467+FR!Z141+JN!Z194+TA!Z109+ŽB!Z84+ČL!Z311+NB!Z133+SM!Z178+JI!Z153+TU!Z207</f>
        <v>0</v>
      </c>
      <c r="T34" s="328">
        <f>LB!AA467+FR!AA141+JN!AA194+TA!AA109+ŽB!AA84+ČL!AA311+NB!AA133+SM!AA178+JI!AA153+TU!AA207</f>
        <v>0</v>
      </c>
      <c r="U34" s="328">
        <f>LB!AB467+FR!AB141+JN!AB194+TA!AB109+ŽB!AB84+ČL!AB311+NB!AB133+SM!AB178+JI!AB153+TU!AB207</f>
        <v>100</v>
      </c>
      <c r="V34" s="328">
        <f>LB!AC467+FR!AC141+JN!AC194+TA!AC109+ŽB!AC84+ČL!AC311+NB!AC133+SM!AC178+JI!AC153+TU!AC207</f>
        <v>0</v>
      </c>
      <c r="W34" s="328">
        <f>LB!AD467+FR!AD141+JN!AD194+TA!AD109+ŽB!AD84+ČL!AD311+NB!AD133+SM!AD178+JI!AD153+TU!AD207</f>
        <v>0</v>
      </c>
      <c r="X34" s="328">
        <f>LB!AE467+FR!AE141+JN!AE194+TA!AE109+ŽB!AE84+ČL!AE311+NB!AE133+SM!AE178+JI!AE153+TU!AE207</f>
        <v>0</v>
      </c>
      <c r="Y34" s="328">
        <f>LB!AF467+FR!AF141+JN!AF194+TA!AF109+ŽB!AF84+ČL!AF311+NB!AF133+SM!AF178+JI!AF153+TU!AF207</f>
        <v>100</v>
      </c>
      <c r="Z34" s="329">
        <f>LB!AG467+FR!AG141+JN!AG194+TA!AG109+ŽB!AG84+ČL!AG311+NB!AG133+SM!AG178+JI!AG153+TU!AG207</f>
        <v>-0.03</v>
      </c>
      <c r="AA34" s="329">
        <f>LB!AH467+FR!AH141+JN!AH194+TA!AH109+ŽB!AH84+ČL!AH311+NB!AH133+SM!AH178+JI!AH153+TU!AH207</f>
        <v>0</v>
      </c>
      <c r="AB34" s="329">
        <f>LB!AI467+FR!AI141+JN!AI194+TA!AI109+ŽB!AI84+ČL!AI311+NB!AI133+SM!AI178+JI!AI153+TU!AI207</f>
        <v>0</v>
      </c>
      <c r="AC34" s="329">
        <f>LB!AJ467+FR!AJ141+JN!AJ194+TA!AJ109+ŽB!AJ84+ČL!AJ311+NB!AJ133+SM!AJ178+JI!AJ153+TU!AJ207</f>
        <v>0</v>
      </c>
      <c r="AD34" s="329">
        <f>LB!AK467+FR!AK141+JN!AK194+TA!AK109+ŽB!AK84+ČL!AK311+NB!AK133+SM!AK178+JI!AK153+TU!AK207</f>
        <v>0</v>
      </c>
      <c r="AE34" s="329">
        <f>LB!AL467+FR!AL141+JN!AL194+TA!AL109+ŽB!AL84+ČL!AL311+NB!AL133+SM!AL178+JI!AL153+TU!AL207</f>
        <v>-0.03</v>
      </c>
      <c r="AF34" s="329">
        <f>LB!AM467+FR!AM141+JN!AM194+TA!AM109+ŽB!AM84+ČL!AM311+NB!AM133+SM!AM178+JI!AM153+TU!AM207</f>
        <v>0</v>
      </c>
      <c r="AG34" s="332">
        <f>LB!AN467+FR!AN141+JN!AN194+TA!AN109+ŽB!AN84+ČL!AN311+NB!AN133+SM!AN178+JI!AN153+TU!AN207</f>
        <v>-0.03</v>
      </c>
      <c r="AH34" s="327">
        <f>LB!AO467+FR!AO141+JN!AO194+TA!AO109+ŽB!AO84+ČL!AO311+NB!AO133+SM!AO178+JI!AO153+TU!AO207</f>
        <v>271738525</v>
      </c>
      <c r="AI34" s="328">
        <f>LB!AP467+FR!AP141+JN!AP194+TA!AP109+ŽB!AP84+ČL!AP311+NB!AP133+SM!AP178+JI!AP153+TU!AP207</f>
        <v>199454667</v>
      </c>
      <c r="AJ34" s="328">
        <f>LB!AQ467+FR!AQ141+JN!AQ194+TA!AQ109+ŽB!AQ84+ČL!AQ311+NB!AQ133+SM!AQ178+JI!AQ153+TU!AQ207</f>
        <v>857530</v>
      </c>
      <c r="AK34" s="328">
        <f>LB!AR467+FR!AR141+JN!AR194+TA!AR109+ŽB!AR84+ČL!AR311+NB!AR133+SM!AR178+JI!AR153+TU!AR207</f>
        <v>0</v>
      </c>
      <c r="AL34" s="328">
        <f>LB!AS467+FR!AS141+JN!AS194+TA!AS109+ŽB!AS84+ČL!AS311+NB!AS133+SM!AS178+JI!AS153+TU!AS207</f>
        <v>67086911</v>
      </c>
      <c r="AM34" s="328">
        <f>LB!AT467+FR!AT141+JN!AT194+TA!AT109+ŽB!AT84+ČL!AT311+NB!AT133+SM!AT178+JI!AT153+TU!AT207</f>
        <v>3952507</v>
      </c>
      <c r="AN34" s="328">
        <f>LB!AU467+FR!AU141+JN!AU194+TA!AU109+ŽB!AU84+ČL!AU311+NB!AU133+SM!AU178+JI!AU153+TU!AU207</f>
        <v>386910</v>
      </c>
      <c r="AO34" s="329">
        <f>LB!AV467+FR!AV141+JN!AV194+TA!AV109+ŽB!AV84+ČL!AV311+NB!AV133+SM!AV178+JI!AV153+TU!AV207</f>
        <v>448.87670000000003</v>
      </c>
      <c r="AP34" s="329">
        <f>LB!AW467+FR!AW141+JN!AW194+TA!AW109+ŽB!AW84+ČL!AW311+NB!AW133+SM!AW178+JI!AW153+TU!AW207</f>
        <v>422.07670000000002</v>
      </c>
      <c r="AQ34" s="330">
        <f>LB!AX467+FR!AX141+JN!AX194+TA!AX109+ŽB!AX84+ČL!AX311+NB!AX133+SM!AX178+JI!AX153+TU!AX207</f>
        <v>26.8</v>
      </c>
    </row>
    <row r="35" spans="1:43" x14ac:dyDescent="0.2">
      <c r="A35" s="2">
        <v>3231</v>
      </c>
      <c r="B35" s="327">
        <f>LB!I468+FR!I142+JN!I195+TA!I110+ŽB!I85+ČL!I312+NB!I134+SM!I179+JI!I154+TU!I208</f>
        <v>272726397</v>
      </c>
      <c r="C35" s="328">
        <f>LB!J468+FR!J142+JN!J195+TA!J110+ŽB!J85+ČL!J312+NB!J134+SM!J179+JI!J154+TU!J208</f>
        <v>198598889</v>
      </c>
      <c r="D35" s="328">
        <f>LB!K468+FR!K142+JN!K195+TA!K110+ŽB!K85+ČL!K312+NB!K134+SM!K179+JI!K154+TU!K208</f>
        <v>1565278</v>
      </c>
      <c r="E35" s="328">
        <f>LB!L468+FR!L142+JN!L195+TA!L110+ŽB!L85+ČL!L312+NB!L134+SM!L179+JI!L154+TU!L208</f>
        <v>0</v>
      </c>
      <c r="F35" s="328">
        <f>LB!M468+FR!M142+JN!M195+TA!M110+ŽB!M85+ČL!M312+NB!M134+SM!M179+JI!M154+TU!M208</f>
        <v>67627149</v>
      </c>
      <c r="G35" s="328">
        <f>LB!N468+FR!N142+JN!N195+TA!N110+ŽB!N85+ČL!N312+NB!N134+SM!N179+JI!N154+TU!N208</f>
        <v>3971977</v>
      </c>
      <c r="H35" s="328">
        <f>LB!O468+FR!O142+JN!O195+TA!O110+ŽB!O85+ČL!O312+NB!O134+SM!O179+JI!O154+TU!O208</f>
        <v>963104</v>
      </c>
      <c r="I35" s="329">
        <f>LB!P468+FR!P142+JN!P195+TA!P110+ŽB!P85+ČL!P312+NB!P134+SM!P179+JI!P154+TU!P208</f>
        <v>389.96540000000005</v>
      </c>
      <c r="J35" s="329">
        <f>LB!Q468+FR!Q142+JN!Q195+TA!Q110+ŽB!Q85+ČL!Q312+NB!Q134+SM!Q179+JI!Q154+TU!Q208</f>
        <v>347.24020000000002</v>
      </c>
      <c r="K35" s="330">
        <f>LB!R468+FR!R142+JN!R195+TA!R110+ŽB!R85+ČL!R312+NB!R134+SM!R179+JI!R154+TU!R208</f>
        <v>42.725199999999994</v>
      </c>
      <c r="L35" s="331">
        <f>LB!S468+FR!S142+JN!S195+TA!S110+ŽB!S85+ČL!S312+NB!S134+SM!S179+JI!S154+TU!S208</f>
        <v>8200</v>
      </c>
      <c r="M35" s="328">
        <f>LB!T468+FR!T142+JN!T195+TA!T110+ŽB!T85+ČL!T312+NB!T134+SM!T179+JI!T154+TU!T208</f>
        <v>7075</v>
      </c>
      <c r="N35" s="328">
        <f>LB!U468+FR!U142+JN!U195+TA!U110+ŽB!U85+ČL!U312+NB!U134+SM!U179+JI!U154+TU!U208</f>
        <v>-77319</v>
      </c>
      <c r="O35" s="328">
        <f>LB!V468+FR!V142+JN!V195+TA!V110+ŽB!V85+ČL!V312+NB!V134+SM!V179+JI!V154+TU!V208</f>
        <v>-62044</v>
      </c>
      <c r="P35" s="328">
        <f>LB!W468+FR!W142+JN!W195+TA!W110+ŽB!W85+ČL!W312+NB!W134+SM!W179+JI!W154+TU!W208</f>
        <v>-8200</v>
      </c>
      <c r="Q35" s="328">
        <f>LB!X468+FR!X142+JN!X195+TA!X110+ŽB!X85+ČL!X312+NB!X134+SM!X179+JI!X154+TU!X208</f>
        <v>0</v>
      </c>
      <c r="R35" s="328">
        <f>LB!Y468+FR!Y142+JN!Y195+TA!Y110+ŽB!Y85+ČL!Y312+NB!Y134+SM!Y179+JI!Y154+TU!Y208</f>
        <v>-8200</v>
      </c>
      <c r="S35" s="328">
        <f>LB!Z468+FR!Z142+JN!Z195+TA!Z110+ŽB!Z85+ČL!Z312+NB!Z134+SM!Z179+JI!Z154+TU!Z208</f>
        <v>-70244</v>
      </c>
      <c r="T35" s="328">
        <f>LB!AA468+FR!AA142+JN!AA195+TA!AA110+ŽB!AA85+ČL!AA312+NB!AA134+SM!AA179+JI!AA154+TU!AA208</f>
        <v>-23743</v>
      </c>
      <c r="U35" s="328">
        <f>LB!AB468+FR!AB142+JN!AB195+TA!AB110+ŽB!AB85+ČL!AB312+NB!AB134+SM!AB179+JI!AB154+TU!AB208</f>
        <v>-1241</v>
      </c>
      <c r="V35" s="328">
        <f>LB!AC468+FR!AC142+JN!AC195+TA!AC110+ŽB!AC85+ČL!AC312+NB!AC134+SM!AC179+JI!AC154+TU!AC208</f>
        <v>0</v>
      </c>
      <c r="W35" s="328">
        <f>LB!AD468+FR!AD142+JN!AD195+TA!AD110+ŽB!AD85+ČL!AD312+NB!AD134+SM!AD179+JI!AD154+TU!AD208</f>
        <v>105000</v>
      </c>
      <c r="X35" s="328">
        <f>LB!AE468+FR!AE142+JN!AE195+TA!AE110+ŽB!AE85+ČL!AE312+NB!AE134+SM!AE179+JI!AE154+TU!AE208</f>
        <v>105000</v>
      </c>
      <c r="Y35" s="328">
        <f>LB!AF468+FR!AF142+JN!AF195+TA!AF110+ŽB!AF85+ČL!AF312+NB!AF134+SM!AF179+JI!AF154+TU!AF208</f>
        <v>9772</v>
      </c>
      <c r="Z35" s="329">
        <f>LB!AG468+FR!AG142+JN!AG195+TA!AG110+ŽB!AG85+ČL!AG312+NB!AG134+SM!AG179+JI!AG154+TU!AG208</f>
        <v>0</v>
      </c>
      <c r="AA35" s="329">
        <f>LB!AH468+FR!AH142+JN!AH195+TA!AH110+ŽB!AH85+ČL!AH312+NB!AH134+SM!AH179+JI!AH154+TU!AH208</f>
        <v>0</v>
      </c>
      <c r="AB35" s="329">
        <f>LB!AI468+FR!AI142+JN!AI195+TA!AI110+ŽB!AI85+ČL!AI312+NB!AI134+SM!AI179+JI!AI154+TU!AI208</f>
        <v>0.02</v>
      </c>
      <c r="AC35" s="329">
        <f>LB!AJ468+FR!AJ142+JN!AJ195+TA!AJ110+ŽB!AJ85+ČL!AJ312+NB!AJ134+SM!AJ179+JI!AJ154+TU!AJ208</f>
        <v>0</v>
      </c>
      <c r="AD35" s="329">
        <f>LB!AK468+FR!AK142+JN!AK195+TA!AK110+ŽB!AK85+ČL!AK312+NB!AK134+SM!AK179+JI!AK154+TU!AK208</f>
        <v>0</v>
      </c>
      <c r="AE35" s="329">
        <f>LB!AL468+FR!AL142+JN!AL195+TA!AL110+ŽB!AL85+ČL!AL312+NB!AL134+SM!AL179+JI!AL154+TU!AL208</f>
        <v>0.02</v>
      </c>
      <c r="AF35" s="329">
        <f>LB!AM468+FR!AM142+JN!AM195+TA!AM110+ŽB!AM85+ČL!AM312+NB!AM134+SM!AM179+JI!AM154+TU!AM208</f>
        <v>0</v>
      </c>
      <c r="AG35" s="332">
        <f>LB!AN468+FR!AN142+JN!AN195+TA!AN110+ŽB!AN85+ČL!AN312+NB!AN134+SM!AN179+JI!AN154+TU!AN208</f>
        <v>0.02</v>
      </c>
      <c r="AH35" s="327">
        <f>LB!AO468+FR!AO142+JN!AO195+TA!AO110+ŽB!AO85+ČL!AO312+NB!AO134+SM!AO179+JI!AO154+TU!AO208</f>
        <v>272736169</v>
      </c>
      <c r="AI35" s="328">
        <f>LB!AP468+FR!AP142+JN!AP195+TA!AP110+ŽB!AP85+ČL!AP312+NB!AP134+SM!AP179+JI!AP154+TU!AP208</f>
        <v>198536845</v>
      </c>
      <c r="AJ35" s="328">
        <f>LB!AQ468+FR!AQ142+JN!AQ195+TA!AQ110+ŽB!AQ85+ČL!AQ312+NB!AQ134+SM!AQ179+JI!AQ154+TU!AQ208</f>
        <v>1557078</v>
      </c>
      <c r="AK35" s="328">
        <f>LB!AR468+FR!AR142+JN!AR195+TA!AR110+ŽB!AR85+ČL!AR312+NB!AR134+SM!AR179+JI!AR154+TU!AR208</f>
        <v>0</v>
      </c>
      <c r="AL35" s="328">
        <f>LB!AS468+FR!AS142+JN!AS195+TA!AS110+ŽB!AS85+ČL!AS312+NB!AS134+SM!AS179+JI!AS154+TU!AS208</f>
        <v>67603406</v>
      </c>
      <c r="AM35" s="328">
        <f>LB!AT468+FR!AT142+JN!AT195+TA!AT110+ŽB!AT85+ČL!AT312+NB!AT134+SM!AT179+JI!AT154+TU!AT208</f>
        <v>3970736</v>
      </c>
      <c r="AN35" s="328">
        <f>LB!AU468+FR!AU142+JN!AU195+TA!AU110+ŽB!AU85+ČL!AU312+NB!AU134+SM!AU179+JI!AU154+TU!AU208</f>
        <v>1068104</v>
      </c>
      <c r="AO35" s="329">
        <f>LB!AV468+FR!AV142+JN!AV195+TA!AV110+ŽB!AV85+ČL!AV312+NB!AV134+SM!AV179+JI!AV154+TU!AV208</f>
        <v>389.98540000000003</v>
      </c>
      <c r="AP35" s="329">
        <f>LB!AW468+FR!AW142+JN!AW195+TA!AW110+ŽB!AW85+ČL!AW312+NB!AW134+SM!AW179+JI!AW154+TU!AW208</f>
        <v>347.2602</v>
      </c>
      <c r="AQ35" s="330">
        <f>LB!AX468+FR!AX142+JN!AX195+TA!AX110+ŽB!AX85+ČL!AX312+NB!AX134+SM!AX179+JI!AX154+TU!AX208</f>
        <v>42.725199999999994</v>
      </c>
    </row>
    <row r="36" spans="1:43" ht="13.5" thickBot="1" x14ac:dyDescent="0.25">
      <c r="A36" s="265">
        <v>3233</v>
      </c>
      <c r="B36" s="333">
        <f>LB!I469+FR!I143+JN!I196+TA!I111+ŽB!I86+ČL!I313+NB!I135+SM!I180+JI!I155+TU!I209</f>
        <v>58394776</v>
      </c>
      <c r="C36" s="334">
        <f>LB!J469+FR!J143+JN!J196+TA!J111+ŽB!J86+ČL!J313+NB!J135+SM!J180+JI!J155+TU!J209</f>
        <v>39505942</v>
      </c>
      <c r="D36" s="334">
        <f>LB!K469+FR!K143+JN!K196+TA!K111+ŽB!K86+ČL!K313+NB!K135+SM!K180+JI!K155+TU!K209</f>
        <v>3108050</v>
      </c>
      <c r="E36" s="334">
        <f>LB!L469+FR!L143+JN!L196+TA!L111+ŽB!L86+ČL!L313+NB!L135+SM!L180+JI!L155+TU!L209</f>
        <v>0</v>
      </c>
      <c r="F36" s="334">
        <f>LB!M469+FR!M143+JN!M196+TA!M111+ŽB!M86+ČL!M313+NB!M135+SM!M180+JI!M155+TU!M209</f>
        <v>14403528</v>
      </c>
      <c r="G36" s="334">
        <f>LB!N469+FR!N143+JN!N196+TA!N111+ŽB!N86+ČL!N313+NB!N135+SM!N180+JI!N155+TU!N209</f>
        <v>790119</v>
      </c>
      <c r="H36" s="334">
        <f>LB!O469+FR!O143+JN!O196+TA!O111+ŽB!O86+ČL!O313+NB!O135+SM!O180+JI!O155+TU!O209</f>
        <v>587137</v>
      </c>
      <c r="I36" s="335">
        <f>LB!P469+FR!P143+JN!P196+TA!P111+ŽB!P86+ČL!P313+NB!P135+SM!P180+JI!P155+TU!P209</f>
        <v>93.31</v>
      </c>
      <c r="J36" s="335">
        <f>LB!Q469+FR!Q143+JN!Q196+TA!Q111+ŽB!Q86+ČL!Q313+NB!Q135+SM!Q180+JI!Q155+TU!Q209</f>
        <v>58.98</v>
      </c>
      <c r="K36" s="336">
        <f>LB!R469+FR!R143+JN!R196+TA!R111+ŽB!R86+ČL!R313+NB!R135+SM!R180+JI!R155+TU!R209</f>
        <v>34.33</v>
      </c>
      <c r="L36" s="337">
        <f>LB!S469+FR!S143+JN!S196+TA!S111+ŽB!S86+ČL!S313+NB!S135+SM!S180+JI!S155+TU!S209</f>
        <v>100000</v>
      </c>
      <c r="M36" s="334">
        <f>LB!T469+FR!T143+JN!T196+TA!T111+ŽB!T86+ČL!T313+NB!T135+SM!T180+JI!T155+TU!T209</f>
        <v>0</v>
      </c>
      <c r="N36" s="334">
        <f>LB!U469+FR!U143+JN!U196+TA!U111+ŽB!U86+ČL!U313+NB!U135+SM!U180+JI!U155+TU!U209</f>
        <v>0</v>
      </c>
      <c r="O36" s="334">
        <f>LB!V469+FR!V143+JN!V196+TA!V111+ŽB!V86+ČL!V313+NB!V135+SM!V180+JI!V155+TU!V209</f>
        <v>100000</v>
      </c>
      <c r="P36" s="334">
        <f>LB!W469+FR!W143+JN!W196+TA!W111+ŽB!W86+ČL!W313+NB!W135+SM!W180+JI!W155+TU!W209</f>
        <v>-100000</v>
      </c>
      <c r="Q36" s="334">
        <f>LB!X469+FR!X143+JN!X196+TA!X111+ŽB!X86+ČL!X313+NB!X135+SM!X180+JI!X155+TU!X209</f>
        <v>0</v>
      </c>
      <c r="R36" s="334">
        <f>LB!Y469+FR!Y143+JN!Y196+TA!Y111+ŽB!Y86+ČL!Y313+NB!Y135+SM!Y180+JI!Y155+TU!Y209</f>
        <v>-100000</v>
      </c>
      <c r="S36" s="334">
        <f>LB!Z469+FR!Z143+JN!Z196+TA!Z111+ŽB!Z86+ČL!Z313+NB!Z135+SM!Z180+JI!Z155+TU!Z209</f>
        <v>0</v>
      </c>
      <c r="T36" s="334">
        <f>LB!AA469+FR!AA143+JN!AA196+TA!AA111+ŽB!AA86+ČL!AA313+NB!AA135+SM!AA180+JI!AA155+TU!AA209</f>
        <v>0</v>
      </c>
      <c r="U36" s="334">
        <f>LB!AB469+FR!AB143+JN!AB196+TA!AB111+ŽB!AB86+ČL!AB313+NB!AB135+SM!AB180+JI!AB155+TU!AB209</f>
        <v>2000</v>
      </c>
      <c r="V36" s="334">
        <f>LB!AC469+FR!AC143+JN!AC196+TA!AC111+ŽB!AC86+ČL!AC313+NB!AC135+SM!AC180+JI!AC155+TU!AC209</f>
        <v>0</v>
      </c>
      <c r="W36" s="334">
        <f>LB!AD469+FR!AD143+JN!AD196+TA!AD111+ŽB!AD86+ČL!AD313+NB!AD135+SM!AD180+JI!AD155+TU!AD209</f>
        <v>0</v>
      </c>
      <c r="X36" s="334">
        <f>LB!AE469+FR!AE143+JN!AE196+TA!AE111+ŽB!AE86+ČL!AE313+NB!AE135+SM!AE180+JI!AE155+TU!AE209</f>
        <v>0</v>
      </c>
      <c r="Y36" s="334">
        <f>LB!AF469+FR!AF143+JN!AF196+TA!AF111+ŽB!AF86+ČL!AF313+NB!AF135+SM!AF180+JI!AF155+TU!AF209</f>
        <v>2000</v>
      </c>
      <c r="Z36" s="335">
        <f>LB!AG469+FR!AG143+JN!AG196+TA!AG111+ŽB!AG86+ČL!AG313+NB!AG135+SM!AG180+JI!AG155+TU!AG209</f>
        <v>0.2</v>
      </c>
      <c r="AA36" s="335">
        <f>LB!AH469+FR!AH143+JN!AH196+TA!AH111+ŽB!AH86+ČL!AH313+NB!AH135+SM!AH180+JI!AH155+TU!AH209</f>
        <v>0</v>
      </c>
      <c r="AB36" s="335">
        <f>LB!AI469+FR!AI143+JN!AI196+TA!AI111+ŽB!AI86+ČL!AI313+NB!AI135+SM!AI180+JI!AI155+TU!AI209</f>
        <v>0</v>
      </c>
      <c r="AC36" s="335">
        <f>LB!AJ469+FR!AJ143+JN!AJ196+TA!AJ111+ŽB!AJ86+ČL!AJ313+NB!AJ135+SM!AJ180+JI!AJ155+TU!AJ209</f>
        <v>0</v>
      </c>
      <c r="AD36" s="335">
        <f>LB!AK469+FR!AK143+JN!AK196+TA!AK111+ŽB!AK86+ČL!AK313+NB!AK135+SM!AK180+JI!AK155+TU!AK209</f>
        <v>0</v>
      </c>
      <c r="AE36" s="335">
        <f>LB!AL469+FR!AL143+JN!AL196+TA!AL111+ŽB!AL86+ČL!AL313+NB!AL135+SM!AL180+JI!AL155+TU!AL209</f>
        <v>0.2</v>
      </c>
      <c r="AF36" s="335">
        <f>LB!AM469+FR!AM143+JN!AM196+TA!AM111+ŽB!AM86+ČL!AM313+NB!AM135+SM!AM180+JI!AM155+TU!AM209</f>
        <v>0</v>
      </c>
      <c r="AG36" s="338">
        <f>LB!AN469+FR!AN143+JN!AN196+TA!AN111+ŽB!AN86+ČL!AN313+NB!AN135+SM!AN180+JI!AN155+TU!AN209</f>
        <v>0.2</v>
      </c>
      <c r="AH36" s="333">
        <f>LB!AO469+FR!AO143+JN!AO196+TA!AO111+ŽB!AO86+ČL!AO313+NB!AO135+SM!AO180+JI!AO155+TU!AO209</f>
        <v>58396776</v>
      </c>
      <c r="AI36" s="334">
        <f>LB!AP469+FR!AP143+JN!AP196+TA!AP111+ŽB!AP86+ČL!AP313+NB!AP135+SM!AP180+JI!AP155+TU!AP209</f>
        <v>39605942</v>
      </c>
      <c r="AJ36" s="334">
        <f>LB!AQ469+FR!AQ143+JN!AQ196+TA!AQ111+ŽB!AQ86+ČL!AQ313+NB!AQ135+SM!AQ180+JI!AQ155+TU!AQ209</f>
        <v>3008050</v>
      </c>
      <c r="AK36" s="334">
        <f>LB!AR469+FR!AR143+JN!AR196+TA!AR111+ŽB!AR86+ČL!AR313+NB!AR135+SM!AR180+JI!AR155+TU!AR209</f>
        <v>0</v>
      </c>
      <c r="AL36" s="334">
        <f>LB!AS469+FR!AS143+JN!AS196+TA!AS111+ŽB!AS86+ČL!AS313+NB!AS135+SM!AS180+JI!AS155+TU!AS209</f>
        <v>14403528</v>
      </c>
      <c r="AM36" s="334">
        <f>LB!AT469+FR!AT143+JN!AT196+TA!AT111+ŽB!AT86+ČL!AT313+NB!AT135+SM!AT180+JI!AT155+TU!AT209</f>
        <v>792119</v>
      </c>
      <c r="AN36" s="334">
        <f>LB!AU469+FR!AU143+JN!AU196+TA!AU111+ŽB!AU86+ČL!AU313+NB!AU135+SM!AU180+JI!AU155+TU!AU209</f>
        <v>587137</v>
      </c>
      <c r="AO36" s="335">
        <f>LB!AV469+FR!AV143+JN!AV196+TA!AV111+ŽB!AV86+ČL!AV313+NB!AV135+SM!AV180+JI!AV155+TU!AV209</f>
        <v>93.509999999999991</v>
      </c>
      <c r="AP36" s="335">
        <f>LB!AW469+FR!AW143+JN!AW196+TA!AW111+ŽB!AW86+ČL!AW313+NB!AW135+SM!AW180+JI!AW155+TU!AW209</f>
        <v>59.18</v>
      </c>
      <c r="AQ36" s="336">
        <f>LB!AX469+FR!AX143+JN!AX196+TA!AX111+ŽB!AX86+ČL!AX313+NB!AX135+SM!AX180+JI!AX155+TU!AX209</f>
        <v>34.33</v>
      </c>
    </row>
    <row r="37" spans="1:43" x14ac:dyDescent="0.2">
      <c r="A37" s="16"/>
      <c r="B37" s="12"/>
      <c r="C37" s="12"/>
      <c r="D37" s="12"/>
      <c r="E37" s="12"/>
      <c r="F37" s="12"/>
      <c r="G37" s="12"/>
      <c r="H37" s="12"/>
      <c r="I37" s="7"/>
      <c r="J37" s="7"/>
      <c r="K37" s="7"/>
    </row>
    <row r="38" spans="1:43" x14ac:dyDescent="0.2">
      <c r="A38" s="16"/>
      <c r="B38" s="12"/>
      <c r="C38" s="12"/>
      <c r="D38" s="12"/>
      <c r="E38" s="12"/>
      <c r="F38" s="12"/>
      <c r="G38" s="12"/>
      <c r="H38" s="12"/>
      <c r="I38" s="7"/>
      <c r="J38" s="7"/>
      <c r="K38" s="7"/>
    </row>
    <row r="39" spans="1:43" x14ac:dyDescent="0.2">
      <c r="A39" s="16"/>
      <c r="B39" s="12"/>
      <c r="C39" s="12"/>
      <c r="D39" s="12"/>
      <c r="E39" s="12"/>
      <c r="F39" s="12"/>
      <c r="G39" s="12"/>
      <c r="H39" s="12"/>
      <c r="I39" s="7"/>
      <c r="J39" s="7"/>
      <c r="K39" s="7"/>
    </row>
    <row r="40" spans="1:43" x14ac:dyDescent="0.2">
      <c r="A40" s="16"/>
      <c r="B40" s="12"/>
      <c r="C40" s="12"/>
      <c r="D40" s="12"/>
      <c r="E40" s="12"/>
      <c r="F40" s="12"/>
      <c r="G40" s="12"/>
      <c r="H40" s="12"/>
      <c r="I40" s="7"/>
      <c r="J40" s="7"/>
      <c r="K40" s="7"/>
    </row>
    <row r="41" spans="1:43" x14ac:dyDescent="0.2">
      <c r="A41" s="16"/>
      <c r="B41" s="12"/>
      <c r="C41" s="12"/>
      <c r="D41" s="12"/>
      <c r="E41" s="12"/>
      <c r="F41" s="12"/>
      <c r="G41" s="12"/>
      <c r="H41" s="12"/>
      <c r="I41" s="7"/>
      <c r="J41" s="7"/>
      <c r="K41" s="7"/>
    </row>
    <row r="42" spans="1:43" x14ac:dyDescent="0.2">
      <c r="A42" s="16"/>
      <c r="B42" s="12"/>
      <c r="C42" s="12"/>
      <c r="D42" s="12"/>
      <c r="E42" s="12"/>
      <c r="F42" s="12"/>
      <c r="G42" s="12"/>
      <c r="H42" s="12"/>
      <c r="I42" s="7"/>
      <c r="J42" s="7"/>
      <c r="K42" s="7"/>
    </row>
    <row r="43" spans="1:43" x14ac:dyDescent="0.2">
      <c r="A43" s="16"/>
      <c r="B43" s="12"/>
      <c r="C43" s="12"/>
      <c r="D43" s="12"/>
      <c r="E43" s="12"/>
      <c r="F43" s="12"/>
      <c r="G43" s="12"/>
      <c r="H43" s="12"/>
      <c r="I43" s="7"/>
      <c r="J43" s="7"/>
      <c r="K43" s="7"/>
    </row>
    <row r="44" spans="1:43" x14ac:dyDescent="0.2">
      <c r="A44" s="16"/>
      <c r="B44" s="12"/>
      <c r="C44" s="12"/>
      <c r="D44" s="12"/>
      <c r="E44" s="12"/>
      <c r="F44" s="12"/>
      <c r="G44" s="12"/>
      <c r="H44" s="12"/>
      <c r="I44" s="7"/>
      <c r="J44" s="7"/>
      <c r="K44" s="7"/>
    </row>
    <row r="45" spans="1:43" x14ac:dyDescent="0.2">
      <c r="A45" s="16"/>
      <c r="B45" s="12"/>
      <c r="C45" s="12"/>
      <c r="D45" s="12"/>
      <c r="E45" s="12"/>
      <c r="F45" s="12"/>
      <c r="G45" s="12"/>
      <c r="H45" s="12"/>
      <c r="I45" s="7"/>
      <c r="J45" s="7"/>
      <c r="K45" s="7"/>
    </row>
    <row r="46" spans="1:43" x14ac:dyDescent="0.2">
      <c r="A46" s="16"/>
      <c r="B46" s="12"/>
      <c r="C46" s="12"/>
      <c r="D46" s="12"/>
      <c r="E46" s="12"/>
      <c r="F46" s="12"/>
      <c r="G46" s="12"/>
      <c r="H46" s="12"/>
      <c r="I46" s="7"/>
      <c r="J46" s="7"/>
      <c r="K46" s="7"/>
    </row>
    <row r="47" spans="1:43" x14ac:dyDescent="0.2">
      <c r="A47" s="16"/>
      <c r="B47" s="12"/>
      <c r="C47" s="12"/>
      <c r="D47" s="12"/>
      <c r="E47" s="12"/>
      <c r="F47" s="12"/>
      <c r="G47" s="12"/>
      <c r="H47" s="12"/>
      <c r="I47" s="7"/>
      <c r="J47" s="7"/>
      <c r="K47" s="7"/>
    </row>
    <row r="48" spans="1:43" x14ac:dyDescent="0.2">
      <c r="A48" s="16"/>
      <c r="B48" s="12"/>
      <c r="C48" s="12"/>
      <c r="D48" s="12"/>
      <c r="E48" s="12"/>
      <c r="F48" s="12"/>
      <c r="G48" s="12"/>
      <c r="H48" s="12"/>
      <c r="I48" s="7"/>
      <c r="J48" s="7"/>
      <c r="K48" s="7"/>
    </row>
    <row r="49" spans="1:11" x14ac:dyDescent="0.2">
      <c r="A49" s="16"/>
      <c r="B49" s="12"/>
      <c r="C49" s="12"/>
      <c r="D49" s="12"/>
      <c r="E49" s="12"/>
      <c r="F49" s="12"/>
      <c r="G49" s="12"/>
      <c r="H49" s="12"/>
      <c r="I49" s="7"/>
      <c r="J49" s="7"/>
      <c r="K49" s="7"/>
    </row>
    <row r="50" spans="1:11" x14ac:dyDescent="0.2">
      <c r="A50" s="16"/>
      <c r="B50" s="12"/>
      <c r="C50" s="12"/>
      <c r="D50" s="12"/>
      <c r="E50" s="12"/>
      <c r="F50" s="12"/>
      <c r="G50" s="12"/>
      <c r="H50" s="12"/>
      <c r="I50" s="7"/>
      <c r="J50" s="7"/>
      <c r="K50" s="7"/>
    </row>
    <row r="51" spans="1:11" x14ac:dyDescent="0.2">
      <c r="A51" s="16"/>
      <c r="B51" s="12"/>
      <c r="C51" s="12"/>
      <c r="D51" s="12"/>
      <c r="E51" s="12"/>
      <c r="F51" s="12"/>
      <c r="G51" s="12"/>
      <c r="H51" s="12"/>
      <c r="I51" s="7"/>
      <c r="J51" s="7"/>
      <c r="K51" s="7"/>
    </row>
    <row r="52" spans="1:11" x14ac:dyDescent="0.2">
      <c r="A52" s="16"/>
      <c r="B52" s="12"/>
      <c r="C52" s="12"/>
      <c r="D52" s="12"/>
      <c r="E52" s="12"/>
      <c r="F52" s="12"/>
      <c r="G52" s="12"/>
      <c r="H52" s="12"/>
      <c r="I52" s="7"/>
      <c r="J52" s="7"/>
      <c r="K52" s="7"/>
    </row>
    <row r="53" spans="1:11" x14ac:dyDescent="0.2">
      <c r="A53" s="16"/>
      <c r="B53" s="12"/>
      <c r="C53" s="12"/>
      <c r="D53" s="12"/>
      <c r="E53" s="12"/>
      <c r="F53" s="12"/>
      <c r="G53" s="12"/>
      <c r="H53" s="12"/>
      <c r="I53" s="7"/>
      <c r="J53" s="7"/>
      <c r="K53" s="7"/>
    </row>
    <row r="54" spans="1:11" x14ac:dyDescent="0.2">
      <c r="A54" s="16"/>
      <c r="B54" s="12"/>
      <c r="C54" s="12"/>
      <c r="D54" s="12"/>
      <c r="E54" s="12"/>
      <c r="F54" s="12"/>
      <c r="G54" s="12"/>
      <c r="H54" s="12"/>
      <c r="I54" s="7"/>
      <c r="J54" s="7"/>
      <c r="K54" s="7"/>
    </row>
    <row r="55" spans="1:11" x14ac:dyDescent="0.2">
      <c r="A55" s="16"/>
      <c r="B55" s="12"/>
      <c r="C55" s="12"/>
      <c r="D55" s="12"/>
      <c r="E55" s="12"/>
      <c r="F55" s="12"/>
      <c r="G55" s="12"/>
      <c r="H55" s="12"/>
      <c r="I55" s="7"/>
      <c r="J55" s="7"/>
      <c r="K55" s="7"/>
    </row>
    <row r="56" spans="1:11" x14ac:dyDescent="0.2">
      <c r="A56" s="16"/>
      <c r="B56" s="12"/>
      <c r="C56" s="12"/>
      <c r="D56" s="12"/>
      <c r="E56" s="12"/>
      <c r="F56" s="12"/>
      <c r="G56" s="12"/>
      <c r="H56" s="12"/>
      <c r="I56" s="7"/>
      <c r="J56" s="7"/>
      <c r="K56" s="7"/>
    </row>
    <row r="57" spans="1:11" x14ac:dyDescent="0.2">
      <c r="A57" s="16"/>
      <c r="B57" s="12"/>
      <c r="C57" s="12"/>
      <c r="D57" s="12"/>
      <c r="E57" s="12"/>
      <c r="F57" s="12"/>
      <c r="G57" s="12"/>
      <c r="H57" s="12"/>
      <c r="I57" s="7"/>
      <c r="J57" s="7"/>
      <c r="K57" s="7"/>
    </row>
    <row r="58" spans="1:11" x14ac:dyDescent="0.2">
      <c r="A58" s="16"/>
      <c r="B58" s="12"/>
      <c r="C58" s="12"/>
      <c r="D58" s="12"/>
      <c r="E58" s="12"/>
      <c r="F58" s="12"/>
      <c r="G58" s="12"/>
      <c r="H58" s="12"/>
      <c r="I58" s="7"/>
      <c r="J58" s="7"/>
      <c r="K58" s="7"/>
    </row>
    <row r="59" spans="1:11" x14ac:dyDescent="0.2">
      <c r="A59" s="16"/>
      <c r="B59" s="12"/>
      <c r="C59" s="12"/>
      <c r="D59" s="12"/>
      <c r="E59" s="12"/>
      <c r="F59" s="12"/>
      <c r="G59" s="12"/>
      <c r="H59" s="12"/>
      <c r="I59" s="7"/>
      <c r="J59" s="7"/>
      <c r="K59" s="7"/>
    </row>
    <row r="60" spans="1:11" x14ac:dyDescent="0.2">
      <c r="A60" s="16"/>
      <c r="B60" s="12"/>
      <c r="C60" s="12"/>
      <c r="D60" s="12"/>
      <c r="E60" s="12"/>
      <c r="F60" s="12"/>
      <c r="G60" s="12"/>
      <c r="H60" s="12"/>
      <c r="I60" s="7"/>
      <c r="J60" s="7"/>
      <c r="K60" s="7"/>
    </row>
    <row r="61" spans="1:11" x14ac:dyDescent="0.2">
      <c r="A61" s="16"/>
      <c r="B61" s="12"/>
      <c r="C61" s="12"/>
      <c r="D61" s="12"/>
      <c r="E61" s="12"/>
      <c r="F61" s="12"/>
      <c r="G61" s="12"/>
      <c r="H61" s="12"/>
      <c r="I61" s="7"/>
      <c r="J61" s="7"/>
      <c r="K61" s="7"/>
    </row>
    <row r="62" spans="1:11" x14ac:dyDescent="0.2">
      <c r="A62" s="16"/>
      <c r="B62" s="12"/>
      <c r="C62" s="12"/>
      <c r="D62" s="12"/>
      <c r="E62" s="12"/>
      <c r="F62" s="12"/>
      <c r="G62" s="12"/>
      <c r="H62" s="12"/>
      <c r="I62" s="7"/>
      <c r="J62" s="7"/>
      <c r="K62" s="7"/>
    </row>
    <row r="63" spans="1:11" x14ac:dyDescent="0.2">
      <c r="A63" s="16"/>
      <c r="B63" s="12"/>
      <c r="C63" s="12"/>
      <c r="D63" s="12"/>
      <c r="E63" s="12"/>
      <c r="F63" s="12"/>
      <c r="G63" s="12"/>
      <c r="H63" s="12"/>
      <c r="I63" s="7"/>
      <c r="J63" s="7"/>
      <c r="K63" s="7"/>
    </row>
    <row r="64" spans="1:11" x14ac:dyDescent="0.2">
      <c r="A64" s="16"/>
      <c r="B64" s="12"/>
      <c r="C64" s="12"/>
      <c r="D64" s="12"/>
      <c r="E64" s="12"/>
      <c r="F64" s="12"/>
      <c r="G64" s="12"/>
      <c r="H64" s="12"/>
      <c r="I64" s="7"/>
      <c r="J64" s="7"/>
      <c r="K64" s="7"/>
    </row>
    <row r="65" spans="1:11" x14ac:dyDescent="0.2">
      <c r="A65" s="16"/>
      <c r="B65" s="12"/>
      <c r="C65" s="12"/>
      <c r="D65" s="12"/>
      <c r="E65" s="12"/>
      <c r="F65" s="12"/>
      <c r="G65" s="12"/>
      <c r="H65" s="12"/>
      <c r="I65" s="7"/>
      <c r="J65" s="7"/>
      <c r="K65" s="7"/>
    </row>
    <row r="66" spans="1:11" x14ac:dyDescent="0.2">
      <c r="A66" s="16"/>
      <c r="B66" s="12"/>
      <c r="C66" s="12"/>
      <c r="D66" s="12"/>
      <c r="E66" s="12"/>
      <c r="F66" s="12"/>
      <c r="G66" s="12"/>
      <c r="H66" s="12"/>
      <c r="I66" s="7"/>
      <c r="J66" s="7"/>
      <c r="K66" s="7"/>
    </row>
    <row r="67" spans="1:11" x14ac:dyDescent="0.2">
      <c r="A67" s="16"/>
      <c r="B67" s="12"/>
      <c r="C67" s="12"/>
      <c r="D67" s="12"/>
      <c r="E67" s="12"/>
      <c r="F67" s="12"/>
      <c r="G67" s="12"/>
      <c r="H67" s="12"/>
      <c r="I67" s="7"/>
      <c r="J67" s="7"/>
      <c r="K67" s="7"/>
    </row>
    <row r="68" spans="1:11" x14ac:dyDescent="0.2">
      <c r="A68" s="16"/>
      <c r="B68" s="12"/>
      <c r="C68" s="12"/>
      <c r="D68" s="12"/>
      <c r="E68" s="12"/>
      <c r="F68" s="12"/>
      <c r="G68" s="12"/>
      <c r="H68" s="12"/>
      <c r="I68" s="7"/>
      <c r="J68" s="7"/>
      <c r="K68" s="7"/>
    </row>
    <row r="69" spans="1:11" x14ac:dyDescent="0.2">
      <c r="A69" s="16"/>
      <c r="B69" s="12"/>
      <c r="C69" s="12"/>
      <c r="D69" s="12"/>
      <c r="E69" s="12"/>
      <c r="F69" s="12"/>
      <c r="G69" s="12"/>
      <c r="H69" s="12"/>
      <c r="I69" s="7"/>
      <c r="J69" s="7"/>
      <c r="K69" s="7"/>
    </row>
    <row r="70" spans="1:11" x14ac:dyDescent="0.2">
      <c r="A70" s="16"/>
      <c r="B70" s="12"/>
      <c r="C70" s="12"/>
      <c r="D70" s="12"/>
      <c r="E70" s="12"/>
      <c r="F70" s="12"/>
      <c r="G70" s="12"/>
      <c r="H70" s="12"/>
      <c r="I70" s="7"/>
      <c r="J70" s="7"/>
      <c r="K70" s="7"/>
    </row>
    <row r="71" spans="1:11" x14ac:dyDescent="0.2">
      <c r="A71" s="16"/>
      <c r="B71" s="12"/>
      <c r="C71" s="12"/>
      <c r="D71" s="12"/>
      <c r="E71" s="12"/>
      <c r="F71" s="12"/>
      <c r="G71" s="12"/>
      <c r="H71" s="12"/>
      <c r="I71" s="7"/>
      <c r="J71" s="7"/>
      <c r="K71" s="7"/>
    </row>
    <row r="72" spans="1:11" x14ac:dyDescent="0.2">
      <c r="A72" s="16"/>
      <c r="B72" s="12"/>
      <c r="C72" s="12"/>
      <c r="D72" s="12"/>
      <c r="E72" s="12"/>
      <c r="F72" s="12"/>
      <c r="G72" s="12"/>
      <c r="H72" s="12"/>
      <c r="I72" s="7"/>
      <c r="J72" s="7"/>
      <c r="K72" s="7"/>
    </row>
    <row r="73" spans="1:11" x14ac:dyDescent="0.2">
      <c r="A73" s="16"/>
      <c r="B73" s="12"/>
      <c r="C73" s="12"/>
      <c r="D73" s="12"/>
      <c r="E73" s="12"/>
      <c r="F73" s="12"/>
      <c r="G73" s="12"/>
      <c r="H73" s="12"/>
      <c r="I73" s="7"/>
      <c r="J73" s="7"/>
      <c r="K73" s="7"/>
    </row>
    <row r="74" spans="1:11" x14ac:dyDescent="0.2">
      <c r="A74" s="16"/>
      <c r="B74" s="12"/>
      <c r="C74" s="12"/>
      <c r="D74" s="12"/>
      <c r="E74" s="12"/>
      <c r="F74" s="12"/>
      <c r="G74" s="12"/>
      <c r="H74" s="12"/>
      <c r="I74" s="7"/>
      <c r="J74" s="7"/>
      <c r="K74" s="7"/>
    </row>
    <row r="75" spans="1:11" x14ac:dyDescent="0.2">
      <c r="A75" s="16"/>
      <c r="B75" s="12"/>
      <c r="C75" s="12"/>
      <c r="D75" s="12"/>
      <c r="E75" s="12"/>
      <c r="F75" s="12"/>
      <c r="G75" s="12"/>
      <c r="H75" s="12"/>
      <c r="I75" s="7"/>
      <c r="J75" s="7"/>
      <c r="K75" s="7"/>
    </row>
    <row r="76" spans="1:11" x14ac:dyDescent="0.2">
      <c r="A76" s="16"/>
      <c r="B76" s="12"/>
      <c r="C76" s="12"/>
      <c r="D76" s="12"/>
      <c r="E76" s="12"/>
      <c r="F76" s="12"/>
      <c r="G76" s="12"/>
      <c r="H76" s="12"/>
      <c r="I76" s="7"/>
      <c r="J76" s="7"/>
      <c r="K76" s="7"/>
    </row>
    <row r="77" spans="1:11" x14ac:dyDescent="0.2">
      <c r="A77" s="16"/>
      <c r="B77" s="12"/>
      <c r="C77" s="12"/>
      <c r="D77" s="12"/>
      <c r="E77" s="12"/>
      <c r="F77" s="12"/>
      <c r="G77" s="12"/>
      <c r="H77" s="12"/>
      <c r="I77" s="7"/>
      <c r="J77" s="7"/>
      <c r="K77" s="7"/>
    </row>
    <row r="78" spans="1:11" x14ac:dyDescent="0.2">
      <c r="A78" s="16"/>
      <c r="B78" s="12"/>
      <c r="C78" s="12"/>
      <c r="D78" s="12"/>
      <c r="E78" s="12"/>
      <c r="F78" s="12"/>
      <c r="G78" s="12"/>
      <c r="H78" s="12"/>
      <c r="I78" s="7"/>
      <c r="J78" s="7"/>
      <c r="K78" s="7"/>
    </row>
    <row r="79" spans="1:11" x14ac:dyDescent="0.2">
      <c r="A79" s="16"/>
      <c r="B79" s="12"/>
      <c r="C79" s="12"/>
      <c r="D79" s="12"/>
      <c r="E79" s="12"/>
      <c r="F79" s="12"/>
      <c r="G79" s="12"/>
      <c r="H79" s="12"/>
      <c r="I79" s="7"/>
      <c r="J79" s="7"/>
      <c r="K79" s="7"/>
    </row>
    <row r="80" spans="1:11" x14ac:dyDescent="0.2">
      <c r="A80" s="16"/>
      <c r="B80" s="12"/>
      <c r="C80" s="12"/>
      <c r="D80" s="12"/>
      <c r="E80" s="12"/>
      <c r="F80" s="12"/>
      <c r="G80" s="12"/>
      <c r="H80" s="12"/>
      <c r="I80" s="7"/>
      <c r="J80" s="7"/>
      <c r="K80" s="7"/>
    </row>
    <row r="81" spans="1:11" x14ac:dyDescent="0.2">
      <c r="A81" s="16"/>
      <c r="B81" s="12"/>
      <c r="C81" s="12"/>
      <c r="D81" s="12"/>
      <c r="E81" s="12"/>
      <c r="F81" s="12"/>
      <c r="G81" s="12"/>
      <c r="H81" s="12"/>
      <c r="I81" s="7"/>
      <c r="J81" s="7"/>
      <c r="K81" s="7"/>
    </row>
    <row r="82" spans="1:11" x14ac:dyDescent="0.2">
      <c r="A82" s="16"/>
      <c r="B82" s="12"/>
      <c r="C82" s="12"/>
      <c r="D82" s="12"/>
      <c r="E82" s="12"/>
      <c r="F82" s="12"/>
      <c r="G82" s="12"/>
      <c r="H82" s="12"/>
      <c r="I82" s="7"/>
      <c r="J82" s="7"/>
      <c r="K82" s="7"/>
    </row>
    <row r="83" spans="1:11" x14ac:dyDescent="0.2">
      <c r="A83" s="16"/>
      <c r="B83" s="12"/>
      <c r="C83" s="12"/>
      <c r="D83" s="12"/>
      <c r="E83" s="12"/>
      <c r="F83" s="12"/>
      <c r="G83" s="12"/>
      <c r="H83" s="12"/>
      <c r="I83" s="7"/>
      <c r="J83" s="7"/>
      <c r="K83" s="7"/>
    </row>
    <row r="84" spans="1:11" x14ac:dyDescent="0.2">
      <c r="A84" s="16"/>
      <c r="B84" s="12"/>
      <c r="C84" s="12"/>
      <c r="D84" s="12"/>
      <c r="E84" s="12"/>
      <c r="F84" s="12"/>
      <c r="G84" s="12"/>
      <c r="H84" s="12"/>
      <c r="I84" s="7"/>
      <c r="J84" s="7"/>
      <c r="K84" s="7"/>
    </row>
    <row r="85" spans="1:11" x14ac:dyDescent="0.2">
      <c r="A85" s="16"/>
      <c r="B85" s="12"/>
      <c r="C85" s="12"/>
      <c r="D85" s="12"/>
      <c r="E85" s="12"/>
      <c r="F85" s="12"/>
      <c r="G85" s="12"/>
      <c r="H85" s="12"/>
      <c r="I85" s="7"/>
      <c r="J85" s="7"/>
      <c r="K85" s="7"/>
    </row>
    <row r="86" spans="1:11" x14ac:dyDescent="0.2">
      <c r="A86" s="16"/>
      <c r="B86" s="12"/>
      <c r="C86" s="12"/>
      <c r="D86" s="12"/>
      <c r="E86" s="12"/>
      <c r="F86" s="12"/>
      <c r="G86" s="12"/>
      <c r="H86" s="12"/>
      <c r="I86" s="7"/>
      <c r="J86" s="7"/>
      <c r="K86" s="7"/>
    </row>
    <row r="87" spans="1:11" x14ac:dyDescent="0.2">
      <c r="A87" s="16"/>
      <c r="B87" s="12"/>
      <c r="C87" s="12"/>
      <c r="D87" s="12"/>
      <c r="E87" s="12"/>
      <c r="F87" s="12"/>
      <c r="G87" s="12"/>
      <c r="H87" s="12"/>
      <c r="I87" s="7"/>
      <c r="J87" s="7"/>
      <c r="K87" s="7"/>
    </row>
    <row r="88" spans="1:11" x14ac:dyDescent="0.2">
      <c r="A88" s="16"/>
      <c r="B88" s="12"/>
      <c r="C88" s="12"/>
      <c r="D88" s="12"/>
      <c r="E88" s="12"/>
      <c r="F88" s="12"/>
      <c r="G88" s="12"/>
      <c r="H88" s="12"/>
      <c r="I88" s="7"/>
      <c r="J88" s="7"/>
      <c r="K88" s="7"/>
    </row>
    <row r="89" spans="1:11" x14ac:dyDescent="0.2">
      <c r="A89" s="16"/>
      <c r="B89" s="12"/>
      <c r="C89" s="12"/>
      <c r="D89" s="12"/>
      <c r="E89" s="12"/>
      <c r="F89" s="12"/>
      <c r="G89" s="12"/>
      <c r="H89" s="12"/>
      <c r="I89" s="7"/>
      <c r="J89" s="7"/>
      <c r="K89" s="7"/>
    </row>
    <row r="90" spans="1:11" x14ac:dyDescent="0.2">
      <c r="A90" s="16"/>
      <c r="B90" s="12"/>
      <c r="C90" s="12"/>
      <c r="D90" s="12"/>
      <c r="E90" s="12"/>
      <c r="F90" s="12"/>
      <c r="G90" s="12"/>
      <c r="H90" s="12"/>
      <c r="I90" s="7"/>
      <c r="J90" s="7"/>
      <c r="K90" s="7"/>
    </row>
    <row r="91" spans="1:11" x14ac:dyDescent="0.2">
      <c r="A91" s="16"/>
      <c r="B91" s="12"/>
      <c r="C91" s="12"/>
      <c r="D91" s="12"/>
      <c r="E91" s="12"/>
      <c r="F91" s="12"/>
      <c r="G91" s="12"/>
      <c r="H91" s="12"/>
      <c r="I91" s="7"/>
      <c r="J91" s="7"/>
      <c r="K91" s="7"/>
    </row>
    <row r="92" spans="1:11" x14ac:dyDescent="0.2">
      <c r="A92" s="16"/>
      <c r="B92" s="12"/>
      <c r="C92" s="12"/>
      <c r="D92" s="12"/>
      <c r="E92" s="12"/>
      <c r="F92" s="12"/>
      <c r="G92" s="12"/>
      <c r="H92" s="12"/>
      <c r="I92" s="7"/>
      <c r="J92" s="7"/>
      <c r="K92" s="7"/>
    </row>
    <row r="93" spans="1:11" x14ac:dyDescent="0.2">
      <c r="A93" s="16"/>
      <c r="B93" s="12"/>
      <c r="C93" s="12"/>
      <c r="D93" s="12"/>
      <c r="E93" s="12"/>
      <c r="F93" s="12"/>
      <c r="G93" s="12"/>
      <c r="H93" s="12"/>
      <c r="I93" s="7"/>
      <c r="J93" s="7"/>
      <c r="K93" s="7"/>
    </row>
    <row r="94" spans="1:11" x14ac:dyDescent="0.2">
      <c r="A94" s="16"/>
      <c r="B94" s="12"/>
      <c r="C94" s="12"/>
      <c r="D94" s="12"/>
      <c r="E94" s="12"/>
      <c r="F94" s="12"/>
      <c r="G94" s="12"/>
      <c r="H94" s="12"/>
      <c r="I94" s="7"/>
      <c r="J94" s="7"/>
      <c r="K94" s="7"/>
    </row>
    <row r="95" spans="1:11" x14ac:dyDescent="0.2">
      <c r="A95" s="16"/>
      <c r="B95" s="12"/>
      <c r="C95" s="12"/>
      <c r="D95" s="12"/>
      <c r="E95" s="12"/>
      <c r="F95" s="12"/>
      <c r="G95" s="12"/>
      <c r="H95" s="12"/>
      <c r="I95" s="7"/>
      <c r="J95" s="7"/>
      <c r="K95" s="7"/>
    </row>
    <row r="96" spans="1:11" x14ac:dyDescent="0.2">
      <c r="A96" s="16"/>
      <c r="B96" s="12"/>
      <c r="C96" s="12"/>
      <c r="D96" s="12"/>
      <c r="E96" s="12"/>
      <c r="F96" s="12"/>
      <c r="G96" s="12"/>
      <c r="H96" s="12"/>
      <c r="I96" s="7"/>
      <c r="J96" s="7"/>
      <c r="K96" s="7"/>
    </row>
    <row r="97" spans="1:11" x14ac:dyDescent="0.2">
      <c r="A97" s="16"/>
      <c r="B97" s="12"/>
      <c r="C97" s="12"/>
      <c r="D97" s="12"/>
      <c r="E97" s="12"/>
      <c r="F97" s="12"/>
      <c r="G97" s="12"/>
      <c r="H97" s="12"/>
      <c r="I97" s="7"/>
      <c r="J97" s="7"/>
      <c r="K97" s="7"/>
    </row>
    <row r="98" spans="1:11" x14ac:dyDescent="0.2">
      <c r="A98" s="16"/>
      <c r="B98" s="12"/>
      <c r="C98" s="12"/>
      <c r="D98" s="12"/>
      <c r="E98" s="12"/>
      <c r="F98" s="12"/>
      <c r="G98" s="12"/>
      <c r="H98" s="12"/>
      <c r="I98" s="7"/>
      <c r="J98" s="7"/>
      <c r="K98" s="7"/>
    </row>
    <row r="99" spans="1:11" x14ac:dyDescent="0.2">
      <c r="A99" s="16"/>
      <c r="B99" s="12"/>
      <c r="C99" s="12"/>
      <c r="D99" s="12"/>
      <c r="E99" s="12"/>
      <c r="F99" s="12"/>
      <c r="G99" s="12"/>
      <c r="H99" s="12"/>
      <c r="I99" s="7"/>
      <c r="J99" s="7"/>
      <c r="K99" s="7"/>
    </row>
    <row r="100" spans="1:11" x14ac:dyDescent="0.2">
      <c r="A100" s="16"/>
      <c r="B100" s="12"/>
      <c r="C100" s="12"/>
      <c r="D100" s="12"/>
      <c r="E100" s="12"/>
      <c r="F100" s="12"/>
      <c r="G100" s="12"/>
      <c r="H100" s="12"/>
      <c r="I100" s="7"/>
      <c r="J100" s="7"/>
      <c r="K100" s="7"/>
    </row>
    <row r="101" spans="1:11" x14ac:dyDescent="0.2">
      <c r="A101" s="16"/>
      <c r="B101" s="12"/>
      <c r="C101" s="12"/>
      <c r="D101" s="12"/>
      <c r="E101" s="12"/>
      <c r="F101" s="12"/>
      <c r="G101" s="12"/>
      <c r="H101" s="12"/>
      <c r="I101" s="7"/>
      <c r="J101" s="7"/>
      <c r="K101" s="7"/>
    </row>
    <row r="102" spans="1:11" x14ac:dyDescent="0.2">
      <c r="A102" s="16"/>
      <c r="B102" s="12"/>
      <c r="C102" s="12"/>
      <c r="D102" s="12"/>
      <c r="E102" s="12"/>
      <c r="F102" s="12"/>
      <c r="G102" s="12"/>
      <c r="H102" s="12"/>
      <c r="I102" s="7"/>
      <c r="J102" s="7"/>
      <c r="K102" s="7"/>
    </row>
    <row r="103" spans="1:11" x14ac:dyDescent="0.2">
      <c r="A103" s="16"/>
      <c r="B103" s="12"/>
      <c r="C103" s="12"/>
      <c r="D103" s="12"/>
      <c r="E103" s="12"/>
      <c r="F103" s="12"/>
      <c r="G103" s="12"/>
      <c r="H103" s="12"/>
      <c r="I103" s="7"/>
      <c r="J103" s="7"/>
      <c r="K103" s="7"/>
    </row>
    <row r="104" spans="1:11" x14ac:dyDescent="0.2">
      <c r="A104" s="16"/>
      <c r="B104" s="12"/>
      <c r="C104" s="12"/>
      <c r="D104" s="12"/>
      <c r="E104" s="12"/>
      <c r="F104" s="12"/>
      <c r="G104" s="12"/>
      <c r="H104" s="12"/>
      <c r="I104" s="7"/>
      <c r="J104" s="7"/>
      <c r="K104" s="7"/>
    </row>
    <row r="105" spans="1:11" x14ac:dyDescent="0.2">
      <c r="A105" s="16"/>
      <c r="B105" s="12"/>
      <c r="C105" s="12"/>
      <c r="D105" s="12"/>
      <c r="E105" s="12"/>
      <c r="F105" s="12"/>
      <c r="G105" s="12"/>
      <c r="H105" s="12"/>
      <c r="I105" s="7"/>
      <c r="J105" s="7"/>
      <c r="K105" s="7"/>
    </row>
    <row r="106" spans="1:11" x14ac:dyDescent="0.2">
      <c r="A106" s="16"/>
      <c r="B106" s="12"/>
      <c r="C106" s="12"/>
      <c r="D106" s="12"/>
      <c r="E106" s="12"/>
      <c r="F106" s="12"/>
      <c r="G106" s="12"/>
      <c r="H106" s="12"/>
      <c r="I106" s="7"/>
      <c r="J106" s="7"/>
      <c r="K106" s="7"/>
    </row>
    <row r="107" spans="1:11" x14ac:dyDescent="0.2">
      <c r="A107" s="16"/>
      <c r="B107" s="12"/>
      <c r="C107" s="12"/>
      <c r="D107" s="12"/>
      <c r="E107" s="12"/>
      <c r="F107" s="12"/>
      <c r="G107" s="12"/>
      <c r="H107" s="12"/>
      <c r="I107" s="7"/>
      <c r="J107" s="7"/>
      <c r="K107" s="7"/>
    </row>
    <row r="108" spans="1:11" x14ac:dyDescent="0.2">
      <c r="A108" s="16"/>
      <c r="B108" s="12"/>
      <c r="C108" s="12"/>
      <c r="D108" s="12"/>
      <c r="E108" s="12"/>
      <c r="F108" s="12"/>
      <c r="G108" s="12"/>
      <c r="H108" s="12"/>
      <c r="I108" s="7"/>
      <c r="J108" s="7"/>
      <c r="K108" s="7"/>
    </row>
    <row r="109" spans="1:11" x14ac:dyDescent="0.2">
      <c r="A109" s="16"/>
      <c r="B109" s="12"/>
      <c r="C109" s="12"/>
      <c r="D109" s="12"/>
      <c r="E109" s="12"/>
      <c r="F109" s="12"/>
      <c r="G109" s="12"/>
      <c r="H109" s="12"/>
      <c r="I109" s="7"/>
      <c r="J109" s="7"/>
      <c r="K109" s="7"/>
    </row>
    <row r="110" spans="1:11" x14ac:dyDescent="0.2">
      <c r="A110" s="16"/>
      <c r="B110" s="12"/>
      <c r="C110" s="12"/>
      <c r="D110" s="12"/>
      <c r="E110" s="12"/>
      <c r="F110" s="12"/>
      <c r="G110" s="12"/>
      <c r="H110" s="12"/>
      <c r="I110" s="7"/>
      <c r="J110" s="7"/>
      <c r="K110" s="7"/>
    </row>
    <row r="111" spans="1:11" x14ac:dyDescent="0.2">
      <c r="A111" s="16"/>
      <c r="B111" s="12"/>
      <c r="C111" s="12"/>
      <c r="D111" s="12"/>
      <c r="E111" s="12"/>
      <c r="F111" s="12"/>
      <c r="G111" s="12"/>
      <c r="H111" s="12"/>
      <c r="I111" s="7"/>
      <c r="J111" s="7"/>
      <c r="K111" s="7"/>
    </row>
    <row r="112" spans="1:11" x14ac:dyDescent="0.2">
      <c r="A112" s="16"/>
      <c r="B112" s="12"/>
      <c r="C112" s="12"/>
      <c r="D112" s="12"/>
      <c r="E112" s="12"/>
      <c r="F112" s="12"/>
      <c r="G112" s="12"/>
      <c r="H112" s="12"/>
      <c r="I112" s="7"/>
      <c r="J112" s="7"/>
      <c r="K112" s="7"/>
    </row>
    <row r="113" spans="1:11" x14ac:dyDescent="0.2">
      <c r="A113" s="16"/>
      <c r="B113" s="12"/>
      <c r="C113" s="12"/>
      <c r="D113" s="12"/>
      <c r="E113" s="12"/>
      <c r="F113" s="12"/>
      <c r="G113" s="12"/>
      <c r="H113" s="12"/>
      <c r="I113" s="7"/>
      <c r="J113" s="7"/>
      <c r="K113" s="7"/>
    </row>
    <row r="114" spans="1:11" x14ac:dyDescent="0.2">
      <c r="A114" s="16"/>
      <c r="B114" s="12"/>
      <c r="C114" s="12"/>
      <c r="D114" s="12"/>
      <c r="E114" s="12"/>
      <c r="F114" s="12"/>
      <c r="G114" s="12"/>
      <c r="H114" s="12"/>
      <c r="I114" s="7"/>
      <c r="J114" s="7"/>
      <c r="K114" s="7"/>
    </row>
    <row r="115" spans="1:11" x14ac:dyDescent="0.2">
      <c r="A115" s="16"/>
      <c r="B115" s="12"/>
      <c r="C115" s="12"/>
      <c r="D115" s="12"/>
      <c r="E115" s="12"/>
      <c r="F115" s="12"/>
      <c r="G115" s="12"/>
      <c r="H115" s="12"/>
      <c r="I115" s="7"/>
      <c r="J115" s="7"/>
      <c r="K115" s="7"/>
    </row>
    <row r="116" spans="1:11" x14ac:dyDescent="0.2">
      <c r="A116" s="16"/>
      <c r="B116" s="12"/>
      <c r="C116" s="12"/>
      <c r="D116" s="12"/>
      <c r="E116" s="12"/>
      <c r="F116" s="12"/>
      <c r="G116" s="12"/>
      <c r="H116" s="12"/>
      <c r="I116" s="7"/>
      <c r="J116" s="7"/>
      <c r="K116" s="7"/>
    </row>
    <row r="117" spans="1:11" x14ac:dyDescent="0.2">
      <c r="A117" s="16"/>
      <c r="B117" s="12"/>
      <c r="C117" s="12"/>
      <c r="D117" s="12"/>
      <c r="E117" s="12"/>
      <c r="F117" s="12"/>
      <c r="G117" s="12"/>
      <c r="H117" s="12"/>
      <c r="I117" s="7"/>
      <c r="J117" s="7"/>
      <c r="K117" s="7"/>
    </row>
    <row r="118" spans="1:11" x14ac:dyDescent="0.2">
      <c r="A118" s="16"/>
      <c r="B118" s="12"/>
      <c r="C118" s="12"/>
      <c r="D118" s="12"/>
      <c r="E118" s="12"/>
      <c r="F118" s="12"/>
      <c r="G118" s="12"/>
      <c r="H118" s="12"/>
      <c r="I118" s="7"/>
      <c r="J118" s="7"/>
      <c r="K118" s="7"/>
    </row>
    <row r="119" spans="1:11" x14ac:dyDescent="0.2">
      <c r="A119" s="16"/>
      <c r="B119" s="12"/>
      <c r="C119" s="12"/>
      <c r="D119" s="12"/>
      <c r="E119" s="12"/>
      <c r="F119" s="12"/>
      <c r="G119" s="12"/>
      <c r="H119" s="12"/>
      <c r="I119" s="7"/>
      <c r="J119" s="7"/>
      <c r="K119" s="7"/>
    </row>
    <row r="120" spans="1:11" x14ac:dyDescent="0.2">
      <c r="A120" s="16"/>
      <c r="B120" s="12"/>
      <c r="C120" s="12"/>
      <c r="D120" s="12"/>
      <c r="E120" s="12"/>
      <c r="F120" s="12"/>
      <c r="G120" s="12"/>
      <c r="H120" s="12"/>
      <c r="I120" s="7"/>
      <c r="J120" s="7"/>
      <c r="K120" s="7"/>
    </row>
    <row r="121" spans="1:11" x14ac:dyDescent="0.2">
      <c r="A121" s="16"/>
      <c r="B121" s="12"/>
      <c r="C121" s="12"/>
      <c r="D121" s="12"/>
      <c r="E121" s="12"/>
      <c r="F121" s="12"/>
      <c r="G121" s="12"/>
      <c r="H121" s="12"/>
      <c r="I121" s="7"/>
      <c r="J121" s="7"/>
      <c r="K121" s="7"/>
    </row>
    <row r="122" spans="1:11" x14ac:dyDescent="0.2">
      <c r="A122" s="16"/>
      <c r="B122" s="12"/>
      <c r="C122" s="12"/>
      <c r="D122" s="12"/>
      <c r="E122" s="12"/>
      <c r="F122" s="12"/>
      <c r="G122" s="12"/>
      <c r="H122" s="12"/>
      <c r="I122" s="7"/>
      <c r="J122" s="7"/>
      <c r="K122" s="7"/>
    </row>
    <row r="123" spans="1:11" x14ac:dyDescent="0.2">
      <c r="A123" s="16"/>
      <c r="B123" s="12"/>
      <c r="C123" s="12"/>
      <c r="D123" s="12"/>
      <c r="E123" s="12"/>
      <c r="F123" s="12"/>
      <c r="G123" s="12"/>
      <c r="H123" s="12"/>
      <c r="I123" s="7"/>
      <c r="J123" s="7"/>
      <c r="K123" s="7"/>
    </row>
    <row r="124" spans="1:11" x14ac:dyDescent="0.2">
      <c r="A124" s="16"/>
      <c r="B124" s="12"/>
      <c r="C124" s="12"/>
      <c r="D124" s="12"/>
      <c r="E124" s="12"/>
      <c r="F124" s="12"/>
      <c r="G124" s="12"/>
      <c r="H124" s="12"/>
      <c r="I124" s="7"/>
      <c r="J124" s="7"/>
      <c r="K124" s="7"/>
    </row>
    <row r="125" spans="1:11" x14ac:dyDescent="0.2">
      <c r="A125" s="16"/>
      <c r="B125" s="12"/>
      <c r="C125" s="12"/>
      <c r="D125" s="12"/>
      <c r="E125" s="12"/>
      <c r="F125" s="12"/>
      <c r="G125" s="12"/>
      <c r="H125" s="12"/>
      <c r="I125" s="7"/>
      <c r="J125" s="7"/>
      <c r="K125" s="7"/>
    </row>
    <row r="126" spans="1:11" x14ac:dyDescent="0.2">
      <c r="A126" s="16"/>
      <c r="B126" s="12"/>
      <c r="C126" s="12"/>
      <c r="D126" s="12"/>
      <c r="E126" s="12"/>
      <c r="F126" s="12"/>
      <c r="G126" s="12"/>
      <c r="H126" s="12"/>
      <c r="I126" s="7"/>
      <c r="J126" s="7"/>
      <c r="K126" s="7"/>
    </row>
    <row r="127" spans="1:11" x14ac:dyDescent="0.2">
      <c r="A127" s="16"/>
      <c r="B127" s="12"/>
      <c r="C127" s="12"/>
      <c r="D127" s="12"/>
      <c r="E127" s="12"/>
      <c r="F127" s="12"/>
      <c r="G127" s="12"/>
      <c r="H127" s="12"/>
      <c r="I127" s="7"/>
      <c r="J127" s="7"/>
      <c r="K127" s="7"/>
    </row>
    <row r="128" spans="1:11" x14ac:dyDescent="0.2">
      <c r="A128" s="16"/>
      <c r="B128" s="12"/>
      <c r="C128" s="12"/>
      <c r="D128" s="12"/>
      <c r="E128" s="12"/>
      <c r="F128" s="12"/>
      <c r="G128" s="12"/>
      <c r="H128" s="12"/>
      <c r="I128" s="7"/>
      <c r="J128" s="7"/>
      <c r="K128" s="7"/>
    </row>
    <row r="129" spans="1:11" x14ac:dyDescent="0.2">
      <c r="A129" s="16"/>
      <c r="B129" s="12"/>
      <c r="C129" s="12"/>
      <c r="D129" s="12"/>
      <c r="E129" s="12"/>
      <c r="F129" s="12"/>
      <c r="G129" s="12"/>
      <c r="H129" s="12"/>
      <c r="I129" s="7"/>
      <c r="J129" s="7"/>
      <c r="K129" s="7"/>
    </row>
    <row r="130" spans="1:11" x14ac:dyDescent="0.2">
      <c r="A130" s="16"/>
      <c r="B130" s="12"/>
      <c r="C130" s="12"/>
      <c r="D130" s="12"/>
      <c r="E130" s="12"/>
      <c r="F130" s="12"/>
      <c r="G130" s="12"/>
      <c r="H130" s="12"/>
      <c r="I130" s="7"/>
      <c r="J130" s="7"/>
      <c r="K130" s="7"/>
    </row>
    <row r="131" spans="1:11" x14ac:dyDescent="0.2">
      <c r="A131" s="16"/>
      <c r="B131" s="12"/>
      <c r="C131" s="12"/>
      <c r="D131" s="12"/>
      <c r="E131" s="12"/>
      <c r="F131" s="12"/>
      <c r="G131" s="12"/>
      <c r="H131" s="12"/>
      <c r="I131" s="7"/>
      <c r="J131" s="7"/>
      <c r="K131" s="7"/>
    </row>
    <row r="132" spans="1:11" x14ac:dyDescent="0.2">
      <c r="A132" s="16"/>
      <c r="B132" s="12"/>
      <c r="C132" s="12"/>
      <c r="D132" s="12"/>
      <c r="E132" s="12"/>
      <c r="F132" s="12"/>
      <c r="G132" s="12"/>
      <c r="H132" s="12"/>
      <c r="I132" s="7"/>
      <c r="J132" s="7"/>
      <c r="K132" s="7"/>
    </row>
    <row r="133" spans="1:11" x14ac:dyDescent="0.2">
      <c r="A133" s="16"/>
      <c r="B133" s="12"/>
      <c r="C133" s="12"/>
      <c r="D133" s="12"/>
      <c r="E133" s="12"/>
      <c r="F133" s="12"/>
      <c r="G133" s="12"/>
      <c r="H133" s="12"/>
      <c r="I133" s="7"/>
      <c r="J133" s="7"/>
      <c r="K133" s="7"/>
    </row>
    <row r="134" spans="1:11" x14ac:dyDescent="0.2">
      <c r="A134" s="16"/>
      <c r="B134" s="12"/>
      <c r="C134" s="12"/>
      <c r="D134" s="12"/>
      <c r="E134" s="12"/>
      <c r="F134" s="12"/>
      <c r="G134" s="12"/>
      <c r="H134" s="12"/>
      <c r="I134" s="7"/>
      <c r="J134" s="7"/>
      <c r="K134" s="7"/>
    </row>
    <row r="135" spans="1:11" x14ac:dyDescent="0.2">
      <c r="A135" s="16"/>
      <c r="B135" s="12"/>
      <c r="C135" s="12"/>
      <c r="D135" s="12"/>
      <c r="E135" s="12"/>
      <c r="F135" s="12"/>
      <c r="G135" s="12"/>
      <c r="H135" s="12"/>
      <c r="I135" s="7"/>
      <c r="J135" s="7"/>
      <c r="K135" s="7"/>
    </row>
    <row r="136" spans="1:11" x14ac:dyDescent="0.2">
      <c r="A136" s="16"/>
      <c r="B136" s="12"/>
      <c r="C136" s="12"/>
      <c r="D136" s="12"/>
      <c r="E136" s="12"/>
      <c r="F136" s="12"/>
      <c r="G136" s="12"/>
      <c r="H136" s="12"/>
      <c r="I136" s="7"/>
      <c r="J136" s="7"/>
      <c r="K136" s="7"/>
    </row>
    <row r="137" spans="1:11" x14ac:dyDescent="0.2">
      <c r="A137" s="16"/>
      <c r="B137" s="12"/>
      <c r="C137" s="12"/>
      <c r="D137" s="12"/>
      <c r="E137" s="12"/>
      <c r="F137" s="12"/>
      <c r="G137" s="12"/>
      <c r="H137" s="12"/>
      <c r="I137" s="7"/>
      <c r="J137" s="7"/>
      <c r="K137" s="7"/>
    </row>
    <row r="138" spans="1:11" x14ac:dyDescent="0.2">
      <c r="A138" s="16"/>
      <c r="B138" s="12"/>
      <c r="C138" s="12"/>
      <c r="D138" s="12"/>
      <c r="E138" s="12"/>
      <c r="F138" s="12"/>
      <c r="G138" s="12"/>
      <c r="H138" s="12"/>
      <c r="I138" s="7"/>
      <c r="J138" s="7"/>
      <c r="K138" s="7"/>
    </row>
    <row r="139" spans="1:11" x14ac:dyDescent="0.2">
      <c r="A139" s="16"/>
      <c r="B139" s="12"/>
      <c r="C139" s="12"/>
      <c r="D139" s="12"/>
      <c r="E139" s="12"/>
      <c r="F139" s="12"/>
      <c r="G139" s="12"/>
      <c r="H139" s="12"/>
      <c r="I139" s="7"/>
      <c r="J139" s="7"/>
      <c r="K139" s="7"/>
    </row>
    <row r="140" spans="1:11" x14ac:dyDescent="0.2">
      <c r="A140" s="16"/>
      <c r="B140" s="12"/>
      <c r="C140" s="12"/>
      <c r="D140" s="12"/>
      <c r="E140" s="12"/>
      <c r="F140" s="12"/>
      <c r="G140" s="12"/>
      <c r="H140" s="12"/>
      <c r="I140" s="7"/>
      <c r="J140" s="7"/>
      <c r="K140" s="7"/>
    </row>
    <row r="141" spans="1:11" x14ac:dyDescent="0.2">
      <c r="A141" s="16"/>
      <c r="B141" s="12"/>
      <c r="C141" s="12"/>
      <c r="D141" s="12"/>
      <c r="E141" s="12"/>
      <c r="F141" s="12"/>
      <c r="G141" s="12"/>
      <c r="H141" s="12"/>
      <c r="I141" s="7"/>
      <c r="J141" s="7"/>
      <c r="K141" s="7"/>
    </row>
    <row r="142" spans="1:11" x14ac:dyDescent="0.2">
      <c r="A142" s="16"/>
      <c r="B142" s="12"/>
      <c r="C142" s="12"/>
      <c r="D142" s="12"/>
      <c r="E142" s="12"/>
      <c r="F142" s="12"/>
      <c r="G142" s="12"/>
      <c r="H142" s="12"/>
      <c r="I142" s="7"/>
      <c r="J142" s="7"/>
      <c r="K142" s="7"/>
    </row>
    <row r="143" spans="1:11" x14ac:dyDescent="0.2">
      <c r="A143" s="16"/>
      <c r="B143" s="12"/>
      <c r="C143" s="12"/>
      <c r="D143" s="12"/>
      <c r="E143" s="12"/>
      <c r="F143" s="12"/>
      <c r="G143" s="12"/>
      <c r="H143" s="12"/>
      <c r="I143" s="7"/>
      <c r="J143" s="7"/>
      <c r="K143" s="7"/>
    </row>
    <row r="144" spans="1:11" x14ac:dyDescent="0.2">
      <c r="A144" s="16"/>
      <c r="B144" s="12"/>
      <c r="C144" s="12"/>
      <c r="D144" s="12"/>
      <c r="E144" s="12"/>
      <c r="F144" s="12"/>
      <c r="G144" s="12"/>
      <c r="H144" s="12"/>
      <c r="I144" s="7"/>
      <c r="J144" s="7"/>
      <c r="K144" s="7"/>
    </row>
    <row r="145" spans="1:11" x14ac:dyDescent="0.2">
      <c r="A145" s="16"/>
      <c r="B145" s="12"/>
      <c r="C145" s="12"/>
      <c r="D145" s="12"/>
      <c r="E145" s="12"/>
      <c r="F145" s="12"/>
      <c r="G145" s="12"/>
      <c r="H145" s="12"/>
      <c r="I145" s="7"/>
      <c r="J145" s="7"/>
      <c r="K145" s="7"/>
    </row>
    <row r="146" spans="1:11" x14ac:dyDescent="0.2">
      <c r="A146" s="16"/>
      <c r="B146" s="12"/>
      <c r="C146" s="12"/>
      <c r="D146" s="12"/>
      <c r="E146" s="12"/>
      <c r="F146" s="12"/>
      <c r="G146" s="12"/>
      <c r="H146" s="12"/>
      <c r="I146" s="7"/>
      <c r="J146" s="7"/>
      <c r="K146" s="7"/>
    </row>
    <row r="147" spans="1:11" x14ac:dyDescent="0.2">
      <c r="A147" s="16"/>
      <c r="B147" s="12"/>
      <c r="C147" s="12"/>
      <c r="D147" s="12"/>
      <c r="E147" s="12"/>
      <c r="F147" s="12"/>
      <c r="G147" s="12"/>
      <c r="H147" s="12"/>
      <c r="I147" s="7"/>
      <c r="J147" s="7"/>
      <c r="K147" s="7"/>
    </row>
    <row r="148" spans="1:11" x14ac:dyDescent="0.2">
      <c r="A148" s="16"/>
      <c r="B148" s="12"/>
      <c r="C148" s="12"/>
      <c r="D148" s="12"/>
      <c r="E148" s="12"/>
      <c r="F148" s="12"/>
      <c r="G148" s="12"/>
      <c r="H148" s="12"/>
      <c r="I148" s="7"/>
      <c r="J148" s="7"/>
      <c r="K148" s="7"/>
    </row>
    <row r="149" spans="1:11" x14ac:dyDescent="0.2">
      <c r="A149" s="16"/>
      <c r="B149" s="12"/>
      <c r="C149" s="12"/>
      <c r="D149" s="12"/>
      <c r="E149" s="12"/>
      <c r="F149" s="12"/>
      <c r="G149" s="12"/>
      <c r="H149" s="12"/>
      <c r="I149" s="7"/>
      <c r="J149" s="7"/>
      <c r="K149" s="7"/>
    </row>
    <row r="150" spans="1:11" x14ac:dyDescent="0.2">
      <c r="A150" s="16"/>
      <c r="B150" s="12"/>
      <c r="C150" s="12"/>
      <c r="D150" s="12"/>
      <c r="E150" s="12"/>
      <c r="F150" s="12"/>
      <c r="G150" s="12"/>
      <c r="H150" s="12"/>
      <c r="I150" s="7"/>
      <c r="J150" s="7"/>
      <c r="K150" s="7"/>
    </row>
    <row r="151" spans="1:11" x14ac:dyDescent="0.2">
      <c r="A151" s="16"/>
      <c r="B151" s="12"/>
      <c r="C151" s="12"/>
      <c r="D151" s="12"/>
      <c r="E151" s="12"/>
      <c r="F151" s="12"/>
      <c r="G151" s="12"/>
      <c r="H151" s="12"/>
      <c r="I151" s="7"/>
      <c r="J151" s="7"/>
      <c r="K151" s="7"/>
    </row>
    <row r="152" spans="1:11" x14ac:dyDescent="0.2">
      <c r="A152" s="16"/>
      <c r="B152" s="12"/>
      <c r="C152" s="12"/>
      <c r="D152" s="12"/>
      <c r="E152" s="12"/>
      <c r="F152" s="12"/>
      <c r="G152" s="12"/>
      <c r="H152" s="12"/>
      <c r="I152" s="7"/>
      <c r="J152" s="7"/>
      <c r="K152" s="7"/>
    </row>
    <row r="153" spans="1:11" x14ac:dyDescent="0.2">
      <c r="A153" s="16"/>
      <c r="B153" s="12"/>
      <c r="C153" s="12"/>
      <c r="D153" s="12"/>
      <c r="E153" s="12"/>
      <c r="F153" s="12"/>
      <c r="G153" s="12"/>
      <c r="H153" s="12"/>
      <c r="I153" s="7"/>
      <c r="J153" s="7"/>
      <c r="K153" s="7"/>
    </row>
    <row r="154" spans="1:11" x14ac:dyDescent="0.2">
      <c r="A154" s="16"/>
      <c r="B154" s="12"/>
      <c r="C154" s="12"/>
      <c r="D154" s="12"/>
      <c r="E154" s="12"/>
      <c r="F154" s="12"/>
      <c r="G154" s="12"/>
      <c r="H154" s="12"/>
      <c r="I154" s="7"/>
      <c r="J154" s="7"/>
      <c r="K154" s="7"/>
    </row>
    <row r="155" spans="1:11" x14ac:dyDescent="0.2">
      <c r="A155" s="16"/>
      <c r="B155" s="12"/>
      <c r="C155" s="12"/>
      <c r="D155" s="12"/>
      <c r="E155" s="12"/>
      <c r="F155" s="12"/>
      <c r="G155" s="12"/>
      <c r="H155" s="12"/>
      <c r="I155" s="7"/>
      <c r="J155" s="7"/>
      <c r="K155" s="7"/>
    </row>
    <row r="156" spans="1:11" x14ac:dyDescent="0.2">
      <c r="A156" s="16"/>
      <c r="B156" s="12"/>
      <c r="C156" s="12"/>
      <c r="D156" s="12"/>
      <c r="E156" s="12"/>
      <c r="F156" s="12"/>
      <c r="G156" s="12"/>
      <c r="H156" s="12"/>
      <c r="I156" s="7"/>
      <c r="J156" s="7"/>
      <c r="K156" s="7"/>
    </row>
    <row r="157" spans="1:11" x14ac:dyDescent="0.2">
      <c r="A157" s="16"/>
      <c r="B157" s="12"/>
      <c r="C157" s="12"/>
      <c r="D157" s="12"/>
      <c r="E157" s="12"/>
      <c r="F157" s="12"/>
      <c r="G157" s="12"/>
      <c r="H157" s="12"/>
      <c r="I157" s="7"/>
      <c r="J157" s="7"/>
      <c r="K157" s="7"/>
    </row>
    <row r="158" spans="1:11" x14ac:dyDescent="0.2">
      <c r="A158" s="16"/>
      <c r="B158" s="12"/>
      <c r="C158" s="12"/>
      <c r="D158" s="12"/>
      <c r="E158" s="12"/>
      <c r="F158" s="12"/>
      <c r="G158" s="12"/>
      <c r="H158" s="12"/>
      <c r="I158" s="7"/>
      <c r="J158" s="7"/>
      <c r="K158" s="7"/>
    </row>
    <row r="159" spans="1:11" x14ac:dyDescent="0.2">
      <c r="A159" s="16"/>
      <c r="B159" s="12"/>
      <c r="C159" s="12"/>
      <c r="D159" s="12"/>
      <c r="E159" s="12"/>
      <c r="F159" s="12"/>
      <c r="G159" s="12"/>
      <c r="H159" s="12"/>
      <c r="I159" s="7"/>
      <c r="J159" s="7"/>
      <c r="K159" s="7"/>
    </row>
    <row r="160" spans="1:11" x14ac:dyDescent="0.2">
      <c r="A160" s="16"/>
      <c r="B160" s="12"/>
      <c r="C160" s="12"/>
      <c r="D160" s="12"/>
      <c r="E160" s="12"/>
      <c r="F160" s="12"/>
      <c r="G160" s="12"/>
      <c r="H160" s="12"/>
      <c r="I160" s="7"/>
      <c r="J160" s="7"/>
      <c r="K160" s="7"/>
    </row>
    <row r="161" spans="1:11" x14ac:dyDescent="0.2">
      <c r="A161" s="16"/>
      <c r="B161" s="12"/>
      <c r="C161" s="12"/>
      <c r="D161" s="12"/>
      <c r="E161" s="12"/>
      <c r="F161" s="12"/>
      <c r="G161" s="12"/>
      <c r="H161" s="12"/>
      <c r="I161" s="7"/>
      <c r="J161" s="7"/>
      <c r="K161" s="7"/>
    </row>
    <row r="162" spans="1:11" x14ac:dyDescent="0.2">
      <c r="A162" s="16"/>
      <c r="B162" s="12"/>
      <c r="C162" s="12"/>
      <c r="D162" s="12"/>
      <c r="E162" s="12"/>
      <c r="F162" s="12"/>
      <c r="G162" s="12"/>
      <c r="H162" s="12"/>
      <c r="I162" s="7"/>
      <c r="J162" s="7"/>
      <c r="K162" s="7"/>
    </row>
    <row r="163" spans="1:11" x14ac:dyDescent="0.2">
      <c r="A163" s="16"/>
      <c r="B163" s="12"/>
      <c r="C163" s="12"/>
      <c r="D163" s="12"/>
      <c r="E163" s="12"/>
      <c r="F163" s="12"/>
      <c r="G163" s="12"/>
      <c r="H163" s="12"/>
      <c r="I163" s="7"/>
      <c r="J163" s="7"/>
      <c r="K163" s="7"/>
    </row>
    <row r="164" spans="1:11" x14ac:dyDescent="0.2">
      <c r="A164" s="16"/>
      <c r="B164" s="12"/>
      <c r="C164" s="12"/>
      <c r="D164" s="12"/>
      <c r="E164" s="12"/>
      <c r="F164" s="12"/>
      <c r="G164" s="12"/>
      <c r="H164" s="12"/>
      <c r="I164" s="7"/>
      <c r="J164" s="7"/>
      <c r="K164" s="7"/>
    </row>
    <row r="165" spans="1:11" x14ac:dyDescent="0.2">
      <c r="A165" s="16"/>
      <c r="B165" s="12"/>
      <c r="C165" s="12"/>
      <c r="D165" s="12"/>
      <c r="E165" s="12"/>
      <c r="F165" s="12"/>
      <c r="G165" s="12"/>
      <c r="H165" s="12"/>
      <c r="I165" s="7"/>
      <c r="J165" s="7"/>
      <c r="K165" s="7"/>
    </row>
    <row r="166" spans="1:11" x14ac:dyDescent="0.2">
      <c r="A166" s="16"/>
      <c r="B166" s="12"/>
      <c r="C166" s="12"/>
      <c r="D166" s="12"/>
      <c r="E166" s="12"/>
      <c r="F166" s="12"/>
      <c r="G166" s="12"/>
      <c r="H166" s="12"/>
      <c r="I166" s="7"/>
      <c r="J166" s="7"/>
      <c r="K166" s="7"/>
    </row>
    <row r="167" spans="1:11" x14ac:dyDescent="0.2">
      <c r="A167" s="16"/>
      <c r="B167" s="12"/>
      <c r="C167" s="12"/>
      <c r="D167" s="12"/>
      <c r="E167" s="12"/>
      <c r="F167" s="12"/>
      <c r="G167" s="12"/>
      <c r="H167" s="12"/>
      <c r="I167" s="7"/>
      <c r="J167" s="7"/>
      <c r="K167" s="7"/>
    </row>
    <row r="168" spans="1:11" x14ac:dyDescent="0.2">
      <c r="A168" s="16"/>
      <c r="B168" s="12"/>
      <c r="C168" s="12"/>
      <c r="D168" s="12"/>
      <c r="E168" s="12"/>
      <c r="F168" s="12"/>
      <c r="G168" s="12"/>
      <c r="H168" s="12"/>
      <c r="I168" s="7"/>
      <c r="J168" s="7"/>
      <c r="K168" s="7"/>
    </row>
    <row r="169" spans="1:11" x14ac:dyDescent="0.2">
      <c r="A169" s="16"/>
      <c r="B169" s="12"/>
      <c r="C169" s="12"/>
      <c r="D169" s="12"/>
      <c r="E169" s="12"/>
      <c r="F169" s="12"/>
      <c r="G169" s="12"/>
      <c r="H169" s="12"/>
      <c r="I169" s="7"/>
      <c r="J169" s="7"/>
      <c r="K169" s="7"/>
    </row>
    <row r="170" spans="1:11" x14ac:dyDescent="0.2">
      <c r="A170" s="16"/>
      <c r="B170" s="12"/>
      <c r="C170" s="12"/>
      <c r="D170" s="12"/>
      <c r="E170" s="12"/>
      <c r="F170" s="12"/>
      <c r="G170" s="12"/>
      <c r="H170" s="12"/>
      <c r="I170" s="7"/>
      <c r="J170" s="7"/>
      <c r="K170" s="7"/>
    </row>
    <row r="171" spans="1:11" x14ac:dyDescent="0.2">
      <c r="A171" s="16"/>
      <c r="B171" s="12"/>
      <c r="C171" s="12"/>
      <c r="D171" s="12"/>
      <c r="E171" s="12"/>
      <c r="F171" s="12"/>
      <c r="G171" s="12"/>
      <c r="H171" s="12"/>
      <c r="I171" s="7"/>
      <c r="J171" s="7"/>
      <c r="K171" s="7"/>
    </row>
    <row r="172" spans="1:11" x14ac:dyDescent="0.2">
      <c r="A172" s="16"/>
      <c r="B172" s="12"/>
      <c r="C172" s="12"/>
      <c r="D172" s="12"/>
      <c r="E172" s="12"/>
      <c r="F172" s="12"/>
      <c r="G172" s="12"/>
      <c r="H172" s="12"/>
      <c r="I172" s="7"/>
      <c r="J172" s="7"/>
      <c r="K172" s="7"/>
    </row>
    <row r="173" spans="1:11" x14ac:dyDescent="0.2">
      <c r="A173" s="16"/>
      <c r="B173" s="12"/>
      <c r="C173" s="12"/>
      <c r="D173" s="12"/>
      <c r="E173" s="12"/>
      <c r="F173" s="12"/>
      <c r="G173" s="12"/>
      <c r="H173" s="12"/>
      <c r="I173" s="7"/>
      <c r="J173" s="7"/>
      <c r="K173" s="7"/>
    </row>
    <row r="174" spans="1:11" x14ac:dyDescent="0.2">
      <c r="A174" s="16"/>
      <c r="B174" s="12"/>
      <c r="C174" s="12"/>
      <c r="D174" s="12"/>
      <c r="E174" s="12"/>
      <c r="F174" s="12"/>
      <c r="G174" s="12"/>
      <c r="H174" s="12"/>
      <c r="I174" s="7"/>
      <c r="J174" s="7"/>
      <c r="K174" s="7"/>
    </row>
    <row r="175" spans="1:11" x14ac:dyDescent="0.2">
      <c r="A175" s="16"/>
      <c r="B175" s="12"/>
      <c r="C175" s="12"/>
      <c r="D175" s="12"/>
      <c r="E175" s="12"/>
      <c r="F175" s="12"/>
      <c r="G175" s="12"/>
      <c r="H175" s="12"/>
      <c r="I175" s="7"/>
      <c r="J175" s="7"/>
      <c r="K175" s="7"/>
    </row>
    <row r="176" spans="1:11" x14ac:dyDescent="0.2">
      <c r="A176" s="16"/>
      <c r="B176" s="12"/>
      <c r="C176" s="12"/>
      <c r="D176" s="12"/>
      <c r="E176" s="12"/>
      <c r="F176" s="12"/>
      <c r="G176" s="12"/>
      <c r="H176" s="12"/>
      <c r="I176" s="7"/>
      <c r="J176" s="7"/>
      <c r="K176" s="7"/>
    </row>
    <row r="177" spans="1:11" x14ac:dyDescent="0.2">
      <c r="A177" s="16"/>
      <c r="B177" s="12"/>
      <c r="C177" s="12"/>
      <c r="D177" s="12"/>
      <c r="E177" s="12"/>
      <c r="F177" s="12"/>
      <c r="G177" s="12"/>
      <c r="H177" s="12"/>
      <c r="I177" s="7"/>
      <c r="J177" s="7"/>
      <c r="K177" s="7"/>
    </row>
    <row r="178" spans="1:11" x14ac:dyDescent="0.2">
      <c r="A178" s="16"/>
      <c r="B178" s="12"/>
      <c r="C178" s="12"/>
      <c r="D178" s="12"/>
      <c r="E178" s="12"/>
      <c r="F178" s="12"/>
      <c r="G178" s="12"/>
      <c r="H178" s="12"/>
      <c r="I178" s="7"/>
      <c r="J178" s="7"/>
      <c r="K178" s="7"/>
    </row>
    <row r="179" spans="1:11" x14ac:dyDescent="0.2">
      <c r="A179" s="16"/>
      <c r="B179" s="12"/>
      <c r="C179" s="12"/>
      <c r="D179" s="12"/>
      <c r="E179" s="12"/>
      <c r="F179" s="12"/>
      <c r="G179" s="12"/>
      <c r="H179" s="12"/>
      <c r="I179" s="7"/>
      <c r="J179" s="7"/>
      <c r="K179" s="7"/>
    </row>
    <row r="180" spans="1:11" x14ac:dyDescent="0.2">
      <c r="A180" s="16"/>
      <c r="B180" s="12"/>
      <c r="C180" s="12"/>
      <c r="D180" s="12"/>
      <c r="E180" s="12"/>
      <c r="F180" s="12"/>
      <c r="G180" s="12"/>
      <c r="H180" s="12"/>
      <c r="I180" s="7"/>
      <c r="J180" s="7"/>
      <c r="K180" s="7"/>
    </row>
    <row r="181" spans="1:11" x14ac:dyDescent="0.2">
      <c r="A181" s="16"/>
      <c r="B181" s="12"/>
      <c r="C181" s="12"/>
      <c r="D181" s="12"/>
      <c r="E181" s="12"/>
      <c r="F181" s="12"/>
      <c r="G181" s="12"/>
      <c r="H181" s="12"/>
      <c r="I181" s="7"/>
      <c r="J181" s="7"/>
      <c r="K181" s="7"/>
    </row>
    <row r="182" spans="1:11" x14ac:dyDescent="0.2">
      <c r="A182" s="16"/>
      <c r="B182" s="12"/>
      <c r="C182" s="12"/>
      <c r="D182" s="12"/>
      <c r="E182" s="12"/>
      <c r="F182" s="12"/>
      <c r="G182" s="12"/>
      <c r="H182" s="12"/>
      <c r="I182" s="7"/>
      <c r="J182" s="7"/>
      <c r="K182" s="7"/>
    </row>
    <row r="183" spans="1:11" x14ac:dyDescent="0.2">
      <c r="A183" s="16"/>
      <c r="B183" s="12"/>
      <c r="C183" s="12"/>
      <c r="D183" s="12"/>
      <c r="E183" s="12"/>
      <c r="F183" s="12"/>
      <c r="G183" s="12"/>
      <c r="H183" s="12"/>
      <c r="I183" s="7"/>
      <c r="J183" s="7"/>
      <c r="K183" s="7"/>
    </row>
    <row r="184" spans="1:11" x14ac:dyDescent="0.2">
      <c r="A184" s="16"/>
      <c r="B184" s="12"/>
      <c r="C184" s="12"/>
      <c r="D184" s="12"/>
      <c r="E184" s="12"/>
      <c r="F184" s="12"/>
      <c r="G184" s="12"/>
      <c r="H184" s="12"/>
      <c r="I184" s="7"/>
      <c r="J184" s="7"/>
      <c r="K184" s="7"/>
    </row>
    <row r="185" spans="1:11" x14ac:dyDescent="0.2">
      <c r="A185" s="16"/>
      <c r="B185" s="12"/>
      <c r="C185" s="12"/>
      <c r="D185" s="12"/>
      <c r="E185" s="12"/>
      <c r="F185" s="12"/>
      <c r="G185" s="12"/>
      <c r="H185" s="12"/>
      <c r="I185" s="7"/>
      <c r="J185" s="7"/>
      <c r="K185" s="7"/>
    </row>
    <row r="186" spans="1:11" x14ac:dyDescent="0.2">
      <c r="A186" s="16"/>
      <c r="B186" s="12"/>
      <c r="C186" s="12"/>
      <c r="D186" s="12"/>
      <c r="E186" s="12"/>
      <c r="F186" s="12"/>
      <c r="G186" s="12"/>
      <c r="H186" s="12"/>
      <c r="I186" s="7"/>
      <c r="J186" s="7"/>
      <c r="K186" s="7"/>
    </row>
    <row r="187" spans="1:11" x14ac:dyDescent="0.2">
      <c r="A187" s="16"/>
      <c r="B187" s="12"/>
      <c r="C187" s="12"/>
      <c r="D187" s="12"/>
      <c r="E187" s="12"/>
      <c r="F187" s="12"/>
      <c r="G187" s="12"/>
      <c r="H187" s="12"/>
      <c r="I187" s="7"/>
      <c r="J187" s="7"/>
      <c r="K187" s="7"/>
    </row>
    <row r="188" spans="1:11" x14ac:dyDescent="0.2">
      <c r="A188" s="16"/>
      <c r="B188" s="12"/>
      <c r="C188" s="12"/>
      <c r="D188" s="12"/>
      <c r="E188" s="12"/>
      <c r="F188" s="12"/>
      <c r="G188" s="12"/>
      <c r="H188" s="12"/>
      <c r="I188" s="7"/>
      <c r="J188" s="7"/>
      <c r="K188" s="7"/>
    </row>
    <row r="189" spans="1:11" x14ac:dyDescent="0.2">
      <c r="A189" s="16"/>
      <c r="B189" s="12"/>
      <c r="C189" s="12"/>
      <c r="D189" s="12"/>
      <c r="E189" s="12"/>
      <c r="F189" s="12"/>
      <c r="G189" s="12"/>
      <c r="H189" s="12"/>
      <c r="I189" s="7"/>
      <c r="J189" s="7"/>
      <c r="K189" s="7"/>
    </row>
    <row r="190" spans="1:11" x14ac:dyDescent="0.2">
      <c r="A190" s="16"/>
      <c r="B190" s="12"/>
      <c r="C190" s="12"/>
      <c r="D190" s="12"/>
      <c r="E190" s="12"/>
      <c r="F190" s="12"/>
      <c r="G190" s="12"/>
      <c r="H190" s="12"/>
      <c r="I190" s="7"/>
      <c r="J190" s="7"/>
      <c r="K190" s="7"/>
    </row>
    <row r="191" spans="1:11" x14ac:dyDescent="0.2">
      <c r="A191" s="16"/>
      <c r="B191" s="12"/>
      <c r="C191" s="12"/>
      <c r="D191" s="12"/>
      <c r="E191" s="12"/>
      <c r="F191" s="12"/>
      <c r="G191" s="12"/>
      <c r="H191" s="12"/>
      <c r="I191" s="7"/>
      <c r="J191" s="7"/>
      <c r="K191" s="7"/>
    </row>
    <row r="192" spans="1:11" x14ac:dyDescent="0.2">
      <c r="A192" s="16"/>
      <c r="B192" s="12"/>
      <c r="C192" s="12"/>
      <c r="D192" s="12"/>
      <c r="E192" s="12"/>
      <c r="F192" s="12"/>
      <c r="G192" s="12"/>
      <c r="H192" s="12"/>
      <c r="I192" s="7"/>
      <c r="J192" s="7"/>
      <c r="K192" s="7"/>
    </row>
    <row r="193" spans="1:11" x14ac:dyDescent="0.2">
      <c r="A193" s="16"/>
      <c r="B193" s="12"/>
      <c r="C193" s="12"/>
      <c r="D193" s="12"/>
      <c r="E193" s="12"/>
      <c r="F193" s="12"/>
      <c r="G193" s="12"/>
      <c r="H193" s="12"/>
      <c r="I193" s="7"/>
      <c r="J193" s="7"/>
      <c r="K193" s="7"/>
    </row>
    <row r="194" spans="1:11" x14ac:dyDescent="0.2">
      <c r="A194" s="16"/>
      <c r="B194" s="12"/>
      <c r="C194" s="12"/>
      <c r="D194" s="12"/>
      <c r="E194" s="12"/>
      <c r="F194" s="12"/>
      <c r="G194" s="12"/>
      <c r="H194" s="12"/>
      <c r="I194" s="7"/>
      <c r="J194" s="7"/>
      <c r="K194" s="7"/>
    </row>
    <row r="195" spans="1:11" x14ac:dyDescent="0.2">
      <c r="A195" s="16"/>
      <c r="B195" s="12"/>
      <c r="C195" s="12"/>
      <c r="D195" s="12"/>
      <c r="E195" s="12"/>
      <c r="F195" s="12"/>
      <c r="G195" s="12"/>
      <c r="H195" s="12"/>
      <c r="I195" s="7"/>
      <c r="J195" s="7"/>
      <c r="K195" s="7"/>
    </row>
    <row r="196" spans="1:11" x14ac:dyDescent="0.2">
      <c r="A196" s="16"/>
      <c r="B196" s="12"/>
      <c r="C196" s="12"/>
      <c r="D196" s="12"/>
      <c r="E196" s="12"/>
      <c r="F196" s="12"/>
      <c r="G196" s="12"/>
      <c r="H196" s="12"/>
      <c r="I196" s="7"/>
      <c r="J196" s="7"/>
      <c r="K196" s="7"/>
    </row>
    <row r="197" spans="1:11" x14ac:dyDescent="0.2">
      <c r="A197" s="16"/>
      <c r="B197" s="12"/>
      <c r="C197" s="12"/>
      <c r="D197" s="12"/>
      <c r="E197" s="12"/>
      <c r="F197" s="12"/>
      <c r="G197" s="12"/>
      <c r="H197" s="12"/>
      <c r="I197" s="7"/>
      <c r="J197" s="7"/>
      <c r="K197" s="7"/>
    </row>
    <row r="198" spans="1:11" x14ac:dyDescent="0.2">
      <c r="A198" s="16"/>
      <c r="B198" s="12"/>
      <c r="C198" s="12"/>
      <c r="D198" s="12"/>
      <c r="E198" s="12"/>
      <c r="F198" s="12"/>
      <c r="G198" s="12"/>
      <c r="H198" s="12"/>
      <c r="I198" s="7"/>
      <c r="J198" s="7"/>
      <c r="K198" s="7"/>
    </row>
    <row r="199" spans="1:11" x14ac:dyDescent="0.2">
      <c r="A199" s="16"/>
      <c r="B199" s="12"/>
      <c r="C199" s="12"/>
      <c r="D199" s="12"/>
      <c r="E199" s="12"/>
      <c r="F199" s="12"/>
      <c r="G199" s="12"/>
      <c r="H199" s="12"/>
      <c r="I199" s="7"/>
      <c r="J199" s="7"/>
      <c r="K199" s="7"/>
    </row>
    <row r="200" spans="1:11" x14ac:dyDescent="0.2">
      <c r="A200" s="16"/>
      <c r="B200" s="12"/>
      <c r="C200" s="12"/>
      <c r="D200" s="12"/>
      <c r="E200" s="12"/>
      <c r="F200" s="12"/>
      <c r="G200" s="12"/>
      <c r="H200" s="12"/>
      <c r="I200" s="7"/>
      <c r="J200" s="7"/>
      <c r="K200" s="7"/>
    </row>
    <row r="201" spans="1:11" x14ac:dyDescent="0.2">
      <c r="A201" s="16"/>
      <c r="B201" s="12"/>
      <c r="C201" s="12"/>
      <c r="D201" s="12"/>
      <c r="E201" s="12"/>
      <c r="F201" s="12"/>
      <c r="G201" s="12"/>
      <c r="H201" s="12"/>
      <c r="I201" s="7"/>
      <c r="J201" s="7"/>
      <c r="K201" s="7"/>
    </row>
    <row r="202" spans="1:11" x14ac:dyDescent="0.2">
      <c r="A202" s="16"/>
      <c r="B202" s="12"/>
      <c r="C202" s="12"/>
      <c r="D202" s="12"/>
      <c r="E202" s="12"/>
      <c r="F202" s="12"/>
      <c r="G202" s="12"/>
      <c r="H202" s="12"/>
      <c r="I202" s="7"/>
      <c r="J202" s="7"/>
      <c r="K202" s="7"/>
    </row>
    <row r="203" spans="1:11" x14ac:dyDescent="0.2">
      <c r="A203" s="16"/>
      <c r="B203" s="12"/>
      <c r="C203" s="12"/>
      <c r="D203" s="12"/>
      <c r="E203" s="12"/>
      <c r="F203" s="12"/>
      <c r="G203" s="12"/>
      <c r="H203" s="12"/>
      <c r="I203" s="7"/>
      <c r="J203" s="7"/>
      <c r="K203" s="7"/>
    </row>
    <row r="204" spans="1:11" x14ac:dyDescent="0.2">
      <c r="A204" s="16"/>
      <c r="B204" s="12"/>
      <c r="C204" s="12"/>
      <c r="D204" s="12"/>
      <c r="E204" s="12"/>
      <c r="F204" s="12"/>
      <c r="G204" s="12"/>
      <c r="H204" s="12"/>
      <c r="I204" s="7"/>
      <c r="J204" s="7"/>
      <c r="K204" s="7"/>
    </row>
    <row r="205" spans="1:11" x14ac:dyDescent="0.2">
      <c r="A205" s="16"/>
      <c r="B205" s="12"/>
      <c r="C205" s="12"/>
      <c r="D205" s="12"/>
      <c r="E205" s="12"/>
      <c r="F205" s="12"/>
      <c r="G205" s="12"/>
      <c r="H205" s="12"/>
      <c r="I205" s="7"/>
      <c r="J205" s="7"/>
      <c r="K205" s="7"/>
    </row>
    <row r="206" spans="1:11" x14ac:dyDescent="0.2">
      <c r="A206" s="16"/>
      <c r="B206" s="12"/>
      <c r="C206" s="12"/>
      <c r="D206" s="12"/>
      <c r="E206" s="12"/>
      <c r="F206" s="12"/>
      <c r="G206" s="12"/>
      <c r="H206" s="12"/>
      <c r="I206" s="7"/>
      <c r="J206" s="7"/>
      <c r="K206" s="7"/>
    </row>
    <row r="207" spans="1:11" x14ac:dyDescent="0.2">
      <c r="A207" s="16"/>
      <c r="B207" s="12"/>
      <c r="C207" s="12"/>
      <c r="D207" s="12"/>
      <c r="E207" s="12"/>
      <c r="F207" s="12"/>
      <c r="G207" s="12"/>
      <c r="H207" s="12"/>
      <c r="I207" s="7"/>
      <c r="J207" s="7"/>
      <c r="K207" s="7"/>
    </row>
    <row r="208" spans="1:11" x14ac:dyDescent="0.2">
      <c r="A208" s="16"/>
      <c r="B208" s="12"/>
      <c r="C208" s="12"/>
      <c r="D208" s="12"/>
      <c r="E208" s="12"/>
      <c r="F208" s="12"/>
      <c r="G208" s="12"/>
      <c r="H208" s="12"/>
      <c r="I208" s="7"/>
      <c r="J208" s="7"/>
      <c r="K208" s="7"/>
    </row>
    <row r="209" spans="1:11" x14ac:dyDescent="0.2">
      <c r="A209" s="16"/>
      <c r="B209" s="12"/>
      <c r="C209" s="12"/>
      <c r="D209" s="12"/>
      <c r="E209" s="12"/>
      <c r="F209" s="12"/>
      <c r="G209" s="12"/>
      <c r="H209" s="12"/>
      <c r="I209" s="7"/>
      <c r="J209" s="7"/>
      <c r="K209" s="7"/>
    </row>
    <row r="210" spans="1:11" x14ac:dyDescent="0.2">
      <c r="A210" s="16"/>
      <c r="B210" s="12"/>
      <c r="C210" s="12"/>
      <c r="D210" s="12"/>
      <c r="E210" s="12"/>
      <c r="F210" s="12"/>
      <c r="G210" s="12"/>
      <c r="H210" s="12"/>
      <c r="I210" s="7"/>
      <c r="J210" s="7"/>
      <c r="K210" s="7"/>
    </row>
    <row r="211" spans="1:11" x14ac:dyDescent="0.2">
      <c r="A211" s="16"/>
      <c r="B211" s="12"/>
      <c r="C211" s="12"/>
      <c r="D211" s="12"/>
      <c r="E211" s="12"/>
      <c r="F211" s="12"/>
      <c r="G211" s="12"/>
      <c r="H211" s="12"/>
      <c r="I211" s="7"/>
      <c r="J211" s="7"/>
      <c r="K211" s="7"/>
    </row>
    <row r="212" spans="1:11" x14ac:dyDescent="0.2">
      <c r="A212" s="16"/>
      <c r="B212" s="12"/>
      <c r="C212" s="12"/>
      <c r="D212" s="12"/>
      <c r="E212" s="12"/>
      <c r="F212" s="12"/>
      <c r="G212" s="12"/>
      <c r="H212" s="12"/>
      <c r="I212" s="7"/>
      <c r="J212" s="7"/>
      <c r="K212" s="7"/>
    </row>
    <row r="213" spans="1:11" x14ac:dyDescent="0.2">
      <c r="A213" s="16"/>
      <c r="B213" s="12"/>
      <c r="C213" s="12"/>
      <c r="D213" s="12"/>
      <c r="E213" s="12"/>
      <c r="F213" s="12"/>
      <c r="G213" s="12"/>
      <c r="H213" s="12"/>
      <c r="I213" s="7"/>
      <c r="J213" s="7"/>
      <c r="K213" s="7"/>
    </row>
    <row r="214" spans="1:11" x14ac:dyDescent="0.2">
      <c r="A214" s="16"/>
      <c r="B214" s="12"/>
      <c r="C214" s="12"/>
      <c r="D214" s="12"/>
      <c r="E214" s="12"/>
      <c r="F214" s="12"/>
      <c r="G214" s="12"/>
      <c r="H214" s="12"/>
      <c r="I214" s="7"/>
      <c r="J214" s="7"/>
      <c r="K214" s="7"/>
    </row>
    <row r="215" spans="1:11" x14ac:dyDescent="0.2">
      <c r="A215" s="16"/>
      <c r="B215" s="12"/>
      <c r="C215" s="12"/>
      <c r="D215" s="12"/>
      <c r="E215" s="12"/>
      <c r="F215" s="12"/>
      <c r="G215" s="12"/>
      <c r="H215" s="12"/>
      <c r="I215" s="7"/>
      <c r="J215" s="7"/>
      <c r="K215" s="7"/>
    </row>
    <row r="216" spans="1:11" x14ac:dyDescent="0.2">
      <c r="A216" s="16"/>
      <c r="B216" s="12"/>
      <c r="C216" s="12"/>
      <c r="D216" s="12"/>
      <c r="E216" s="12"/>
      <c r="F216" s="12"/>
      <c r="G216" s="12"/>
      <c r="H216" s="12"/>
      <c r="I216" s="7"/>
      <c r="J216" s="7"/>
      <c r="K216" s="7"/>
    </row>
    <row r="217" spans="1:11" x14ac:dyDescent="0.2">
      <c r="A217" s="16"/>
      <c r="B217" s="12"/>
      <c r="C217" s="12"/>
      <c r="D217" s="12"/>
      <c r="E217" s="12"/>
      <c r="F217" s="12"/>
      <c r="G217" s="12"/>
      <c r="H217" s="12"/>
      <c r="I217" s="7"/>
      <c r="J217" s="7"/>
      <c r="K217" s="7"/>
    </row>
    <row r="218" spans="1:11" x14ac:dyDescent="0.2">
      <c r="A218" s="16"/>
      <c r="B218" s="12"/>
      <c r="C218" s="12"/>
      <c r="D218" s="12"/>
      <c r="E218" s="12"/>
      <c r="F218" s="12"/>
      <c r="G218" s="12"/>
      <c r="H218" s="12"/>
      <c r="I218" s="7"/>
      <c r="J218" s="7"/>
      <c r="K218" s="7"/>
    </row>
    <row r="219" spans="1:11" x14ac:dyDescent="0.2">
      <c r="A219" s="16"/>
      <c r="B219" s="12"/>
      <c r="C219" s="12"/>
      <c r="D219" s="12"/>
      <c r="E219" s="12"/>
      <c r="F219" s="12"/>
      <c r="G219" s="12"/>
      <c r="H219" s="12"/>
      <c r="I219" s="7"/>
      <c r="J219" s="7"/>
      <c r="K219" s="7"/>
    </row>
    <row r="220" spans="1:11" x14ac:dyDescent="0.2">
      <c r="A220" s="16"/>
      <c r="B220" s="12"/>
      <c r="C220" s="12"/>
      <c r="D220" s="12"/>
      <c r="E220" s="12"/>
      <c r="F220" s="12"/>
      <c r="G220" s="12"/>
      <c r="H220" s="12"/>
      <c r="I220" s="7"/>
      <c r="J220" s="7"/>
      <c r="K220" s="7"/>
    </row>
    <row r="221" spans="1:11" x14ac:dyDescent="0.2">
      <c r="A221" s="16"/>
      <c r="B221" s="12"/>
      <c r="C221" s="12"/>
      <c r="D221" s="12"/>
      <c r="E221" s="12"/>
      <c r="F221" s="12"/>
      <c r="G221" s="12"/>
      <c r="H221" s="12"/>
      <c r="I221" s="7"/>
      <c r="J221" s="7"/>
      <c r="K221" s="7"/>
    </row>
    <row r="222" spans="1:11" x14ac:dyDescent="0.2">
      <c r="A222" s="16"/>
      <c r="B222" s="12"/>
      <c r="C222" s="12"/>
      <c r="D222" s="12"/>
      <c r="E222" s="12"/>
      <c r="F222" s="12"/>
      <c r="G222" s="12"/>
      <c r="H222" s="12"/>
      <c r="I222" s="7"/>
      <c r="J222" s="7"/>
      <c r="K222" s="7"/>
    </row>
    <row r="223" spans="1:11" x14ac:dyDescent="0.2">
      <c r="A223" s="16"/>
      <c r="B223" s="12"/>
      <c r="C223" s="12"/>
      <c r="D223" s="12"/>
      <c r="E223" s="12"/>
      <c r="F223" s="12"/>
      <c r="G223" s="12"/>
      <c r="H223" s="12"/>
      <c r="I223" s="7"/>
      <c r="J223" s="7"/>
      <c r="K223" s="7"/>
    </row>
    <row r="224" spans="1:11" x14ac:dyDescent="0.2">
      <c r="A224" s="16"/>
      <c r="B224" s="12"/>
      <c r="C224" s="12"/>
      <c r="D224" s="12"/>
      <c r="E224" s="12"/>
      <c r="F224" s="12"/>
      <c r="G224" s="12"/>
      <c r="H224" s="12"/>
      <c r="I224" s="7"/>
      <c r="J224" s="7"/>
      <c r="K224" s="7"/>
    </row>
    <row r="225" spans="1:11" x14ac:dyDescent="0.2">
      <c r="A225" s="16"/>
      <c r="B225" s="12"/>
      <c r="C225" s="12"/>
      <c r="D225" s="12"/>
      <c r="E225" s="12"/>
      <c r="F225" s="12"/>
      <c r="G225" s="12"/>
      <c r="H225" s="12"/>
      <c r="I225" s="7"/>
      <c r="J225" s="7"/>
      <c r="K225" s="7"/>
    </row>
    <row r="226" spans="1:11" x14ac:dyDescent="0.2">
      <c r="A226" s="16"/>
      <c r="B226" s="12"/>
      <c r="C226" s="12"/>
      <c r="D226" s="12"/>
      <c r="E226" s="12"/>
      <c r="F226" s="12"/>
      <c r="G226" s="12"/>
      <c r="H226" s="12"/>
      <c r="I226" s="7"/>
      <c r="J226" s="7"/>
      <c r="K226" s="7"/>
    </row>
    <row r="227" spans="1:11" x14ac:dyDescent="0.2">
      <c r="A227" s="16"/>
      <c r="B227" s="12"/>
      <c r="C227" s="12"/>
      <c r="D227" s="12"/>
      <c r="E227" s="12"/>
      <c r="F227" s="12"/>
      <c r="G227" s="12"/>
      <c r="H227" s="12"/>
      <c r="I227" s="7"/>
      <c r="J227" s="7"/>
      <c r="K227" s="7"/>
    </row>
    <row r="228" spans="1:11" x14ac:dyDescent="0.2">
      <c r="A228" s="16"/>
      <c r="B228" s="12"/>
      <c r="C228" s="12"/>
      <c r="D228" s="12"/>
      <c r="E228" s="12"/>
      <c r="F228" s="12"/>
      <c r="G228" s="12"/>
      <c r="H228" s="12"/>
      <c r="I228" s="7"/>
      <c r="J228" s="7"/>
      <c r="K228" s="7"/>
    </row>
    <row r="229" spans="1:11" x14ac:dyDescent="0.2">
      <c r="A229" s="16"/>
      <c r="B229" s="12"/>
      <c r="C229" s="12"/>
      <c r="D229" s="12"/>
      <c r="E229" s="12"/>
      <c r="F229" s="12"/>
      <c r="G229" s="12"/>
      <c r="H229" s="12"/>
      <c r="I229" s="7"/>
      <c r="J229" s="7"/>
      <c r="K229" s="7"/>
    </row>
    <row r="230" spans="1:11" x14ac:dyDescent="0.2">
      <c r="A230" s="16"/>
      <c r="B230" s="12"/>
      <c r="C230" s="12"/>
      <c r="D230" s="12"/>
      <c r="E230" s="12"/>
      <c r="F230" s="12"/>
      <c r="G230" s="12"/>
      <c r="H230" s="12"/>
      <c r="I230" s="7"/>
      <c r="J230" s="7"/>
      <c r="K230" s="7"/>
    </row>
    <row r="231" spans="1:11" x14ac:dyDescent="0.2">
      <c r="A231" s="16"/>
      <c r="B231" s="12"/>
      <c r="C231" s="12"/>
      <c r="D231" s="12"/>
      <c r="E231" s="12"/>
      <c r="F231" s="12"/>
      <c r="G231" s="12"/>
      <c r="H231" s="12"/>
      <c r="I231" s="7"/>
      <c r="J231" s="7"/>
      <c r="K231" s="7"/>
    </row>
    <row r="232" spans="1:11" x14ac:dyDescent="0.2">
      <c r="A232" s="16"/>
      <c r="B232" s="12"/>
      <c r="C232" s="12"/>
      <c r="D232" s="12"/>
      <c r="E232" s="12"/>
      <c r="F232" s="12"/>
      <c r="G232" s="12"/>
      <c r="H232" s="12"/>
      <c r="I232" s="7"/>
      <c r="J232" s="7"/>
      <c r="K232" s="7"/>
    </row>
    <row r="233" spans="1:11" x14ac:dyDescent="0.2">
      <c r="A233" s="16"/>
      <c r="B233" s="12"/>
      <c r="C233" s="12"/>
      <c r="D233" s="12"/>
      <c r="E233" s="12"/>
      <c r="F233" s="12"/>
      <c r="G233" s="12"/>
      <c r="H233" s="12"/>
      <c r="I233" s="7"/>
      <c r="J233" s="7"/>
      <c r="K233" s="7"/>
    </row>
    <row r="234" spans="1:11" x14ac:dyDescent="0.2">
      <c r="A234" s="16"/>
      <c r="B234" s="12"/>
      <c r="C234" s="12"/>
      <c r="D234" s="12"/>
      <c r="E234" s="12"/>
      <c r="F234" s="12"/>
      <c r="G234" s="12"/>
      <c r="H234" s="12"/>
      <c r="I234" s="7"/>
      <c r="J234" s="7"/>
      <c r="K234" s="7"/>
    </row>
    <row r="235" spans="1:11" x14ac:dyDescent="0.2">
      <c r="A235" s="16"/>
      <c r="B235" s="12"/>
      <c r="C235" s="12"/>
      <c r="D235" s="12"/>
      <c r="E235" s="12"/>
      <c r="F235" s="12"/>
      <c r="G235" s="12"/>
      <c r="H235" s="12"/>
      <c r="I235" s="7"/>
      <c r="J235" s="7"/>
      <c r="K235" s="7"/>
    </row>
    <row r="236" spans="1:11" x14ac:dyDescent="0.2">
      <c r="A236" s="16"/>
      <c r="B236" s="12"/>
      <c r="C236" s="12"/>
      <c r="D236" s="12"/>
      <c r="E236" s="12"/>
      <c r="F236" s="12"/>
      <c r="G236" s="12"/>
      <c r="H236" s="12"/>
      <c r="I236" s="7"/>
      <c r="J236" s="7"/>
      <c r="K236" s="7"/>
    </row>
    <row r="237" spans="1:11" x14ac:dyDescent="0.2">
      <c r="A237" s="16"/>
      <c r="B237" s="12"/>
      <c r="C237" s="12"/>
      <c r="D237" s="12"/>
      <c r="E237" s="12"/>
      <c r="F237" s="12"/>
      <c r="G237" s="12"/>
      <c r="H237" s="12"/>
      <c r="I237" s="7"/>
      <c r="J237" s="7"/>
      <c r="K237" s="7"/>
    </row>
    <row r="238" spans="1:11" x14ac:dyDescent="0.2">
      <c r="A238" s="16"/>
      <c r="B238" s="12"/>
      <c r="C238" s="12"/>
      <c r="D238" s="12"/>
      <c r="E238" s="12"/>
      <c r="F238" s="12"/>
      <c r="G238" s="12"/>
      <c r="H238" s="12"/>
      <c r="I238" s="7"/>
      <c r="J238" s="7"/>
      <c r="K238" s="7"/>
    </row>
    <row r="239" spans="1:11" x14ac:dyDescent="0.2">
      <c r="A239" s="16"/>
      <c r="B239" s="12"/>
      <c r="C239" s="12"/>
      <c r="D239" s="12"/>
      <c r="E239" s="12"/>
      <c r="F239" s="12"/>
      <c r="G239" s="12"/>
      <c r="H239" s="12"/>
      <c r="I239" s="7"/>
      <c r="J239" s="7"/>
      <c r="K239" s="7"/>
    </row>
    <row r="240" spans="1:11" x14ac:dyDescent="0.2">
      <c r="A240" s="16"/>
      <c r="B240" s="12"/>
      <c r="C240" s="12"/>
      <c r="D240" s="12"/>
      <c r="E240" s="12"/>
      <c r="F240" s="12"/>
      <c r="G240" s="12"/>
      <c r="H240" s="12"/>
      <c r="I240" s="7"/>
      <c r="J240" s="7"/>
      <c r="K240" s="7"/>
    </row>
    <row r="241" spans="1:11" x14ac:dyDescent="0.2">
      <c r="A241" s="16"/>
      <c r="B241" s="12"/>
      <c r="C241" s="12"/>
      <c r="D241" s="12"/>
      <c r="E241" s="12"/>
      <c r="F241" s="12"/>
      <c r="G241" s="12"/>
      <c r="H241" s="12"/>
      <c r="I241" s="7"/>
      <c r="J241" s="7"/>
      <c r="K241" s="7"/>
    </row>
  </sheetData>
  <mergeCells count="24">
    <mergeCell ref="AO9:AO11"/>
    <mergeCell ref="AP9:AQ10"/>
    <mergeCell ref="A3:I3"/>
    <mergeCell ref="B7:K8"/>
    <mergeCell ref="B9:B11"/>
    <mergeCell ref="C9:H10"/>
    <mergeCell ref="I9:I11"/>
    <mergeCell ref="J9:K10"/>
    <mergeCell ref="L7:AG7"/>
    <mergeCell ref="AH7:AQ8"/>
    <mergeCell ref="L8:O10"/>
    <mergeCell ref="P8:R10"/>
    <mergeCell ref="S8:S11"/>
    <mergeCell ref="T8:T11"/>
    <mergeCell ref="U8:U11"/>
    <mergeCell ref="V8:X10"/>
    <mergeCell ref="AH9:AH11"/>
    <mergeCell ref="AI9:AN10"/>
    <mergeCell ref="Y8:Y11"/>
    <mergeCell ref="Z8:AG8"/>
    <mergeCell ref="Z9:AA10"/>
    <mergeCell ref="AB9:AB10"/>
    <mergeCell ref="AC9:AD10"/>
    <mergeCell ref="AE9:AG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17"/>
  <sheetViews>
    <sheetView tabSelected="1" zoomScaleNormal="100" workbookViewId="0">
      <selection activeCell="J23" sqref="J23"/>
    </sheetView>
  </sheetViews>
  <sheetFormatPr defaultRowHeight="12.75" x14ac:dyDescent="0.2"/>
  <cols>
    <col min="1" max="16384" width="9.140625" style="738"/>
  </cols>
  <sheetData>
    <row r="2" spans="1:21" s="695" customFormat="1" x14ac:dyDescent="0.2">
      <c r="A2" s="796" t="s">
        <v>851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38"/>
      <c r="N2" s="738"/>
      <c r="O2" s="738"/>
      <c r="P2" s="738"/>
      <c r="Q2" s="803"/>
    </row>
    <row r="3" spans="1:21" s="695" customFormat="1" x14ac:dyDescent="0.2">
      <c r="A3" s="797"/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38"/>
      <c r="N3" s="738"/>
      <c r="O3" s="738"/>
      <c r="P3" s="738"/>
      <c r="Q3" s="803"/>
    </row>
    <row r="4" spans="1:21" s="695" customFormat="1" x14ac:dyDescent="0.2">
      <c r="A4" s="798" t="s">
        <v>820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38"/>
      <c r="N4" s="738"/>
      <c r="O4" s="738"/>
      <c r="P4" s="738"/>
      <c r="Q4" s="803"/>
    </row>
    <row r="5" spans="1:21" s="695" customFormat="1" x14ac:dyDescent="0.2">
      <c r="A5" s="797"/>
      <c r="B5" s="797"/>
      <c r="C5" s="797"/>
      <c r="D5" s="797"/>
      <c r="E5" s="797"/>
      <c r="F5" s="797"/>
      <c r="G5" s="797"/>
      <c r="H5" s="797"/>
      <c r="I5" s="797"/>
      <c r="J5" s="797"/>
      <c r="K5" s="797"/>
      <c r="L5" s="797"/>
      <c r="M5" s="738"/>
      <c r="N5" s="738"/>
      <c r="O5" s="738"/>
      <c r="P5" s="738"/>
      <c r="Q5" s="803"/>
    </row>
    <row r="6" spans="1:21" s="695" customFormat="1" x14ac:dyDescent="0.2">
      <c r="A6" s="797"/>
      <c r="B6" s="797"/>
      <c r="C6" s="797"/>
      <c r="D6" s="797"/>
      <c r="E6" s="797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38"/>
      <c r="Q6" s="803"/>
    </row>
    <row r="7" spans="1:21" s="695" customFormat="1" x14ac:dyDescent="0.2">
      <c r="A7" s="797" t="s">
        <v>852</v>
      </c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38"/>
      <c r="Q7" s="803"/>
    </row>
    <row r="8" spans="1:21" s="695" customFormat="1" x14ac:dyDescent="0.2">
      <c r="A8" s="797" t="s">
        <v>847</v>
      </c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38"/>
      <c r="Q8" s="803"/>
    </row>
    <row r="9" spans="1:21" s="695" customFormat="1" x14ac:dyDescent="0.2">
      <c r="A9" s="797" t="s">
        <v>844</v>
      </c>
      <c r="B9" s="797"/>
      <c r="C9" s="797"/>
      <c r="D9" s="797"/>
      <c r="E9" s="797"/>
      <c r="F9" s="797"/>
      <c r="G9" s="797"/>
      <c r="H9" s="797"/>
      <c r="I9" s="797"/>
      <c r="J9" s="797"/>
      <c r="K9" s="797"/>
      <c r="L9" s="797"/>
      <c r="M9" s="797"/>
      <c r="N9" s="797"/>
      <c r="O9" s="797"/>
      <c r="P9" s="738"/>
      <c r="Q9" s="803"/>
    </row>
    <row r="10" spans="1:21" x14ac:dyDescent="0.2">
      <c r="A10" s="799" t="s">
        <v>845</v>
      </c>
      <c r="B10" s="799"/>
      <c r="C10" s="799"/>
      <c r="D10" s="799"/>
      <c r="E10" s="799"/>
      <c r="F10" s="799"/>
      <c r="G10" s="799"/>
      <c r="H10" s="799"/>
      <c r="I10" s="799"/>
      <c r="J10" s="799"/>
      <c r="K10" s="799"/>
      <c r="L10" s="799"/>
      <c r="M10" s="799"/>
      <c r="N10" s="797"/>
      <c r="O10" s="797"/>
      <c r="Q10" s="804"/>
      <c r="R10" s="794"/>
      <c r="S10" s="794"/>
      <c r="T10" s="769"/>
      <c r="U10" s="769"/>
    </row>
    <row r="11" spans="1:21" x14ac:dyDescent="0.2">
      <c r="A11" s="797" t="s">
        <v>846</v>
      </c>
      <c r="B11" s="797"/>
      <c r="C11" s="797"/>
      <c r="D11" s="797"/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7"/>
      <c r="Q11" s="805"/>
    </row>
    <row r="12" spans="1:21" x14ac:dyDescent="0.2">
      <c r="A12" s="797"/>
      <c r="B12" s="797"/>
      <c r="C12" s="797"/>
      <c r="D12" s="797"/>
      <c r="E12" s="797"/>
      <c r="F12" s="797"/>
      <c r="G12" s="797"/>
      <c r="H12" s="797"/>
      <c r="I12" s="797"/>
      <c r="J12" s="797"/>
      <c r="K12" s="797"/>
      <c r="L12" s="797"/>
      <c r="M12" s="797"/>
      <c r="N12" s="797"/>
      <c r="O12" s="797"/>
      <c r="Q12" s="805"/>
    </row>
    <row r="13" spans="1:21" ht="15" x14ac:dyDescent="0.25">
      <c r="A13" s="800" t="s">
        <v>841</v>
      </c>
      <c r="B13" s="801"/>
      <c r="C13" s="801"/>
      <c r="D13" s="801"/>
      <c r="E13" s="801"/>
      <c r="F13" s="801"/>
      <c r="G13" s="801"/>
      <c r="H13" s="801"/>
      <c r="I13" s="801"/>
      <c r="J13" s="801"/>
      <c r="K13" s="801"/>
      <c r="L13" s="801"/>
      <c r="M13" s="801"/>
      <c r="N13" s="802"/>
      <c r="O13" s="802"/>
      <c r="Q13" s="805"/>
    </row>
    <row r="14" spans="1:21" ht="15" x14ac:dyDescent="0.25">
      <c r="A14" s="800" t="s">
        <v>848</v>
      </c>
      <c r="B14" s="801"/>
      <c r="C14" s="801"/>
      <c r="D14" s="801"/>
      <c r="E14" s="801"/>
      <c r="F14" s="801"/>
      <c r="G14" s="801"/>
      <c r="H14" s="801"/>
      <c r="I14" s="801"/>
      <c r="J14" s="801"/>
      <c r="K14" s="801"/>
      <c r="L14" s="801"/>
      <c r="M14" s="801"/>
      <c r="N14" s="802"/>
      <c r="O14" s="802"/>
      <c r="Q14" s="805"/>
    </row>
    <row r="15" spans="1:21" x14ac:dyDescent="0.2">
      <c r="Q15" s="805"/>
    </row>
    <row r="16" spans="1:21" x14ac:dyDescent="0.2">
      <c r="A16" s="797" t="s">
        <v>853</v>
      </c>
      <c r="B16" s="797"/>
      <c r="C16" s="797"/>
      <c r="D16" s="797"/>
      <c r="E16" s="797"/>
      <c r="F16" s="797"/>
      <c r="G16" s="797"/>
      <c r="Q16" s="805"/>
    </row>
    <row r="17" spans="1:17" x14ac:dyDescent="0.2">
      <c r="A17" s="797" t="s">
        <v>821</v>
      </c>
      <c r="B17" s="799"/>
      <c r="C17" s="799"/>
      <c r="D17" s="799"/>
      <c r="E17" s="799"/>
      <c r="F17" s="799"/>
      <c r="G17" s="797"/>
      <c r="Q17" s="805"/>
    </row>
  </sheetData>
  <pageMargins left="0.19685039370078741" right="0.19685039370078741" top="0.78740157480314965" bottom="0.78740157480314965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75"/>
  <sheetViews>
    <sheetView zoomScaleNormal="100" workbookViewId="0">
      <pane xSplit="8" ySplit="11" topLeftCell="AI15" activePane="bottomRight" state="frozen"/>
      <selection activeCell="AY53" sqref="AY53:BD55"/>
      <selection pane="topRight" activeCell="AY53" sqref="AY53:BD55"/>
      <selection pane="bottomLeft" activeCell="AY53" sqref="AY53:BD55"/>
      <selection pane="bottomRight" activeCell="AO6" sqref="AO6:AX7"/>
    </sheetView>
  </sheetViews>
  <sheetFormatPr defaultColWidth="9.140625" defaultRowHeight="15" x14ac:dyDescent="0.25"/>
  <cols>
    <col min="1" max="1" width="5" style="200" customWidth="1"/>
    <col min="2" max="2" width="4.7109375" style="203" bestFit="1" customWidth="1"/>
    <col min="3" max="3" width="8.7109375" style="203" bestFit="1" customWidth="1"/>
    <col min="4" max="4" width="7.85546875" style="203" bestFit="1" customWidth="1"/>
    <col min="5" max="5" width="33.140625" style="200" customWidth="1"/>
    <col min="6" max="6" width="4.42578125" style="200" customWidth="1"/>
    <col min="7" max="7" width="10.28515625" style="200" bestFit="1" customWidth="1"/>
    <col min="8" max="8" width="8" style="200" customWidth="1"/>
    <col min="9" max="9" width="10.85546875" style="447" customWidth="1"/>
    <col min="10" max="15" width="10.85546875" style="201" customWidth="1"/>
    <col min="16" max="16" width="11.85546875" style="448" customWidth="1"/>
    <col min="17" max="18" width="10.85546875" style="202" customWidth="1"/>
    <col min="19" max="19" width="9.140625" style="175" customWidth="1"/>
    <col min="20" max="20" width="9.28515625" style="175" customWidth="1"/>
    <col min="21" max="21" width="10.5703125" style="175" customWidth="1"/>
    <col min="22" max="23" width="9.28515625" style="175" customWidth="1"/>
    <col min="24" max="24" width="10.140625" style="175" customWidth="1"/>
    <col min="25" max="25" width="9.5703125" style="175" customWidth="1"/>
    <col min="26" max="26" width="10" style="175" customWidth="1"/>
    <col min="27" max="29" width="9.28515625" style="175" customWidth="1"/>
    <col min="30" max="30" width="11" style="175" customWidth="1"/>
    <col min="31" max="32" width="9.28515625" style="175" customWidth="1"/>
    <col min="33" max="39" width="9.28515625" style="176" customWidth="1"/>
    <col min="40" max="40" width="9.5703125" style="176" customWidth="1"/>
    <col min="41" max="41" width="9.5703125" style="175" customWidth="1"/>
    <col min="42" max="43" width="9.28515625" style="175" customWidth="1"/>
    <col min="44" max="44" width="10.7109375" style="175" customWidth="1"/>
    <col min="45" max="46" width="9.28515625" style="175" customWidth="1"/>
    <col min="47" max="47" width="12.140625" style="175" customWidth="1"/>
    <col min="48" max="48" width="11.5703125" style="176" customWidth="1"/>
    <col min="49" max="49" width="9.28515625" style="176" customWidth="1"/>
    <col min="50" max="50" width="9.140625" style="176" customWidth="1"/>
    <col min="51" max="16384" width="9.140625" style="203"/>
  </cols>
  <sheetData>
    <row r="1" spans="1:50" ht="12.75" customHeight="1" x14ac:dyDescent="0.25">
      <c r="A1" s="446" t="s">
        <v>2</v>
      </c>
      <c r="B1" s="446"/>
      <c r="C1" s="78"/>
      <c r="D1" s="446"/>
      <c r="E1" s="446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</row>
    <row r="2" spans="1:50" ht="12.75" customHeight="1" x14ac:dyDescent="0.25">
      <c r="A2" s="446" t="s">
        <v>3</v>
      </c>
      <c r="B2" s="446"/>
      <c r="C2" s="78"/>
      <c r="D2" s="446"/>
      <c r="E2" s="446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1"/>
      <c r="AV2" s="452"/>
      <c r="AW2" s="452"/>
    </row>
    <row r="3" spans="1:50" ht="12.75" customHeight="1" x14ac:dyDescent="0.25">
      <c r="A3" s="873" t="s">
        <v>4</v>
      </c>
      <c r="B3" s="873"/>
      <c r="C3" s="873"/>
      <c r="D3" s="873"/>
      <c r="E3" s="873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5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1"/>
      <c r="AV3" s="452"/>
      <c r="AW3" s="452"/>
    </row>
    <row r="4" spans="1:50" ht="12.75" customHeight="1" x14ac:dyDescent="0.25">
      <c r="A4" s="203"/>
      <c r="B4" s="446"/>
      <c r="C4" s="446"/>
      <c r="D4" s="446"/>
      <c r="E4" s="446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5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1"/>
      <c r="AV4" s="452"/>
      <c r="AW4" s="452"/>
    </row>
    <row r="5" spans="1:50" ht="16.5" customHeight="1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W5" s="453"/>
      <c r="X5" s="453"/>
      <c r="Y5" s="454"/>
      <c r="Z5" s="454"/>
      <c r="AA5" s="454"/>
      <c r="AB5" s="455"/>
      <c r="AC5" s="455"/>
      <c r="AD5" s="455"/>
      <c r="AE5" s="454"/>
      <c r="AH5" s="459"/>
      <c r="AI5" s="453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7"/>
      <c r="AV5" s="458"/>
      <c r="AW5" s="458"/>
    </row>
    <row r="6" spans="1:50" ht="12.75" customHeight="1" x14ac:dyDescent="0.25"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5.75" customHeight="1" thickBot="1" x14ac:dyDescent="0.3">
      <c r="A7" s="203"/>
      <c r="B7" s="460"/>
      <c r="C7"/>
      <c r="D7" s="461"/>
      <c r="E7" s="46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s="204" customFormat="1" ht="15" customHeight="1" x14ac:dyDescent="0.25">
      <c r="A8" s="23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s="609" customFormat="1" ht="15.75" thickBot="1" x14ac:dyDescent="0.25">
      <c r="A9" s="302" t="s">
        <v>826</v>
      </c>
      <c r="B9"/>
      <c r="C9"/>
      <c r="D9" s="462"/>
      <c r="E9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s="609" customFormat="1" ht="34.5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413" t="s">
        <v>279</v>
      </c>
      <c r="Q11" s="413" t="s">
        <v>571</v>
      </c>
      <c r="R11" s="414" t="s">
        <v>572</v>
      </c>
      <c r="S11" s="419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7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8" t="s">
        <v>313</v>
      </c>
      <c r="AL11" s="258" t="s">
        <v>312</v>
      </c>
      <c r="AM11" s="258" t="s">
        <v>313</v>
      </c>
      <c r="AN11" s="259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s="210" customFormat="1" ht="14.1" customHeight="1" x14ac:dyDescent="0.2">
      <c r="A12" s="610">
        <v>1</v>
      </c>
      <c r="B12" s="245">
        <v>2323</v>
      </c>
      <c r="C12" s="611">
        <v>667000241</v>
      </c>
      <c r="D12" s="245">
        <v>71223461</v>
      </c>
      <c r="E12" s="245" t="s">
        <v>749</v>
      </c>
      <c r="F12" s="246">
        <v>3141</v>
      </c>
      <c r="G12" s="245" t="s">
        <v>321</v>
      </c>
      <c r="H12" s="612" t="s">
        <v>284</v>
      </c>
      <c r="I12" s="519">
        <v>4216447</v>
      </c>
      <c r="J12" s="475">
        <v>3029280</v>
      </c>
      <c r="K12" s="475">
        <v>50000</v>
      </c>
      <c r="L12" s="475">
        <v>0</v>
      </c>
      <c r="M12" s="475">
        <v>1040797</v>
      </c>
      <c r="N12" s="475">
        <v>60586</v>
      </c>
      <c r="O12" s="475">
        <v>35784</v>
      </c>
      <c r="P12" s="522">
        <v>10.389999999999999</v>
      </c>
      <c r="Q12" s="521">
        <v>0</v>
      </c>
      <c r="R12" s="523">
        <v>10.389999999999999</v>
      </c>
      <c r="S12" s="484">
        <v>0</v>
      </c>
      <c r="T12" s="485">
        <v>0</v>
      </c>
      <c r="U12" s="485">
        <v>0</v>
      </c>
      <c r="V12" s="485">
        <f>SUM(S12:U12)</f>
        <v>0</v>
      </c>
      <c r="W12" s="485">
        <v>0</v>
      </c>
      <c r="X12" s="485">
        <v>0</v>
      </c>
      <c r="Y12" s="485">
        <f>SUM(W12:X12)</f>
        <v>0</v>
      </c>
      <c r="Z12" s="485">
        <f>V12+Y12</f>
        <v>0</v>
      </c>
      <c r="AA12" s="261">
        <f>ROUND((V12+W12)*33.8%,0)</f>
        <v>0</v>
      </c>
      <c r="AB12" s="261">
        <f>ROUND(V12*2%,0)</f>
        <v>0</v>
      </c>
      <c r="AC12" s="485">
        <v>0</v>
      </c>
      <c r="AD12" s="485">
        <v>0</v>
      </c>
      <c r="AE12" s="485">
        <f>SUM(AC12:AD12)</f>
        <v>0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488">
        <f>SUM(AL12:AM12)</f>
        <v>0</v>
      </c>
      <c r="AO12" s="479">
        <f>I12+AF12</f>
        <v>4216447</v>
      </c>
      <c r="AP12" s="480">
        <f>J12+V12</f>
        <v>3029280</v>
      </c>
      <c r="AQ12" s="480">
        <f>K12+Y12</f>
        <v>50000</v>
      </c>
      <c r="AR12" s="480">
        <f>L12</f>
        <v>0</v>
      </c>
      <c r="AS12" s="480">
        <f>M12+AA12</f>
        <v>1040797</v>
      </c>
      <c r="AT12" s="480">
        <f>N12+AB12</f>
        <v>60586</v>
      </c>
      <c r="AU12" s="480">
        <f>O12+AE12</f>
        <v>35784</v>
      </c>
      <c r="AV12" s="482">
        <f>P12+AN12</f>
        <v>10.389999999999999</v>
      </c>
      <c r="AW12" s="482">
        <f>Q12+AL12</f>
        <v>0</v>
      </c>
      <c r="AX12" s="483">
        <f>R12+AM12</f>
        <v>10.389999999999999</v>
      </c>
    </row>
    <row r="13" spans="1:50" s="210" customFormat="1" ht="14.1" customHeight="1" x14ac:dyDescent="0.2">
      <c r="A13" s="235">
        <v>1</v>
      </c>
      <c r="B13" s="211">
        <v>2323</v>
      </c>
      <c r="C13" s="613">
        <v>667000241</v>
      </c>
      <c r="D13" s="211">
        <v>71223461</v>
      </c>
      <c r="E13" s="211" t="s">
        <v>750</v>
      </c>
      <c r="F13" s="212"/>
      <c r="G13" s="213"/>
      <c r="H13" s="214"/>
      <c r="I13" s="614">
        <v>4216447</v>
      </c>
      <c r="J13" s="615">
        <v>3029280</v>
      </c>
      <c r="K13" s="615">
        <v>50000</v>
      </c>
      <c r="L13" s="615">
        <v>0</v>
      </c>
      <c r="M13" s="615">
        <v>1040797</v>
      </c>
      <c r="N13" s="615">
        <v>60586</v>
      </c>
      <c r="O13" s="615">
        <v>35784</v>
      </c>
      <c r="P13" s="616">
        <v>10.389999999999999</v>
      </c>
      <c r="Q13" s="616">
        <v>0</v>
      </c>
      <c r="R13" s="619">
        <v>10.389999999999999</v>
      </c>
      <c r="S13" s="615">
        <f t="shared" ref="S13:AX13" si="0">SUM(S12)</f>
        <v>0</v>
      </c>
      <c r="T13" s="617">
        <f t="shared" si="0"/>
        <v>0</v>
      </c>
      <c r="U13" s="617">
        <f t="shared" si="0"/>
        <v>0</v>
      </c>
      <c r="V13" s="617">
        <f t="shared" si="0"/>
        <v>0</v>
      </c>
      <c r="W13" s="617">
        <f t="shared" si="0"/>
        <v>0</v>
      </c>
      <c r="X13" s="617">
        <f t="shared" si="0"/>
        <v>0</v>
      </c>
      <c r="Y13" s="617">
        <f t="shared" si="0"/>
        <v>0</v>
      </c>
      <c r="Z13" s="617">
        <f t="shared" si="0"/>
        <v>0</v>
      </c>
      <c r="AA13" s="617">
        <f t="shared" si="0"/>
        <v>0</v>
      </c>
      <c r="AB13" s="617">
        <f t="shared" si="0"/>
        <v>0</v>
      </c>
      <c r="AC13" s="617">
        <f t="shared" si="0"/>
        <v>0</v>
      </c>
      <c r="AD13" s="617">
        <f t="shared" si="0"/>
        <v>0</v>
      </c>
      <c r="AE13" s="617">
        <f t="shared" si="0"/>
        <v>0</v>
      </c>
      <c r="AF13" s="617">
        <f t="shared" si="0"/>
        <v>0</v>
      </c>
      <c r="AG13" s="618">
        <f t="shared" si="0"/>
        <v>0</v>
      </c>
      <c r="AH13" s="618">
        <f t="shared" si="0"/>
        <v>0</v>
      </c>
      <c r="AI13" s="618">
        <f t="shared" si="0"/>
        <v>0</v>
      </c>
      <c r="AJ13" s="618">
        <f t="shared" si="0"/>
        <v>0</v>
      </c>
      <c r="AK13" s="618">
        <f t="shared" si="0"/>
        <v>0</v>
      </c>
      <c r="AL13" s="618">
        <f t="shared" si="0"/>
        <v>0</v>
      </c>
      <c r="AM13" s="618">
        <f t="shared" si="0"/>
        <v>0</v>
      </c>
      <c r="AN13" s="619">
        <f t="shared" si="0"/>
        <v>0</v>
      </c>
      <c r="AO13" s="615">
        <f t="shared" si="0"/>
        <v>4216447</v>
      </c>
      <c r="AP13" s="617">
        <f t="shared" si="0"/>
        <v>3029280</v>
      </c>
      <c r="AQ13" s="617">
        <f t="shared" si="0"/>
        <v>50000</v>
      </c>
      <c r="AR13" s="617">
        <f t="shared" si="0"/>
        <v>0</v>
      </c>
      <c r="AS13" s="617">
        <f t="shared" si="0"/>
        <v>1040797</v>
      </c>
      <c r="AT13" s="617">
        <f t="shared" si="0"/>
        <v>60586</v>
      </c>
      <c r="AU13" s="617">
        <f t="shared" si="0"/>
        <v>35784</v>
      </c>
      <c r="AV13" s="618">
        <f t="shared" si="0"/>
        <v>10.389999999999999</v>
      </c>
      <c r="AW13" s="618">
        <f t="shared" si="0"/>
        <v>0</v>
      </c>
      <c r="AX13" s="619">
        <f t="shared" si="0"/>
        <v>10.389999999999999</v>
      </c>
    </row>
    <row r="14" spans="1:50" s="210" customFormat="1" ht="14.1" customHeight="1" x14ac:dyDescent="0.2">
      <c r="A14" s="620">
        <v>2</v>
      </c>
      <c r="B14" s="208">
        <v>2314</v>
      </c>
      <c r="C14" s="621">
        <v>600080358</v>
      </c>
      <c r="D14" s="208">
        <v>46745751</v>
      </c>
      <c r="E14" s="208" t="s">
        <v>751</v>
      </c>
      <c r="F14" s="209">
        <v>3114</v>
      </c>
      <c r="G14" s="208" t="s">
        <v>320</v>
      </c>
      <c r="H14" s="622" t="s">
        <v>283</v>
      </c>
      <c r="I14" s="495">
        <v>10874321</v>
      </c>
      <c r="J14" s="411">
        <v>7767429</v>
      </c>
      <c r="K14" s="411">
        <v>62746</v>
      </c>
      <c r="L14" s="411">
        <v>7696</v>
      </c>
      <c r="M14" s="496">
        <v>2643998</v>
      </c>
      <c r="N14" s="496">
        <v>155348</v>
      </c>
      <c r="O14" s="411">
        <v>244800</v>
      </c>
      <c r="P14" s="412">
        <v>14.396400000000002</v>
      </c>
      <c r="Q14" s="415">
        <v>10.398099999999999</v>
      </c>
      <c r="R14" s="685">
        <v>3.9982999999999995</v>
      </c>
      <c r="S14" s="499"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178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>SUM(AC14:AD14)</f>
        <v>0</v>
      </c>
      <c r="AF14" s="486">
        <f>Z14+AA14+AB14+AE14</f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02">
        <f>SUM(AL14:AM14)</f>
        <v>0</v>
      </c>
      <c r="AO14" s="499">
        <f>I14+AF14</f>
        <v>10874321</v>
      </c>
      <c r="AP14" s="486">
        <f>J14+V14</f>
        <v>7767429</v>
      </c>
      <c r="AQ14" s="480">
        <f>K14+Y14</f>
        <v>62746</v>
      </c>
      <c r="AR14" s="480">
        <f>L14</f>
        <v>7696</v>
      </c>
      <c r="AS14" s="486">
        <f t="shared" ref="AS14:AT17" si="1">M14+AA14</f>
        <v>2643998</v>
      </c>
      <c r="AT14" s="486">
        <f t="shared" si="1"/>
        <v>155348</v>
      </c>
      <c r="AU14" s="486">
        <f>O14+AE14</f>
        <v>244800</v>
      </c>
      <c r="AV14" s="501">
        <f>P14+AN14</f>
        <v>14.396400000000002</v>
      </c>
      <c r="AW14" s="501">
        <f t="shared" ref="AW14:AX17" si="2">Q14+AL14</f>
        <v>10.398099999999999</v>
      </c>
      <c r="AX14" s="502">
        <f t="shared" si="2"/>
        <v>3.9982999999999995</v>
      </c>
    </row>
    <row r="15" spans="1:50" s="210" customFormat="1" ht="14.1" customHeight="1" x14ac:dyDescent="0.2">
      <c r="A15" s="620">
        <v>2</v>
      </c>
      <c r="B15" s="208">
        <v>2314</v>
      </c>
      <c r="C15" s="621">
        <v>600080358</v>
      </c>
      <c r="D15" s="208">
        <v>46745751</v>
      </c>
      <c r="E15" s="208" t="s">
        <v>751</v>
      </c>
      <c r="F15" s="209">
        <v>3114</v>
      </c>
      <c r="G15" s="503" t="s">
        <v>319</v>
      </c>
      <c r="H15" s="622" t="s">
        <v>283</v>
      </c>
      <c r="I15" s="495">
        <v>1797798</v>
      </c>
      <c r="J15" s="411">
        <v>1323857</v>
      </c>
      <c r="K15" s="411">
        <v>0</v>
      </c>
      <c r="L15" s="411">
        <v>0</v>
      </c>
      <c r="M15" s="496">
        <v>447464</v>
      </c>
      <c r="N15" s="496">
        <v>26477</v>
      </c>
      <c r="O15" s="623">
        <v>0</v>
      </c>
      <c r="P15" s="412">
        <v>3.4010000000000002</v>
      </c>
      <c r="Q15" s="415">
        <v>3.4010000000000002</v>
      </c>
      <c r="R15" s="686">
        <v>0</v>
      </c>
      <c r="S15" s="499">
        <v>0</v>
      </c>
      <c r="T15" s="486">
        <v>0</v>
      </c>
      <c r="U15" s="486">
        <v>0</v>
      </c>
      <c r="V15" s="486">
        <f>SUM(S15:U15)</f>
        <v>0</v>
      </c>
      <c r="W15" s="486">
        <v>0</v>
      </c>
      <c r="X15" s="486">
        <v>0</v>
      </c>
      <c r="Y15" s="486">
        <f>SUM(W15:X15)</f>
        <v>0</v>
      </c>
      <c r="Z15" s="486">
        <f>V15+Y15</f>
        <v>0</v>
      </c>
      <c r="AA15" s="178">
        <f>ROUND((V15+W15)*33.8%,0)</f>
        <v>0</v>
      </c>
      <c r="AB15" s="178">
        <f>ROUND(V15*2%,0)</f>
        <v>0</v>
      </c>
      <c r="AC15" s="486">
        <v>0</v>
      </c>
      <c r="AD15" s="486">
        <v>0</v>
      </c>
      <c r="AE15" s="486">
        <f>SUM(AC15:AD15)</f>
        <v>0</v>
      </c>
      <c r="AF15" s="486">
        <f>Z15+AA15+AB15+AE15</f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 t="shared" ref="AL15:AL17" si="3">AG15+AI15+AJ15</f>
        <v>0</v>
      </c>
      <c r="AM15" s="501">
        <f t="shared" ref="AM15:AM17" si="4">AH15+AK15</f>
        <v>0</v>
      </c>
      <c r="AN15" s="502">
        <f>SUM(AL15:AM15)</f>
        <v>0</v>
      </c>
      <c r="AO15" s="499">
        <f>I15+AF15</f>
        <v>1797798</v>
      </c>
      <c r="AP15" s="486">
        <f>J15+V15</f>
        <v>1323857</v>
      </c>
      <c r="AQ15" s="480">
        <f>K15+Y15</f>
        <v>0</v>
      </c>
      <c r="AR15" s="480">
        <f>L15</f>
        <v>0</v>
      </c>
      <c r="AS15" s="486">
        <f t="shared" si="1"/>
        <v>447464</v>
      </c>
      <c r="AT15" s="486">
        <f t="shared" si="1"/>
        <v>26477</v>
      </c>
      <c r="AU15" s="486">
        <f>O15+AE15</f>
        <v>0</v>
      </c>
      <c r="AV15" s="501">
        <f>P15+AN15</f>
        <v>3.4010000000000002</v>
      </c>
      <c r="AW15" s="501">
        <f t="shared" si="2"/>
        <v>3.4010000000000002</v>
      </c>
      <c r="AX15" s="502">
        <f t="shared" si="2"/>
        <v>0</v>
      </c>
    </row>
    <row r="16" spans="1:50" s="210" customFormat="1" ht="14.1" customHeight="1" x14ac:dyDescent="0.2">
      <c r="A16" s="620">
        <v>2</v>
      </c>
      <c r="B16" s="215">
        <v>2314</v>
      </c>
      <c r="C16" s="621">
        <v>600080358</v>
      </c>
      <c r="D16" s="208">
        <v>46745751</v>
      </c>
      <c r="E16" s="215" t="s">
        <v>751</v>
      </c>
      <c r="F16" s="209">
        <v>3143</v>
      </c>
      <c r="G16" s="208" t="s">
        <v>634</v>
      </c>
      <c r="H16" s="216" t="s">
        <v>283</v>
      </c>
      <c r="I16" s="495">
        <v>418437</v>
      </c>
      <c r="J16" s="411">
        <v>308127</v>
      </c>
      <c r="K16" s="411">
        <v>0</v>
      </c>
      <c r="L16" s="411">
        <v>0</v>
      </c>
      <c r="M16" s="496">
        <v>104147</v>
      </c>
      <c r="N16" s="496">
        <v>6163</v>
      </c>
      <c r="O16" s="623">
        <v>0</v>
      </c>
      <c r="P16" s="412">
        <v>0.68959999999999999</v>
      </c>
      <c r="Q16" s="415">
        <v>0.68959999999999999</v>
      </c>
      <c r="R16" s="686">
        <v>0</v>
      </c>
      <c r="S16" s="499"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178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>SUM(AC16:AD16)</f>
        <v>0</v>
      </c>
      <c r="AF16" s="486">
        <f>Z16+AA16+AB16+AE16</f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si="3"/>
        <v>0</v>
      </c>
      <c r="AM16" s="501">
        <f t="shared" si="4"/>
        <v>0</v>
      </c>
      <c r="AN16" s="502">
        <f>SUM(AL16:AM16)</f>
        <v>0</v>
      </c>
      <c r="AO16" s="499">
        <f>I16+AF16</f>
        <v>418437</v>
      </c>
      <c r="AP16" s="486">
        <f>J16+V16</f>
        <v>308127</v>
      </c>
      <c r="AQ16" s="480">
        <f>K16+Y16</f>
        <v>0</v>
      </c>
      <c r="AR16" s="480">
        <f>L16</f>
        <v>0</v>
      </c>
      <c r="AS16" s="486">
        <f t="shared" si="1"/>
        <v>104147</v>
      </c>
      <c r="AT16" s="486">
        <f t="shared" si="1"/>
        <v>6163</v>
      </c>
      <c r="AU16" s="486">
        <f>O16+AE16</f>
        <v>0</v>
      </c>
      <c r="AV16" s="501">
        <f>P16+AN16</f>
        <v>0.68959999999999999</v>
      </c>
      <c r="AW16" s="501">
        <f t="shared" si="2"/>
        <v>0.68959999999999999</v>
      </c>
      <c r="AX16" s="502">
        <f t="shared" si="2"/>
        <v>0</v>
      </c>
    </row>
    <row r="17" spans="1:50" s="210" customFormat="1" ht="14.1" customHeight="1" x14ac:dyDescent="0.2">
      <c r="A17" s="620">
        <v>2</v>
      </c>
      <c r="B17" s="215">
        <v>2314</v>
      </c>
      <c r="C17" s="621">
        <v>600080358</v>
      </c>
      <c r="D17" s="208">
        <v>46745751</v>
      </c>
      <c r="E17" s="215" t="s">
        <v>751</v>
      </c>
      <c r="F17" s="209">
        <v>3143</v>
      </c>
      <c r="G17" s="208" t="s">
        <v>635</v>
      </c>
      <c r="H17" s="216" t="s">
        <v>284</v>
      </c>
      <c r="I17" s="495">
        <v>9831</v>
      </c>
      <c r="J17" s="623">
        <v>6930</v>
      </c>
      <c r="K17" s="623">
        <v>0</v>
      </c>
      <c r="L17" s="623">
        <v>0</v>
      </c>
      <c r="M17" s="496">
        <v>2342</v>
      </c>
      <c r="N17" s="496">
        <v>139</v>
      </c>
      <c r="O17" s="623">
        <v>420</v>
      </c>
      <c r="P17" s="412">
        <v>0.03</v>
      </c>
      <c r="Q17" s="497">
        <v>0</v>
      </c>
      <c r="R17" s="686">
        <v>0.03</v>
      </c>
      <c r="S17" s="499"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178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>SUM(AC17:AD17)</f>
        <v>0</v>
      </c>
      <c r="AF17" s="486">
        <f>Z17+AA17+AB17+AE17</f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3"/>
        <v>0</v>
      </c>
      <c r="AM17" s="501">
        <f t="shared" si="4"/>
        <v>0</v>
      </c>
      <c r="AN17" s="502">
        <f>SUM(AL17:AM17)</f>
        <v>0</v>
      </c>
      <c r="AO17" s="499">
        <f>I17+AF17</f>
        <v>9831</v>
      </c>
      <c r="AP17" s="486">
        <f>J17+V17</f>
        <v>6930</v>
      </c>
      <c r="AQ17" s="480">
        <f>K17+Y17</f>
        <v>0</v>
      </c>
      <c r="AR17" s="480">
        <f>L17</f>
        <v>0</v>
      </c>
      <c r="AS17" s="486">
        <f t="shared" si="1"/>
        <v>2342</v>
      </c>
      <c r="AT17" s="486">
        <f t="shared" si="1"/>
        <v>139</v>
      </c>
      <c r="AU17" s="486">
        <f>O17+AE17</f>
        <v>420</v>
      </c>
      <c r="AV17" s="501">
        <f>P17+AN17</f>
        <v>0.03</v>
      </c>
      <c r="AW17" s="501">
        <f t="shared" si="2"/>
        <v>0</v>
      </c>
      <c r="AX17" s="502">
        <f t="shared" si="2"/>
        <v>0.03</v>
      </c>
    </row>
    <row r="18" spans="1:50" s="210" customFormat="1" ht="14.1" customHeight="1" x14ac:dyDescent="0.2">
      <c r="A18" s="235">
        <v>2</v>
      </c>
      <c r="B18" s="211">
        <v>2314</v>
      </c>
      <c r="C18" s="613">
        <v>600080358</v>
      </c>
      <c r="D18" s="211">
        <v>46745751</v>
      </c>
      <c r="E18" s="211" t="s">
        <v>752</v>
      </c>
      <c r="F18" s="212"/>
      <c r="G18" s="213"/>
      <c r="H18" s="214"/>
      <c r="I18" s="614">
        <v>13100387</v>
      </c>
      <c r="J18" s="615">
        <v>9406343</v>
      </c>
      <c r="K18" s="615">
        <v>62746</v>
      </c>
      <c r="L18" s="615">
        <v>7696</v>
      </c>
      <c r="M18" s="615">
        <v>3197951</v>
      </c>
      <c r="N18" s="615">
        <v>188127</v>
      </c>
      <c r="O18" s="615">
        <v>245220</v>
      </c>
      <c r="P18" s="616">
        <v>18.517000000000003</v>
      </c>
      <c r="Q18" s="616">
        <v>14.4887</v>
      </c>
      <c r="R18" s="619">
        <v>4.0282999999999998</v>
      </c>
      <c r="S18" s="615">
        <f t="shared" ref="S18:AX18" si="5">SUM(S14:S17)</f>
        <v>0</v>
      </c>
      <c r="T18" s="617">
        <f t="shared" si="5"/>
        <v>0</v>
      </c>
      <c r="U18" s="617">
        <f t="shared" si="5"/>
        <v>0</v>
      </c>
      <c r="V18" s="617">
        <f t="shared" si="5"/>
        <v>0</v>
      </c>
      <c r="W18" s="617">
        <f t="shared" si="5"/>
        <v>0</v>
      </c>
      <c r="X18" s="617">
        <f t="shared" si="5"/>
        <v>0</v>
      </c>
      <c r="Y18" s="617">
        <f t="shared" si="5"/>
        <v>0</v>
      </c>
      <c r="Z18" s="617">
        <f t="shared" si="5"/>
        <v>0</v>
      </c>
      <c r="AA18" s="617">
        <f t="shared" si="5"/>
        <v>0</v>
      </c>
      <c r="AB18" s="617">
        <f t="shared" si="5"/>
        <v>0</v>
      </c>
      <c r="AC18" s="617">
        <f t="shared" si="5"/>
        <v>0</v>
      </c>
      <c r="AD18" s="617">
        <f t="shared" si="5"/>
        <v>0</v>
      </c>
      <c r="AE18" s="617">
        <f t="shared" si="5"/>
        <v>0</v>
      </c>
      <c r="AF18" s="617">
        <f t="shared" si="5"/>
        <v>0</v>
      </c>
      <c r="AG18" s="618">
        <f t="shared" si="5"/>
        <v>0</v>
      </c>
      <c r="AH18" s="618">
        <f t="shared" si="5"/>
        <v>0</v>
      </c>
      <c r="AI18" s="618">
        <f t="shared" si="5"/>
        <v>0</v>
      </c>
      <c r="AJ18" s="618">
        <f t="shared" si="5"/>
        <v>0</v>
      </c>
      <c r="AK18" s="618">
        <f t="shared" si="5"/>
        <v>0</v>
      </c>
      <c r="AL18" s="618">
        <f t="shared" si="5"/>
        <v>0</v>
      </c>
      <c r="AM18" s="618">
        <f t="shared" si="5"/>
        <v>0</v>
      </c>
      <c r="AN18" s="619">
        <f t="shared" si="5"/>
        <v>0</v>
      </c>
      <c r="AO18" s="615">
        <f t="shared" si="5"/>
        <v>13100387</v>
      </c>
      <c r="AP18" s="617">
        <f t="shared" si="5"/>
        <v>9406343</v>
      </c>
      <c r="AQ18" s="617">
        <f t="shared" si="5"/>
        <v>62746</v>
      </c>
      <c r="AR18" s="617">
        <f t="shared" si="5"/>
        <v>7696</v>
      </c>
      <c r="AS18" s="617">
        <f t="shared" si="5"/>
        <v>3197951</v>
      </c>
      <c r="AT18" s="617">
        <f t="shared" si="5"/>
        <v>188127</v>
      </c>
      <c r="AU18" s="617">
        <f t="shared" si="5"/>
        <v>245220</v>
      </c>
      <c r="AV18" s="618">
        <f t="shared" si="5"/>
        <v>18.517000000000003</v>
      </c>
      <c r="AW18" s="618">
        <f t="shared" si="5"/>
        <v>14.4887</v>
      </c>
      <c r="AX18" s="619">
        <f t="shared" si="5"/>
        <v>4.0282999999999998</v>
      </c>
    </row>
    <row r="19" spans="1:50" s="210" customFormat="1" ht="14.1" customHeight="1" x14ac:dyDescent="0.2">
      <c r="A19" s="620">
        <v>3</v>
      </c>
      <c r="B19" s="215">
        <v>2448</v>
      </c>
      <c r="C19" s="621">
        <v>600080269</v>
      </c>
      <c r="D19" s="208">
        <v>63154617</v>
      </c>
      <c r="E19" s="208" t="s">
        <v>753</v>
      </c>
      <c r="F19" s="209">
        <v>3111</v>
      </c>
      <c r="G19" s="208" t="s">
        <v>317</v>
      </c>
      <c r="H19" s="622" t="s">
        <v>283</v>
      </c>
      <c r="I19" s="495">
        <v>13623554</v>
      </c>
      <c r="J19" s="411">
        <v>9782853</v>
      </c>
      <c r="K19" s="411">
        <v>130000</v>
      </c>
      <c r="L19" s="411">
        <v>0</v>
      </c>
      <c r="M19" s="496">
        <v>3350544</v>
      </c>
      <c r="N19" s="496">
        <v>195657</v>
      </c>
      <c r="O19" s="623">
        <v>164500</v>
      </c>
      <c r="P19" s="412">
        <v>23.048299999999998</v>
      </c>
      <c r="Q19" s="415">
        <v>18.45</v>
      </c>
      <c r="R19" s="685">
        <v>4.5983000000000001</v>
      </c>
      <c r="S19" s="499">
        <v>0</v>
      </c>
      <c r="T19" s="486">
        <v>0</v>
      </c>
      <c r="U19" s="486">
        <v>0</v>
      </c>
      <c r="V19" s="486">
        <f t="shared" ref="V19:V26" si="6">SUM(S19:U19)</f>
        <v>0</v>
      </c>
      <c r="W19" s="486">
        <v>0</v>
      </c>
      <c r="X19" s="486">
        <v>0</v>
      </c>
      <c r="Y19" s="486">
        <f t="shared" ref="Y19:Y26" si="7">SUM(W19:X19)</f>
        <v>0</v>
      </c>
      <c r="Z19" s="486">
        <f t="shared" ref="Z19:Z26" si="8">V19+Y19</f>
        <v>0</v>
      </c>
      <c r="AA19" s="178">
        <f t="shared" ref="AA19:AA26" si="9">ROUND((V19+W19)*33.8%,0)</f>
        <v>0</v>
      </c>
      <c r="AB19" s="178">
        <f t="shared" ref="AB19:AB26" si="10">ROUND(V19*2%,0)</f>
        <v>0</v>
      </c>
      <c r="AC19" s="486">
        <v>0</v>
      </c>
      <c r="AD19" s="486">
        <v>0</v>
      </c>
      <c r="AE19" s="486">
        <f t="shared" ref="AE19:AE26" si="11">SUM(AC19:AD19)</f>
        <v>0</v>
      </c>
      <c r="AF19" s="486">
        <f t="shared" ref="AF19:AF26" si="12">Z19+AA19+AB19+AE19</f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ref="AL19:AL26" si="13">AG19+AI19+AJ19</f>
        <v>0</v>
      </c>
      <c r="AM19" s="501">
        <f t="shared" ref="AM19:AM26" si="14">AH19+AK19</f>
        <v>0</v>
      </c>
      <c r="AN19" s="502">
        <f t="shared" ref="AN19:AN26" si="15">SUM(AL19:AM19)</f>
        <v>0</v>
      </c>
      <c r="AO19" s="499">
        <f t="shared" ref="AO19:AO26" si="16">I19+AF19</f>
        <v>13623554</v>
      </c>
      <c r="AP19" s="486">
        <f t="shared" ref="AP19:AP26" si="17">J19+V19</f>
        <v>9782853</v>
      </c>
      <c r="AQ19" s="480">
        <f t="shared" ref="AQ19:AQ26" si="18">K19+Y19</f>
        <v>130000</v>
      </c>
      <c r="AR19" s="480">
        <f t="shared" ref="AR19:AR26" si="19">L19</f>
        <v>0</v>
      </c>
      <c r="AS19" s="486">
        <f t="shared" ref="AS19:AT26" si="20">M19+AA19</f>
        <v>3350544</v>
      </c>
      <c r="AT19" s="486">
        <f t="shared" si="20"/>
        <v>195657</v>
      </c>
      <c r="AU19" s="486">
        <f t="shared" ref="AU19:AU26" si="21">O19+AE19</f>
        <v>164500</v>
      </c>
      <c r="AV19" s="501">
        <f t="shared" ref="AV19:AV26" si="22">P19+AN19</f>
        <v>23.048299999999998</v>
      </c>
      <c r="AW19" s="501">
        <f t="shared" ref="AW19:AX26" si="23">Q19+AL19</f>
        <v>18.45</v>
      </c>
      <c r="AX19" s="502">
        <f t="shared" si="23"/>
        <v>4.5983000000000001</v>
      </c>
    </row>
    <row r="20" spans="1:50" s="210" customFormat="1" ht="14.1" customHeight="1" x14ac:dyDescent="0.2">
      <c r="A20" s="620">
        <v>3</v>
      </c>
      <c r="B20" s="215">
        <v>2448</v>
      </c>
      <c r="C20" s="621">
        <v>600080269</v>
      </c>
      <c r="D20" s="208">
        <v>63154617</v>
      </c>
      <c r="E20" s="208" t="s">
        <v>753</v>
      </c>
      <c r="F20" s="209">
        <v>3113</v>
      </c>
      <c r="G20" s="208" t="s">
        <v>320</v>
      </c>
      <c r="H20" s="622" t="s">
        <v>283</v>
      </c>
      <c r="I20" s="495">
        <v>54462916</v>
      </c>
      <c r="J20" s="328">
        <v>38187780</v>
      </c>
      <c r="K20" s="328">
        <v>556293</v>
      </c>
      <c r="L20" s="328">
        <v>395293</v>
      </c>
      <c r="M20" s="496">
        <v>12961888</v>
      </c>
      <c r="N20" s="496">
        <v>763755</v>
      </c>
      <c r="O20" s="328">
        <v>1993200</v>
      </c>
      <c r="P20" s="412">
        <v>72.830600000000004</v>
      </c>
      <c r="Q20" s="329">
        <v>55.342700000000001</v>
      </c>
      <c r="R20" s="330">
        <v>17.487900000000003</v>
      </c>
      <c r="S20" s="499">
        <v>-50000</v>
      </c>
      <c r="T20" s="486">
        <v>0</v>
      </c>
      <c r="U20" s="486">
        <v>0</v>
      </c>
      <c r="V20" s="486">
        <f t="shared" si="6"/>
        <v>-50000</v>
      </c>
      <c r="W20" s="486">
        <v>50000</v>
      </c>
      <c r="X20" s="486">
        <v>0</v>
      </c>
      <c r="Y20" s="486">
        <f t="shared" si="7"/>
        <v>50000</v>
      </c>
      <c r="Z20" s="486">
        <f t="shared" si="8"/>
        <v>0</v>
      </c>
      <c r="AA20" s="178">
        <f t="shared" si="9"/>
        <v>0</v>
      </c>
      <c r="AB20" s="178">
        <f t="shared" si="10"/>
        <v>-1000</v>
      </c>
      <c r="AC20" s="486">
        <v>0</v>
      </c>
      <c r="AD20" s="486">
        <v>0</v>
      </c>
      <c r="AE20" s="486">
        <f t="shared" si="11"/>
        <v>0</v>
      </c>
      <c r="AF20" s="486">
        <f t="shared" si="12"/>
        <v>-1000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3"/>
        <v>0</v>
      </c>
      <c r="AM20" s="501">
        <f t="shared" si="14"/>
        <v>0</v>
      </c>
      <c r="AN20" s="502">
        <f t="shared" si="15"/>
        <v>0</v>
      </c>
      <c r="AO20" s="499">
        <f t="shared" si="16"/>
        <v>54461916</v>
      </c>
      <c r="AP20" s="486">
        <f t="shared" si="17"/>
        <v>38137780</v>
      </c>
      <c r="AQ20" s="480">
        <f t="shared" si="18"/>
        <v>606293</v>
      </c>
      <c r="AR20" s="480">
        <f t="shared" si="19"/>
        <v>395293</v>
      </c>
      <c r="AS20" s="486">
        <f t="shared" si="20"/>
        <v>12961888</v>
      </c>
      <c r="AT20" s="486">
        <f t="shared" si="20"/>
        <v>762755</v>
      </c>
      <c r="AU20" s="486">
        <f t="shared" si="21"/>
        <v>1993200</v>
      </c>
      <c r="AV20" s="501">
        <f t="shared" si="22"/>
        <v>72.830600000000004</v>
      </c>
      <c r="AW20" s="501">
        <f t="shared" si="23"/>
        <v>55.342700000000001</v>
      </c>
      <c r="AX20" s="502">
        <f t="shared" si="23"/>
        <v>17.487900000000003</v>
      </c>
    </row>
    <row r="21" spans="1:50" s="210" customFormat="1" ht="14.1" customHeight="1" x14ac:dyDescent="0.2">
      <c r="A21" s="620">
        <v>3</v>
      </c>
      <c r="B21" s="208">
        <v>2448</v>
      </c>
      <c r="C21" s="621">
        <v>600080269</v>
      </c>
      <c r="D21" s="208">
        <v>63154617</v>
      </c>
      <c r="E21" s="208" t="s">
        <v>753</v>
      </c>
      <c r="F21" s="209">
        <v>3113</v>
      </c>
      <c r="G21" s="208" t="s">
        <v>318</v>
      </c>
      <c r="H21" s="622" t="s">
        <v>284</v>
      </c>
      <c r="I21" s="495">
        <v>8190809</v>
      </c>
      <c r="J21" s="623">
        <v>5998755</v>
      </c>
      <c r="K21" s="623">
        <v>0</v>
      </c>
      <c r="L21" s="623">
        <v>0</v>
      </c>
      <c r="M21" s="496">
        <v>2027579</v>
      </c>
      <c r="N21" s="496">
        <v>119975</v>
      </c>
      <c r="O21" s="623">
        <v>44500</v>
      </c>
      <c r="P21" s="412">
        <v>16.864000000000001</v>
      </c>
      <c r="Q21" s="497">
        <v>16.864000000000001</v>
      </c>
      <c r="R21" s="686">
        <v>0</v>
      </c>
      <c r="S21" s="499">
        <v>0</v>
      </c>
      <c r="T21" s="486">
        <v>1890</v>
      </c>
      <c r="U21" s="486">
        <v>0</v>
      </c>
      <c r="V21" s="486">
        <f t="shared" si="6"/>
        <v>1890</v>
      </c>
      <c r="W21" s="486">
        <v>0</v>
      </c>
      <c r="X21" s="486">
        <v>0</v>
      </c>
      <c r="Y21" s="486">
        <f t="shared" si="7"/>
        <v>0</v>
      </c>
      <c r="Z21" s="486">
        <f t="shared" si="8"/>
        <v>1890</v>
      </c>
      <c r="AA21" s="178">
        <f t="shared" si="9"/>
        <v>639</v>
      </c>
      <c r="AB21" s="178">
        <f t="shared" si="10"/>
        <v>38</v>
      </c>
      <c r="AC21" s="486">
        <v>0</v>
      </c>
      <c r="AD21" s="486">
        <v>0</v>
      </c>
      <c r="AE21" s="486">
        <f t="shared" si="11"/>
        <v>0</v>
      </c>
      <c r="AF21" s="486">
        <f t="shared" si="12"/>
        <v>2567</v>
      </c>
      <c r="AG21" s="501">
        <v>0</v>
      </c>
      <c r="AH21" s="501">
        <v>0</v>
      </c>
      <c r="AI21" s="501">
        <v>0.01</v>
      </c>
      <c r="AJ21" s="501">
        <v>0</v>
      </c>
      <c r="AK21" s="501">
        <v>0</v>
      </c>
      <c r="AL21" s="501">
        <f t="shared" si="13"/>
        <v>0.01</v>
      </c>
      <c r="AM21" s="501">
        <f t="shared" si="14"/>
        <v>0</v>
      </c>
      <c r="AN21" s="502">
        <f t="shared" si="15"/>
        <v>0.01</v>
      </c>
      <c r="AO21" s="499">
        <f t="shared" si="16"/>
        <v>8193376</v>
      </c>
      <c r="AP21" s="486">
        <f t="shared" si="17"/>
        <v>6000645</v>
      </c>
      <c r="AQ21" s="480">
        <f t="shared" si="18"/>
        <v>0</v>
      </c>
      <c r="AR21" s="480">
        <f t="shared" si="19"/>
        <v>0</v>
      </c>
      <c r="AS21" s="486">
        <f t="shared" si="20"/>
        <v>2028218</v>
      </c>
      <c r="AT21" s="486">
        <f t="shared" si="20"/>
        <v>120013</v>
      </c>
      <c r="AU21" s="486">
        <f t="shared" si="21"/>
        <v>44500</v>
      </c>
      <c r="AV21" s="501">
        <f t="shared" si="22"/>
        <v>16.874000000000002</v>
      </c>
      <c r="AW21" s="501">
        <f t="shared" si="23"/>
        <v>16.874000000000002</v>
      </c>
      <c r="AX21" s="502">
        <f t="shared" si="23"/>
        <v>0</v>
      </c>
    </row>
    <row r="22" spans="1:50" s="210" customFormat="1" ht="14.1" customHeight="1" x14ac:dyDescent="0.2">
      <c r="A22" s="620">
        <v>3</v>
      </c>
      <c r="B22" s="215">
        <v>2448</v>
      </c>
      <c r="C22" s="621">
        <v>600080269</v>
      </c>
      <c r="D22" s="208">
        <v>63154617</v>
      </c>
      <c r="E22" s="215" t="s">
        <v>753</v>
      </c>
      <c r="F22" s="209">
        <v>3141</v>
      </c>
      <c r="G22" s="208" t="s">
        <v>321</v>
      </c>
      <c r="H22" s="622" t="s">
        <v>284</v>
      </c>
      <c r="I22" s="495">
        <v>3744026</v>
      </c>
      <c r="J22" s="623">
        <v>2710815</v>
      </c>
      <c r="K22" s="623">
        <v>25000</v>
      </c>
      <c r="L22" s="623">
        <v>0</v>
      </c>
      <c r="M22" s="496">
        <v>924706</v>
      </c>
      <c r="N22" s="496">
        <v>54217</v>
      </c>
      <c r="O22" s="623">
        <v>29288</v>
      </c>
      <c r="P22" s="412">
        <v>9.2899999999999991</v>
      </c>
      <c r="Q22" s="497">
        <v>0</v>
      </c>
      <c r="R22" s="686">
        <v>9.2899999999999991</v>
      </c>
      <c r="S22" s="499">
        <v>0</v>
      </c>
      <c r="T22" s="486">
        <v>0</v>
      </c>
      <c r="U22" s="486">
        <v>0</v>
      </c>
      <c r="V22" s="486">
        <f t="shared" si="6"/>
        <v>0</v>
      </c>
      <c r="W22" s="486">
        <v>0</v>
      </c>
      <c r="X22" s="486">
        <v>0</v>
      </c>
      <c r="Y22" s="486">
        <f t="shared" si="7"/>
        <v>0</v>
      </c>
      <c r="Z22" s="486">
        <f t="shared" si="8"/>
        <v>0</v>
      </c>
      <c r="AA22" s="178">
        <f t="shared" si="9"/>
        <v>0</v>
      </c>
      <c r="AB22" s="178">
        <f t="shared" si="10"/>
        <v>0</v>
      </c>
      <c r="AC22" s="486">
        <v>0</v>
      </c>
      <c r="AD22" s="486">
        <v>0</v>
      </c>
      <c r="AE22" s="486">
        <f t="shared" si="11"/>
        <v>0</v>
      </c>
      <c r="AF22" s="486">
        <f t="shared" si="12"/>
        <v>0</v>
      </c>
      <c r="AG22" s="501">
        <v>0</v>
      </c>
      <c r="AH22" s="501">
        <v>0</v>
      </c>
      <c r="AI22" s="501">
        <v>0</v>
      </c>
      <c r="AJ22" s="501">
        <v>0</v>
      </c>
      <c r="AK22" s="501">
        <v>0</v>
      </c>
      <c r="AL22" s="501">
        <f t="shared" si="13"/>
        <v>0</v>
      </c>
      <c r="AM22" s="501">
        <f t="shared" si="14"/>
        <v>0</v>
      </c>
      <c r="AN22" s="502">
        <f t="shared" si="15"/>
        <v>0</v>
      </c>
      <c r="AO22" s="499">
        <f t="shared" si="16"/>
        <v>3744026</v>
      </c>
      <c r="AP22" s="486">
        <f t="shared" si="17"/>
        <v>2710815</v>
      </c>
      <c r="AQ22" s="480">
        <f t="shared" si="18"/>
        <v>25000</v>
      </c>
      <c r="AR22" s="480">
        <f t="shared" si="19"/>
        <v>0</v>
      </c>
      <c r="AS22" s="486">
        <f t="shared" si="20"/>
        <v>924706</v>
      </c>
      <c r="AT22" s="486">
        <f t="shared" si="20"/>
        <v>54217</v>
      </c>
      <c r="AU22" s="486">
        <f t="shared" si="21"/>
        <v>29288</v>
      </c>
      <c r="AV22" s="501">
        <f t="shared" si="22"/>
        <v>9.2899999999999991</v>
      </c>
      <c r="AW22" s="501">
        <f t="shared" si="23"/>
        <v>0</v>
      </c>
      <c r="AX22" s="502">
        <f t="shared" si="23"/>
        <v>9.2899999999999991</v>
      </c>
    </row>
    <row r="23" spans="1:50" s="210" customFormat="1" ht="14.1" customHeight="1" x14ac:dyDescent="0.2">
      <c r="A23" s="620">
        <v>3</v>
      </c>
      <c r="B23" s="215">
        <v>2448</v>
      </c>
      <c r="C23" s="621">
        <v>600080269</v>
      </c>
      <c r="D23" s="208">
        <v>63154617</v>
      </c>
      <c r="E23" s="215" t="s">
        <v>753</v>
      </c>
      <c r="F23" s="209">
        <v>3143</v>
      </c>
      <c r="G23" s="208" t="s">
        <v>634</v>
      </c>
      <c r="H23" s="216" t="s">
        <v>283</v>
      </c>
      <c r="I23" s="495">
        <v>4119957</v>
      </c>
      <c r="J23" s="411">
        <v>3004283</v>
      </c>
      <c r="K23" s="411">
        <v>30000</v>
      </c>
      <c r="L23" s="411">
        <v>0</v>
      </c>
      <c r="M23" s="496">
        <v>1025588</v>
      </c>
      <c r="N23" s="496">
        <v>60086</v>
      </c>
      <c r="O23" s="623">
        <v>0</v>
      </c>
      <c r="P23" s="412">
        <v>6.21</v>
      </c>
      <c r="Q23" s="415">
        <v>6.21</v>
      </c>
      <c r="R23" s="686">
        <v>0</v>
      </c>
      <c r="S23" s="499">
        <v>0</v>
      </c>
      <c r="T23" s="486">
        <v>0</v>
      </c>
      <c r="U23" s="486">
        <v>0</v>
      </c>
      <c r="V23" s="486">
        <f t="shared" si="6"/>
        <v>0</v>
      </c>
      <c r="W23" s="486">
        <v>0</v>
      </c>
      <c r="X23" s="486">
        <v>0</v>
      </c>
      <c r="Y23" s="486">
        <f t="shared" si="7"/>
        <v>0</v>
      </c>
      <c r="Z23" s="486">
        <f t="shared" si="8"/>
        <v>0</v>
      </c>
      <c r="AA23" s="178">
        <f t="shared" si="9"/>
        <v>0</v>
      </c>
      <c r="AB23" s="178">
        <f t="shared" si="10"/>
        <v>0</v>
      </c>
      <c r="AC23" s="486">
        <v>0</v>
      </c>
      <c r="AD23" s="486">
        <v>0</v>
      </c>
      <c r="AE23" s="486">
        <f t="shared" si="11"/>
        <v>0</v>
      </c>
      <c r="AF23" s="486">
        <f t="shared" si="12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si="13"/>
        <v>0</v>
      </c>
      <c r="AM23" s="501">
        <f t="shared" si="14"/>
        <v>0</v>
      </c>
      <c r="AN23" s="502">
        <f t="shared" si="15"/>
        <v>0</v>
      </c>
      <c r="AO23" s="499">
        <f t="shared" si="16"/>
        <v>4119957</v>
      </c>
      <c r="AP23" s="486">
        <f t="shared" si="17"/>
        <v>3004283</v>
      </c>
      <c r="AQ23" s="480">
        <f t="shared" si="18"/>
        <v>30000</v>
      </c>
      <c r="AR23" s="480">
        <f t="shared" si="19"/>
        <v>0</v>
      </c>
      <c r="AS23" s="486">
        <f t="shared" si="20"/>
        <v>1025588</v>
      </c>
      <c r="AT23" s="486">
        <f t="shared" si="20"/>
        <v>60086</v>
      </c>
      <c r="AU23" s="486">
        <f t="shared" si="21"/>
        <v>0</v>
      </c>
      <c r="AV23" s="501">
        <f t="shared" si="22"/>
        <v>6.21</v>
      </c>
      <c r="AW23" s="501">
        <f t="shared" si="23"/>
        <v>6.21</v>
      </c>
      <c r="AX23" s="502">
        <f t="shared" si="23"/>
        <v>0</v>
      </c>
    </row>
    <row r="24" spans="1:50" s="210" customFormat="1" ht="14.1" customHeight="1" x14ac:dyDescent="0.2">
      <c r="A24" s="620">
        <v>3</v>
      </c>
      <c r="B24" s="215">
        <v>2448</v>
      </c>
      <c r="C24" s="621">
        <v>600080269</v>
      </c>
      <c r="D24" s="208">
        <v>63154617</v>
      </c>
      <c r="E24" s="215" t="s">
        <v>753</v>
      </c>
      <c r="F24" s="209">
        <v>3143</v>
      </c>
      <c r="G24" s="208" t="s">
        <v>635</v>
      </c>
      <c r="H24" s="216" t="s">
        <v>284</v>
      </c>
      <c r="I24" s="495">
        <v>148869</v>
      </c>
      <c r="J24" s="623">
        <v>104940</v>
      </c>
      <c r="K24" s="623">
        <v>0</v>
      </c>
      <c r="L24" s="623">
        <v>0</v>
      </c>
      <c r="M24" s="496">
        <v>35470</v>
      </c>
      <c r="N24" s="496">
        <v>2099</v>
      </c>
      <c r="O24" s="623">
        <v>6360</v>
      </c>
      <c r="P24" s="412">
        <v>0.44</v>
      </c>
      <c r="Q24" s="497">
        <v>0</v>
      </c>
      <c r="R24" s="686">
        <v>0.44</v>
      </c>
      <c r="S24" s="499">
        <v>0</v>
      </c>
      <c r="T24" s="486">
        <v>0</v>
      </c>
      <c r="U24" s="486">
        <v>0</v>
      </c>
      <c r="V24" s="486">
        <f t="shared" si="6"/>
        <v>0</v>
      </c>
      <c r="W24" s="486">
        <v>0</v>
      </c>
      <c r="X24" s="486">
        <v>0</v>
      </c>
      <c r="Y24" s="486">
        <f t="shared" si="7"/>
        <v>0</v>
      </c>
      <c r="Z24" s="486">
        <f t="shared" si="8"/>
        <v>0</v>
      </c>
      <c r="AA24" s="178">
        <f t="shared" si="9"/>
        <v>0</v>
      </c>
      <c r="AB24" s="178">
        <f t="shared" si="10"/>
        <v>0</v>
      </c>
      <c r="AC24" s="486">
        <v>0</v>
      </c>
      <c r="AD24" s="486">
        <v>0</v>
      </c>
      <c r="AE24" s="486">
        <f t="shared" si="11"/>
        <v>0</v>
      </c>
      <c r="AF24" s="486">
        <f t="shared" si="12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13"/>
        <v>0</v>
      </c>
      <c r="AM24" s="501">
        <f t="shared" si="14"/>
        <v>0</v>
      </c>
      <c r="AN24" s="502">
        <f t="shared" si="15"/>
        <v>0</v>
      </c>
      <c r="AO24" s="499">
        <f t="shared" si="16"/>
        <v>148869</v>
      </c>
      <c r="AP24" s="486">
        <f t="shared" si="17"/>
        <v>104940</v>
      </c>
      <c r="AQ24" s="480">
        <f t="shared" si="18"/>
        <v>0</v>
      </c>
      <c r="AR24" s="480">
        <f t="shared" si="19"/>
        <v>0</v>
      </c>
      <c r="AS24" s="486">
        <f t="shared" si="20"/>
        <v>35470</v>
      </c>
      <c r="AT24" s="486">
        <f t="shared" si="20"/>
        <v>2099</v>
      </c>
      <c r="AU24" s="486">
        <f t="shared" si="21"/>
        <v>6360</v>
      </c>
      <c r="AV24" s="501">
        <f t="shared" si="22"/>
        <v>0.44</v>
      </c>
      <c r="AW24" s="501">
        <f t="shared" si="23"/>
        <v>0</v>
      </c>
      <c r="AX24" s="502">
        <f t="shared" si="23"/>
        <v>0.44</v>
      </c>
    </row>
    <row r="25" spans="1:50" s="210" customFormat="1" ht="14.1" customHeight="1" x14ac:dyDescent="0.2">
      <c r="A25" s="620">
        <v>3</v>
      </c>
      <c r="B25" s="208">
        <v>2448</v>
      </c>
      <c r="C25" s="621">
        <v>600080269</v>
      </c>
      <c r="D25" s="208">
        <v>63154617</v>
      </c>
      <c r="E25" s="208" t="s">
        <v>753</v>
      </c>
      <c r="F25" s="209">
        <v>3231</v>
      </c>
      <c r="G25" s="208" t="s">
        <v>322</v>
      </c>
      <c r="H25" s="622" t="s">
        <v>283</v>
      </c>
      <c r="I25" s="495">
        <v>8174572</v>
      </c>
      <c r="J25" s="328">
        <v>5904451</v>
      </c>
      <c r="K25" s="328">
        <v>96000</v>
      </c>
      <c r="L25" s="328">
        <v>0</v>
      </c>
      <c r="M25" s="496">
        <v>2028152</v>
      </c>
      <c r="N25" s="496">
        <v>118089</v>
      </c>
      <c r="O25" s="328">
        <v>27880</v>
      </c>
      <c r="P25" s="412">
        <v>11.526000000000002</v>
      </c>
      <c r="Q25" s="329">
        <v>10.3368</v>
      </c>
      <c r="R25" s="330">
        <v>1.1892</v>
      </c>
      <c r="S25" s="499">
        <v>0</v>
      </c>
      <c r="T25" s="486">
        <v>0</v>
      </c>
      <c r="U25" s="486">
        <v>0</v>
      </c>
      <c r="V25" s="486">
        <f t="shared" si="6"/>
        <v>0</v>
      </c>
      <c r="W25" s="486">
        <v>0</v>
      </c>
      <c r="X25" s="486">
        <v>0</v>
      </c>
      <c r="Y25" s="486">
        <f t="shared" si="7"/>
        <v>0</v>
      </c>
      <c r="Z25" s="486">
        <f t="shared" si="8"/>
        <v>0</v>
      </c>
      <c r="AA25" s="178">
        <f t="shared" si="9"/>
        <v>0</v>
      </c>
      <c r="AB25" s="178">
        <f t="shared" si="10"/>
        <v>0</v>
      </c>
      <c r="AC25" s="486">
        <v>0</v>
      </c>
      <c r="AD25" s="486">
        <v>0</v>
      </c>
      <c r="AE25" s="486">
        <f t="shared" si="11"/>
        <v>0</v>
      </c>
      <c r="AF25" s="486">
        <f t="shared" si="12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13"/>
        <v>0</v>
      </c>
      <c r="AM25" s="501">
        <f t="shared" si="14"/>
        <v>0</v>
      </c>
      <c r="AN25" s="502">
        <f t="shared" si="15"/>
        <v>0</v>
      </c>
      <c r="AO25" s="499">
        <f t="shared" si="16"/>
        <v>8174572</v>
      </c>
      <c r="AP25" s="486">
        <f t="shared" si="17"/>
        <v>5904451</v>
      </c>
      <c r="AQ25" s="480">
        <f t="shared" si="18"/>
        <v>96000</v>
      </c>
      <c r="AR25" s="480">
        <f t="shared" si="19"/>
        <v>0</v>
      </c>
      <c r="AS25" s="486">
        <f t="shared" si="20"/>
        <v>2028152</v>
      </c>
      <c r="AT25" s="486">
        <f t="shared" si="20"/>
        <v>118089</v>
      </c>
      <c r="AU25" s="486">
        <f t="shared" si="21"/>
        <v>27880</v>
      </c>
      <c r="AV25" s="501">
        <f t="shared" si="22"/>
        <v>11.526000000000002</v>
      </c>
      <c r="AW25" s="501">
        <f t="shared" si="23"/>
        <v>10.3368</v>
      </c>
      <c r="AX25" s="502">
        <f t="shared" si="23"/>
        <v>1.1892</v>
      </c>
    </row>
    <row r="26" spans="1:50" s="210" customFormat="1" ht="14.1" customHeight="1" x14ac:dyDescent="0.2">
      <c r="A26" s="620">
        <v>3</v>
      </c>
      <c r="B26" s="208">
        <v>2448</v>
      </c>
      <c r="C26" s="621">
        <v>600080269</v>
      </c>
      <c r="D26" s="208">
        <v>63154617</v>
      </c>
      <c r="E26" s="208" t="s">
        <v>753</v>
      </c>
      <c r="F26" s="209">
        <v>3233</v>
      </c>
      <c r="G26" s="208" t="s">
        <v>324</v>
      </c>
      <c r="H26" s="622" t="s">
        <v>284</v>
      </c>
      <c r="I26" s="495">
        <v>2072938</v>
      </c>
      <c r="J26" s="623">
        <v>1508267</v>
      </c>
      <c r="K26" s="623">
        <v>8000</v>
      </c>
      <c r="L26" s="623">
        <v>0</v>
      </c>
      <c r="M26" s="496">
        <v>512498</v>
      </c>
      <c r="N26" s="496">
        <v>30165</v>
      </c>
      <c r="O26" s="623">
        <v>14008</v>
      </c>
      <c r="P26" s="412">
        <v>3.36</v>
      </c>
      <c r="Q26" s="497">
        <v>2.4899999999999998</v>
      </c>
      <c r="R26" s="686">
        <v>0.87</v>
      </c>
      <c r="S26" s="499">
        <v>0</v>
      </c>
      <c r="T26" s="486">
        <v>0</v>
      </c>
      <c r="U26" s="486">
        <v>0</v>
      </c>
      <c r="V26" s="486">
        <f t="shared" si="6"/>
        <v>0</v>
      </c>
      <c r="W26" s="486">
        <v>0</v>
      </c>
      <c r="X26" s="486">
        <v>0</v>
      </c>
      <c r="Y26" s="486">
        <f t="shared" si="7"/>
        <v>0</v>
      </c>
      <c r="Z26" s="486">
        <f t="shared" si="8"/>
        <v>0</v>
      </c>
      <c r="AA26" s="178">
        <f t="shared" si="9"/>
        <v>0</v>
      </c>
      <c r="AB26" s="178">
        <f t="shared" si="10"/>
        <v>0</v>
      </c>
      <c r="AC26" s="486">
        <v>0</v>
      </c>
      <c r="AD26" s="486">
        <v>0</v>
      </c>
      <c r="AE26" s="486">
        <f t="shared" si="11"/>
        <v>0</v>
      </c>
      <c r="AF26" s="486">
        <f t="shared" si="12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13"/>
        <v>0</v>
      </c>
      <c r="AM26" s="501">
        <f t="shared" si="14"/>
        <v>0</v>
      </c>
      <c r="AN26" s="502">
        <f t="shared" si="15"/>
        <v>0</v>
      </c>
      <c r="AO26" s="499">
        <f t="shared" si="16"/>
        <v>2072938</v>
      </c>
      <c r="AP26" s="486">
        <f t="shared" si="17"/>
        <v>1508267</v>
      </c>
      <c r="AQ26" s="480">
        <f t="shared" si="18"/>
        <v>8000</v>
      </c>
      <c r="AR26" s="480">
        <f t="shared" si="19"/>
        <v>0</v>
      </c>
      <c r="AS26" s="486">
        <f t="shared" si="20"/>
        <v>512498</v>
      </c>
      <c r="AT26" s="486">
        <f t="shared" si="20"/>
        <v>30165</v>
      </c>
      <c r="AU26" s="486">
        <f t="shared" si="21"/>
        <v>14008</v>
      </c>
      <c r="AV26" s="501">
        <f t="shared" si="22"/>
        <v>3.36</v>
      </c>
      <c r="AW26" s="501">
        <f t="shared" si="23"/>
        <v>2.4899999999999998</v>
      </c>
      <c r="AX26" s="502">
        <f t="shared" si="23"/>
        <v>0.87</v>
      </c>
    </row>
    <row r="27" spans="1:50" s="210" customFormat="1" ht="14.1" customHeight="1" x14ac:dyDescent="0.2">
      <c r="A27" s="235">
        <v>3</v>
      </c>
      <c r="B27" s="211">
        <v>2448</v>
      </c>
      <c r="C27" s="613">
        <v>600080269</v>
      </c>
      <c r="D27" s="211">
        <v>63154617</v>
      </c>
      <c r="E27" s="211" t="s">
        <v>754</v>
      </c>
      <c r="F27" s="212"/>
      <c r="G27" s="213"/>
      <c r="H27" s="214"/>
      <c r="I27" s="614">
        <v>94537641</v>
      </c>
      <c r="J27" s="615">
        <v>67202144</v>
      </c>
      <c r="K27" s="615">
        <v>845293</v>
      </c>
      <c r="L27" s="615">
        <v>395293</v>
      </c>
      <c r="M27" s="615">
        <v>22866425</v>
      </c>
      <c r="N27" s="615">
        <v>1344043</v>
      </c>
      <c r="O27" s="615">
        <v>2279736</v>
      </c>
      <c r="P27" s="616">
        <v>143.56890000000004</v>
      </c>
      <c r="Q27" s="616">
        <v>109.69349999999999</v>
      </c>
      <c r="R27" s="619">
        <v>33.875400000000006</v>
      </c>
      <c r="S27" s="615">
        <f t="shared" ref="S27:AX27" si="24">SUM(S19:S26)</f>
        <v>-50000</v>
      </c>
      <c r="T27" s="617">
        <f t="shared" si="24"/>
        <v>1890</v>
      </c>
      <c r="U27" s="617">
        <f t="shared" si="24"/>
        <v>0</v>
      </c>
      <c r="V27" s="617">
        <f t="shared" si="24"/>
        <v>-48110</v>
      </c>
      <c r="W27" s="617">
        <f t="shared" si="24"/>
        <v>50000</v>
      </c>
      <c r="X27" s="617">
        <f t="shared" si="24"/>
        <v>0</v>
      </c>
      <c r="Y27" s="617">
        <f t="shared" si="24"/>
        <v>50000</v>
      </c>
      <c r="Z27" s="617">
        <f t="shared" si="24"/>
        <v>1890</v>
      </c>
      <c r="AA27" s="617">
        <f t="shared" si="24"/>
        <v>639</v>
      </c>
      <c r="AB27" s="617">
        <f t="shared" si="24"/>
        <v>-962</v>
      </c>
      <c r="AC27" s="617">
        <f t="shared" si="24"/>
        <v>0</v>
      </c>
      <c r="AD27" s="617">
        <f t="shared" si="24"/>
        <v>0</v>
      </c>
      <c r="AE27" s="617">
        <f t="shared" si="24"/>
        <v>0</v>
      </c>
      <c r="AF27" s="617">
        <f t="shared" si="24"/>
        <v>1567</v>
      </c>
      <c r="AG27" s="618">
        <f t="shared" si="24"/>
        <v>0</v>
      </c>
      <c r="AH27" s="618">
        <f t="shared" si="24"/>
        <v>0</v>
      </c>
      <c r="AI27" s="618">
        <f t="shared" si="24"/>
        <v>0.01</v>
      </c>
      <c r="AJ27" s="618">
        <f t="shared" si="24"/>
        <v>0</v>
      </c>
      <c r="AK27" s="618">
        <f t="shared" si="24"/>
        <v>0</v>
      </c>
      <c r="AL27" s="618">
        <f t="shared" si="24"/>
        <v>0.01</v>
      </c>
      <c r="AM27" s="618">
        <f t="shared" si="24"/>
        <v>0</v>
      </c>
      <c r="AN27" s="619">
        <f t="shared" si="24"/>
        <v>0.01</v>
      </c>
      <c r="AO27" s="615">
        <f t="shared" si="24"/>
        <v>94539208</v>
      </c>
      <c r="AP27" s="617">
        <f t="shared" si="24"/>
        <v>67154034</v>
      </c>
      <c r="AQ27" s="617">
        <f t="shared" si="24"/>
        <v>895293</v>
      </c>
      <c r="AR27" s="617">
        <f t="shared" si="24"/>
        <v>395293</v>
      </c>
      <c r="AS27" s="617">
        <f t="shared" si="24"/>
        <v>22867064</v>
      </c>
      <c r="AT27" s="617">
        <f t="shared" si="24"/>
        <v>1343081</v>
      </c>
      <c r="AU27" s="617">
        <f t="shared" si="24"/>
        <v>2279736</v>
      </c>
      <c r="AV27" s="618">
        <f t="shared" si="24"/>
        <v>143.57890000000003</v>
      </c>
      <c r="AW27" s="618">
        <f t="shared" si="24"/>
        <v>109.70349999999998</v>
      </c>
      <c r="AX27" s="619">
        <f t="shared" si="24"/>
        <v>33.875400000000006</v>
      </c>
    </row>
    <row r="28" spans="1:50" s="210" customFormat="1" ht="14.1" customHeight="1" x14ac:dyDescent="0.2">
      <c r="A28" s="620">
        <v>4</v>
      </c>
      <c r="B28" s="215">
        <v>2450</v>
      </c>
      <c r="C28" s="621">
        <v>600080234</v>
      </c>
      <c r="D28" s="208">
        <v>72745045</v>
      </c>
      <c r="E28" s="208" t="s">
        <v>755</v>
      </c>
      <c r="F28" s="209">
        <v>3111</v>
      </c>
      <c r="G28" s="208" t="s">
        <v>317</v>
      </c>
      <c r="H28" s="622" t="s">
        <v>283</v>
      </c>
      <c r="I28" s="495">
        <v>1289876</v>
      </c>
      <c r="J28" s="411">
        <v>918502</v>
      </c>
      <c r="K28" s="411">
        <v>25000</v>
      </c>
      <c r="L28" s="411">
        <v>0</v>
      </c>
      <c r="M28" s="496">
        <v>318904</v>
      </c>
      <c r="N28" s="496">
        <v>18370</v>
      </c>
      <c r="O28" s="623">
        <v>9100</v>
      </c>
      <c r="P28" s="412">
        <v>2.4609000000000001</v>
      </c>
      <c r="Q28" s="415">
        <v>2</v>
      </c>
      <c r="R28" s="685">
        <v>0.46089999999999998</v>
      </c>
      <c r="S28" s="499">
        <v>0</v>
      </c>
      <c r="T28" s="486">
        <v>0</v>
      </c>
      <c r="U28" s="486">
        <v>0</v>
      </c>
      <c r="V28" s="486">
        <f t="shared" ref="V28:V33" si="25">SUM(S28:U28)</f>
        <v>0</v>
      </c>
      <c r="W28" s="486">
        <v>0</v>
      </c>
      <c r="X28" s="486">
        <v>0</v>
      </c>
      <c r="Y28" s="486">
        <f t="shared" ref="Y28:Y33" si="26">SUM(W28:X28)</f>
        <v>0</v>
      </c>
      <c r="Z28" s="486">
        <f t="shared" ref="Z28:Z33" si="27">V28+Y28</f>
        <v>0</v>
      </c>
      <c r="AA28" s="178">
        <f t="shared" ref="AA28:AA33" si="28">ROUND((V28+W28)*33.8%,0)</f>
        <v>0</v>
      </c>
      <c r="AB28" s="178">
        <f t="shared" ref="AB28:AB33" si="29">ROUND(V28*2%,0)</f>
        <v>0</v>
      </c>
      <c r="AC28" s="486">
        <v>0</v>
      </c>
      <c r="AD28" s="486">
        <v>0</v>
      </c>
      <c r="AE28" s="486">
        <f t="shared" ref="AE28:AE33" si="30">SUM(AC28:AD28)</f>
        <v>0</v>
      </c>
      <c r="AF28" s="486">
        <f t="shared" ref="AF28:AF33" si="31">Z28+AA28+AB28+AE28</f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ref="AL28:AL33" si="32">AG28+AI28+AJ28</f>
        <v>0</v>
      </c>
      <c r="AM28" s="501">
        <f t="shared" ref="AM28:AM33" si="33">AH28+AK28</f>
        <v>0</v>
      </c>
      <c r="AN28" s="502">
        <f t="shared" ref="AN28:AN33" si="34">SUM(AL28:AM28)</f>
        <v>0</v>
      </c>
      <c r="AO28" s="499">
        <f t="shared" ref="AO28:AO33" si="35">I28+AF28</f>
        <v>1289876</v>
      </c>
      <c r="AP28" s="486">
        <f t="shared" ref="AP28:AP33" si="36">J28+V28</f>
        <v>918502</v>
      </c>
      <c r="AQ28" s="480">
        <f t="shared" ref="AQ28:AQ33" si="37">K28+Y28</f>
        <v>25000</v>
      </c>
      <c r="AR28" s="480">
        <f t="shared" ref="AR28:AR33" si="38">L28</f>
        <v>0</v>
      </c>
      <c r="AS28" s="486">
        <f t="shared" ref="AS28:AT33" si="39">M28+AA28</f>
        <v>318904</v>
      </c>
      <c r="AT28" s="486">
        <f t="shared" si="39"/>
        <v>18370</v>
      </c>
      <c r="AU28" s="486">
        <f t="shared" ref="AU28:AU33" si="40">O28+AE28</f>
        <v>9100</v>
      </c>
      <c r="AV28" s="501">
        <f t="shared" ref="AV28:AV33" si="41">P28+AN28</f>
        <v>2.4609000000000001</v>
      </c>
      <c r="AW28" s="501">
        <f t="shared" ref="AW28:AX33" si="42">Q28+AL28</f>
        <v>2</v>
      </c>
      <c r="AX28" s="502">
        <f t="shared" si="42"/>
        <v>0.46089999999999998</v>
      </c>
    </row>
    <row r="29" spans="1:50" s="210" customFormat="1" ht="14.1" customHeight="1" x14ac:dyDescent="0.2">
      <c r="A29" s="620">
        <v>4</v>
      </c>
      <c r="B29" s="217">
        <v>2450</v>
      </c>
      <c r="C29" s="621">
        <v>600080234</v>
      </c>
      <c r="D29" s="208">
        <v>72745045</v>
      </c>
      <c r="E29" s="217" t="s">
        <v>755</v>
      </c>
      <c r="F29" s="218">
        <v>3117</v>
      </c>
      <c r="G29" s="217" t="s">
        <v>335</v>
      </c>
      <c r="H29" s="622" t="s">
        <v>283</v>
      </c>
      <c r="I29" s="495">
        <v>1884390</v>
      </c>
      <c r="J29" s="328">
        <v>1350242</v>
      </c>
      <c r="K29" s="328">
        <v>7072</v>
      </c>
      <c r="L29" s="328">
        <v>2072</v>
      </c>
      <c r="M29" s="496">
        <v>458071</v>
      </c>
      <c r="N29" s="496">
        <v>27005</v>
      </c>
      <c r="O29" s="328">
        <v>42000</v>
      </c>
      <c r="P29" s="412">
        <v>2.7193000000000001</v>
      </c>
      <c r="Q29" s="329">
        <v>1.8922000000000001</v>
      </c>
      <c r="R29" s="330">
        <v>0.82710000000000006</v>
      </c>
      <c r="S29" s="499">
        <v>0</v>
      </c>
      <c r="T29" s="486">
        <v>0</v>
      </c>
      <c r="U29" s="486">
        <v>0</v>
      </c>
      <c r="V29" s="486">
        <f t="shared" si="25"/>
        <v>0</v>
      </c>
      <c r="W29" s="486">
        <v>0</v>
      </c>
      <c r="X29" s="486">
        <v>0</v>
      </c>
      <c r="Y29" s="486">
        <f t="shared" si="26"/>
        <v>0</v>
      </c>
      <c r="Z29" s="486">
        <f t="shared" si="27"/>
        <v>0</v>
      </c>
      <c r="AA29" s="178">
        <f t="shared" si="28"/>
        <v>0</v>
      </c>
      <c r="AB29" s="178">
        <f t="shared" si="29"/>
        <v>0</v>
      </c>
      <c r="AC29" s="486">
        <v>0</v>
      </c>
      <c r="AD29" s="486">
        <v>0</v>
      </c>
      <c r="AE29" s="486">
        <f t="shared" si="30"/>
        <v>0</v>
      </c>
      <c r="AF29" s="486">
        <f t="shared" si="31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32"/>
        <v>0</v>
      </c>
      <c r="AM29" s="501">
        <f t="shared" si="33"/>
        <v>0</v>
      </c>
      <c r="AN29" s="502">
        <f t="shared" si="34"/>
        <v>0</v>
      </c>
      <c r="AO29" s="499">
        <f t="shared" si="35"/>
        <v>1884390</v>
      </c>
      <c r="AP29" s="486">
        <f t="shared" si="36"/>
        <v>1350242</v>
      </c>
      <c r="AQ29" s="480">
        <f t="shared" si="37"/>
        <v>7072</v>
      </c>
      <c r="AR29" s="480">
        <f t="shared" si="38"/>
        <v>2072</v>
      </c>
      <c r="AS29" s="486">
        <f t="shared" si="39"/>
        <v>458071</v>
      </c>
      <c r="AT29" s="486">
        <f t="shared" si="39"/>
        <v>27005</v>
      </c>
      <c r="AU29" s="486">
        <f t="shared" si="40"/>
        <v>42000</v>
      </c>
      <c r="AV29" s="501">
        <f t="shared" si="41"/>
        <v>2.7193000000000001</v>
      </c>
      <c r="AW29" s="501">
        <f t="shared" si="42"/>
        <v>1.8922000000000001</v>
      </c>
      <c r="AX29" s="502">
        <f t="shared" si="42"/>
        <v>0.82710000000000006</v>
      </c>
    </row>
    <row r="30" spans="1:50" s="210" customFormat="1" ht="14.1" customHeight="1" x14ac:dyDescent="0.2">
      <c r="A30" s="620">
        <v>4</v>
      </c>
      <c r="B30" s="215">
        <v>2450</v>
      </c>
      <c r="C30" s="621">
        <v>600080234</v>
      </c>
      <c r="D30" s="208">
        <v>72745045</v>
      </c>
      <c r="E30" s="215" t="s">
        <v>755</v>
      </c>
      <c r="F30" s="209">
        <v>3117</v>
      </c>
      <c r="G30" s="208" t="s">
        <v>318</v>
      </c>
      <c r="H30" s="622" t="s">
        <v>284</v>
      </c>
      <c r="I30" s="495">
        <v>541042</v>
      </c>
      <c r="J30" s="623">
        <v>396202</v>
      </c>
      <c r="K30" s="623">
        <v>0</v>
      </c>
      <c r="L30" s="623">
        <v>0</v>
      </c>
      <c r="M30" s="496">
        <v>133916</v>
      </c>
      <c r="N30" s="496">
        <v>7924</v>
      </c>
      <c r="O30" s="623">
        <v>3000</v>
      </c>
      <c r="P30" s="412">
        <v>1.17</v>
      </c>
      <c r="Q30" s="497">
        <v>1.17</v>
      </c>
      <c r="R30" s="686">
        <v>0</v>
      </c>
      <c r="S30" s="499">
        <v>0</v>
      </c>
      <c r="T30" s="486">
        <v>0</v>
      </c>
      <c r="U30" s="486">
        <v>0</v>
      </c>
      <c r="V30" s="486">
        <f t="shared" si="25"/>
        <v>0</v>
      </c>
      <c r="W30" s="486">
        <v>0</v>
      </c>
      <c r="X30" s="486">
        <v>0</v>
      </c>
      <c r="Y30" s="486">
        <f t="shared" si="26"/>
        <v>0</v>
      </c>
      <c r="Z30" s="486">
        <f t="shared" si="27"/>
        <v>0</v>
      </c>
      <c r="AA30" s="178">
        <f t="shared" si="28"/>
        <v>0</v>
      </c>
      <c r="AB30" s="178">
        <f t="shared" si="29"/>
        <v>0</v>
      </c>
      <c r="AC30" s="486">
        <v>0</v>
      </c>
      <c r="AD30" s="486">
        <v>0</v>
      </c>
      <c r="AE30" s="486">
        <f t="shared" si="30"/>
        <v>0</v>
      </c>
      <c r="AF30" s="486">
        <f t="shared" si="31"/>
        <v>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si="32"/>
        <v>0</v>
      </c>
      <c r="AM30" s="501">
        <f t="shared" si="33"/>
        <v>0</v>
      </c>
      <c r="AN30" s="502">
        <f t="shared" si="34"/>
        <v>0</v>
      </c>
      <c r="AO30" s="499">
        <f t="shared" si="35"/>
        <v>541042</v>
      </c>
      <c r="AP30" s="486">
        <f t="shared" si="36"/>
        <v>396202</v>
      </c>
      <c r="AQ30" s="480">
        <f t="shared" si="37"/>
        <v>0</v>
      </c>
      <c r="AR30" s="480">
        <f t="shared" si="38"/>
        <v>0</v>
      </c>
      <c r="AS30" s="486">
        <f t="shared" si="39"/>
        <v>133916</v>
      </c>
      <c r="AT30" s="486">
        <f t="shared" si="39"/>
        <v>7924</v>
      </c>
      <c r="AU30" s="486">
        <f t="shared" si="40"/>
        <v>3000</v>
      </c>
      <c r="AV30" s="501">
        <f t="shared" si="41"/>
        <v>1.17</v>
      </c>
      <c r="AW30" s="501">
        <f t="shared" si="42"/>
        <v>1.17</v>
      </c>
      <c r="AX30" s="502">
        <f t="shared" si="42"/>
        <v>0</v>
      </c>
    </row>
    <row r="31" spans="1:50" s="210" customFormat="1" ht="14.1" customHeight="1" x14ac:dyDescent="0.2">
      <c r="A31" s="620">
        <v>4</v>
      </c>
      <c r="B31" s="208">
        <v>2450</v>
      </c>
      <c r="C31" s="621">
        <v>600080234</v>
      </c>
      <c r="D31" s="208">
        <v>72745045</v>
      </c>
      <c r="E31" s="208" t="s">
        <v>755</v>
      </c>
      <c r="F31" s="209">
        <v>3141</v>
      </c>
      <c r="G31" s="208" t="s">
        <v>321</v>
      </c>
      <c r="H31" s="622" t="s">
        <v>284</v>
      </c>
      <c r="I31" s="495">
        <v>396047</v>
      </c>
      <c r="J31" s="623">
        <v>270781</v>
      </c>
      <c r="K31" s="623">
        <v>20000</v>
      </c>
      <c r="L31" s="623">
        <v>0</v>
      </c>
      <c r="M31" s="496">
        <v>98284</v>
      </c>
      <c r="N31" s="496">
        <v>5416</v>
      </c>
      <c r="O31" s="623">
        <v>1566</v>
      </c>
      <c r="P31" s="412">
        <v>0.99</v>
      </c>
      <c r="Q31" s="497">
        <v>0</v>
      </c>
      <c r="R31" s="686">
        <v>0.99</v>
      </c>
      <c r="S31" s="499">
        <v>0</v>
      </c>
      <c r="T31" s="486">
        <v>0</v>
      </c>
      <c r="U31" s="486">
        <v>0</v>
      </c>
      <c r="V31" s="486">
        <f t="shared" si="25"/>
        <v>0</v>
      </c>
      <c r="W31" s="486">
        <v>0</v>
      </c>
      <c r="X31" s="486">
        <v>0</v>
      </c>
      <c r="Y31" s="486">
        <f t="shared" si="26"/>
        <v>0</v>
      </c>
      <c r="Z31" s="486">
        <f t="shared" si="27"/>
        <v>0</v>
      </c>
      <c r="AA31" s="178">
        <f t="shared" si="28"/>
        <v>0</v>
      </c>
      <c r="AB31" s="178">
        <f t="shared" si="29"/>
        <v>0</v>
      </c>
      <c r="AC31" s="486">
        <v>0</v>
      </c>
      <c r="AD31" s="486">
        <v>0</v>
      </c>
      <c r="AE31" s="486">
        <f t="shared" si="30"/>
        <v>0</v>
      </c>
      <c r="AF31" s="486">
        <f t="shared" si="31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si="32"/>
        <v>0</v>
      </c>
      <c r="AM31" s="501">
        <f t="shared" si="33"/>
        <v>0</v>
      </c>
      <c r="AN31" s="502">
        <f t="shared" si="34"/>
        <v>0</v>
      </c>
      <c r="AO31" s="499">
        <f t="shared" si="35"/>
        <v>396047</v>
      </c>
      <c r="AP31" s="486">
        <f t="shared" si="36"/>
        <v>270781</v>
      </c>
      <c r="AQ31" s="480">
        <f t="shared" si="37"/>
        <v>20000</v>
      </c>
      <c r="AR31" s="480">
        <f t="shared" si="38"/>
        <v>0</v>
      </c>
      <c r="AS31" s="486">
        <f t="shared" si="39"/>
        <v>98284</v>
      </c>
      <c r="AT31" s="486">
        <f t="shared" si="39"/>
        <v>5416</v>
      </c>
      <c r="AU31" s="486">
        <f t="shared" si="40"/>
        <v>1566</v>
      </c>
      <c r="AV31" s="501">
        <f t="shared" si="41"/>
        <v>0.99</v>
      </c>
      <c r="AW31" s="501">
        <f t="shared" si="42"/>
        <v>0</v>
      </c>
      <c r="AX31" s="502">
        <f t="shared" si="42"/>
        <v>0.99</v>
      </c>
    </row>
    <row r="32" spans="1:50" s="210" customFormat="1" ht="14.1" customHeight="1" x14ac:dyDescent="0.2">
      <c r="A32" s="620">
        <v>4</v>
      </c>
      <c r="B32" s="215">
        <v>2450</v>
      </c>
      <c r="C32" s="621">
        <v>600080234</v>
      </c>
      <c r="D32" s="208">
        <v>72745045</v>
      </c>
      <c r="E32" s="215" t="s">
        <v>755</v>
      </c>
      <c r="F32" s="209">
        <v>3143</v>
      </c>
      <c r="G32" s="208" t="s">
        <v>634</v>
      </c>
      <c r="H32" s="216" t="s">
        <v>283</v>
      </c>
      <c r="I32" s="495">
        <v>573613</v>
      </c>
      <c r="J32" s="411">
        <v>422395</v>
      </c>
      <c r="K32" s="411">
        <v>0</v>
      </c>
      <c r="L32" s="411">
        <v>0</v>
      </c>
      <c r="M32" s="496">
        <v>142770</v>
      </c>
      <c r="N32" s="496">
        <v>8448</v>
      </c>
      <c r="O32" s="623">
        <v>0</v>
      </c>
      <c r="P32" s="412">
        <v>1</v>
      </c>
      <c r="Q32" s="415">
        <v>1</v>
      </c>
      <c r="R32" s="686">
        <v>0</v>
      </c>
      <c r="S32" s="499">
        <v>0</v>
      </c>
      <c r="T32" s="486">
        <v>0</v>
      </c>
      <c r="U32" s="486">
        <v>0</v>
      </c>
      <c r="V32" s="486">
        <f t="shared" si="25"/>
        <v>0</v>
      </c>
      <c r="W32" s="486">
        <v>0</v>
      </c>
      <c r="X32" s="486">
        <v>0</v>
      </c>
      <c r="Y32" s="486">
        <f t="shared" si="26"/>
        <v>0</v>
      </c>
      <c r="Z32" s="486">
        <f t="shared" si="27"/>
        <v>0</v>
      </c>
      <c r="AA32" s="178">
        <f t="shared" si="28"/>
        <v>0</v>
      </c>
      <c r="AB32" s="178">
        <f t="shared" si="29"/>
        <v>0</v>
      </c>
      <c r="AC32" s="486">
        <v>0</v>
      </c>
      <c r="AD32" s="486">
        <v>0</v>
      </c>
      <c r="AE32" s="486">
        <f t="shared" si="30"/>
        <v>0</v>
      </c>
      <c r="AF32" s="486">
        <f t="shared" si="31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si="32"/>
        <v>0</v>
      </c>
      <c r="AM32" s="501">
        <f t="shared" si="33"/>
        <v>0</v>
      </c>
      <c r="AN32" s="502">
        <f t="shared" si="34"/>
        <v>0</v>
      </c>
      <c r="AO32" s="499">
        <f t="shared" si="35"/>
        <v>573613</v>
      </c>
      <c r="AP32" s="486">
        <f t="shared" si="36"/>
        <v>422395</v>
      </c>
      <c r="AQ32" s="480">
        <f t="shared" si="37"/>
        <v>0</v>
      </c>
      <c r="AR32" s="480">
        <f t="shared" si="38"/>
        <v>0</v>
      </c>
      <c r="AS32" s="486">
        <f t="shared" si="39"/>
        <v>142770</v>
      </c>
      <c r="AT32" s="486">
        <f t="shared" si="39"/>
        <v>8448</v>
      </c>
      <c r="AU32" s="486">
        <f t="shared" si="40"/>
        <v>0</v>
      </c>
      <c r="AV32" s="501">
        <f t="shared" si="41"/>
        <v>1</v>
      </c>
      <c r="AW32" s="501">
        <f t="shared" si="42"/>
        <v>1</v>
      </c>
      <c r="AX32" s="502">
        <f t="shared" si="42"/>
        <v>0</v>
      </c>
    </row>
    <row r="33" spans="1:50" s="210" customFormat="1" ht="14.1" customHeight="1" x14ac:dyDescent="0.2">
      <c r="A33" s="620">
        <v>4</v>
      </c>
      <c r="B33" s="215">
        <v>2450</v>
      </c>
      <c r="C33" s="621">
        <v>600080234</v>
      </c>
      <c r="D33" s="208">
        <v>72745045</v>
      </c>
      <c r="E33" s="215" t="s">
        <v>755</v>
      </c>
      <c r="F33" s="209">
        <v>3143</v>
      </c>
      <c r="G33" s="208" t="s">
        <v>635</v>
      </c>
      <c r="H33" s="216" t="s">
        <v>284</v>
      </c>
      <c r="I33" s="495">
        <v>9831</v>
      </c>
      <c r="J33" s="623">
        <v>6930</v>
      </c>
      <c r="K33" s="623">
        <v>0</v>
      </c>
      <c r="L33" s="623">
        <v>0</v>
      </c>
      <c r="M33" s="496">
        <v>2342</v>
      </c>
      <c r="N33" s="496">
        <v>139</v>
      </c>
      <c r="O33" s="623">
        <v>420</v>
      </c>
      <c r="P33" s="412">
        <v>0.03</v>
      </c>
      <c r="Q33" s="497">
        <v>0</v>
      </c>
      <c r="R33" s="686">
        <v>0.03</v>
      </c>
      <c r="S33" s="499">
        <v>0</v>
      </c>
      <c r="T33" s="486">
        <v>0</v>
      </c>
      <c r="U33" s="486">
        <v>0</v>
      </c>
      <c r="V33" s="486">
        <f t="shared" si="25"/>
        <v>0</v>
      </c>
      <c r="W33" s="486">
        <v>0</v>
      </c>
      <c r="X33" s="486">
        <v>0</v>
      </c>
      <c r="Y33" s="486">
        <f t="shared" si="26"/>
        <v>0</v>
      </c>
      <c r="Z33" s="486">
        <f t="shared" si="27"/>
        <v>0</v>
      </c>
      <c r="AA33" s="178">
        <f t="shared" si="28"/>
        <v>0</v>
      </c>
      <c r="AB33" s="178">
        <f t="shared" si="29"/>
        <v>0</v>
      </c>
      <c r="AC33" s="486">
        <v>0</v>
      </c>
      <c r="AD33" s="486">
        <v>0</v>
      </c>
      <c r="AE33" s="486">
        <f t="shared" si="30"/>
        <v>0</v>
      </c>
      <c r="AF33" s="486">
        <f t="shared" si="31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32"/>
        <v>0</v>
      </c>
      <c r="AM33" s="501">
        <f t="shared" si="33"/>
        <v>0</v>
      </c>
      <c r="AN33" s="502">
        <f t="shared" si="34"/>
        <v>0</v>
      </c>
      <c r="AO33" s="499">
        <f t="shared" si="35"/>
        <v>9831</v>
      </c>
      <c r="AP33" s="486">
        <f t="shared" si="36"/>
        <v>6930</v>
      </c>
      <c r="AQ33" s="480">
        <f t="shared" si="37"/>
        <v>0</v>
      </c>
      <c r="AR33" s="480">
        <f t="shared" si="38"/>
        <v>0</v>
      </c>
      <c r="AS33" s="486">
        <f t="shared" si="39"/>
        <v>2342</v>
      </c>
      <c r="AT33" s="486">
        <f t="shared" si="39"/>
        <v>139</v>
      </c>
      <c r="AU33" s="486">
        <f t="shared" si="40"/>
        <v>420</v>
      </c>
      <c r="AV33" s="501">
        <f t="shared" si="41"/>
        <v>0.03</v>
      </c>
      <c r="AW33" s="501">
        <f t="shared" si="42"/>
        <v>0</v>
      </c>
      <c r="AX33" s="502">
        <f t="shared" si="42"/>
        <v>0.03</v>
      </c>
    </row>
    <row r="34" spans="1:50" s="210" customFormat="1" ht="14.1" customHeight="1" x14ac:dyDescent="0.2">
      <c r="A34" s="235">
        <v>4</v>
      </c>
      <c r="B34" s="211">
        <v>2450</v>
      </c>
      <c r="C34" s="613">
        <v>600080234</v>
      </c>
      <c r="D34" s="211">
        <v>72745045</v>
      </c>
      <c r="E34" s="211" t="s">
        <v>756</v>
      </c>
      <c r="F34" s="219"/>
      <c r="G34" s="213"/>
      <c r="H34" s="214"/>
      <c r="I34" s="614">
        <v>4694799</v>
      </c>
      <c r="J34" s="615">
        <v>3365052</v>
      </c>
      <c r="K34" s="615">
        <v>52072</v>
      </c>
      <c r="L34" s="615">
        <v>2072</v>
      </c>
      <c r="M34" s="615">
        <v>1154287</v>
      </c>
      <c r="N34" s="615">
        <v>67302</v>
      </c>
      <c r="O34" s="615">
        <v>56086</v>
      </c>
      <c r="P34" s="616">
        <v>8.3701999999999988</v>
      </c>
      <c r="Q34" s="616">
        <v>6.0621999999999998</v>
      </c>
      <c r="R34" s="619">
        <v>2.3079999999999998</v>
      </c>
      <c r="S34" s="615">
        <f t="shared" ref="S34:AX34" si="43">SUM(S28:S33)</f>
        <v>0</v>
      </c>
      <c r="T34" s="617">
        <f t="shared" si="43"/>
        <v>0</v>
      </c>
      <c r="U34" s="617">
        <f t="shared" si="43"/>
        <v>0</v>
      </c>
      <c r="V34" s="617">
        <f t="shared" si="43"/>
        <v>0</v>
      </c>
      <c r="W34" s="617">
        <f t="shared" si="43"/>
        <v>0</v>
      </c>
      <c r="X34" s="617">
        <f t="shared" si="43"/>
        <v>0</v>
      </c>
      <c r="Y34" s="617">
        <f t="shared" si="43"/>
        <v>0</v>
      </c>
      <c r="Z34" s="617">
        <f t="shared" si="43"/>
        <v>0</v>
      </c>
      <c r="AA34" s="617">
        <f t="shared" si="43"/>
        <v>0</v>
      </c>
      <c r="AB34" s="617">
        <f t="shared" si="43"/>
        <v>0</v>
      </c>
      <c r="AC34" s="617">
        <f t="shared" si="43"/>
        <v>0</v>
      </c>
      <c r="AD34" s="617">
        <f t="shared" si="43"/>
        <v>0</v>
      </c>
      <c r="AE34" s="617">
        <f t="shared" si="43"/>
        <v>0</v>
      </c>
      <c r="AF34" s="617">
        <f t="shared" si="43"/>
        <v>0</v>
      </c>
      <c r="AG34" s="618">
        <f t="shared" si="43"/>
        <v>0</v>
      </c>
      <c r="AH34" s="618">
        <f t="shared" si="43"/>
        <v>0</v>
      </c>
      <c r="AI34" s="618">
        <f t="shared" si="43"/>
        <v>0</v>
      </c>
      <c r="AJ34" s="618">
        <f t="shared" si="43"/>
        <v>0</v>
      </c>
      <c r="AK34" s="618">
        <f t="shared" si="43"/>
        <v>0</v>
      </c>
      <c r="AL34" s="618">
        <f t="shared" si="43"/>
        <v>0</v>
      </c>
      <c r="AM34" s="618">
        <f t="shared" si="43"/>
        <v>0</v>
      </c>
      <c r="AN34" s="619">
        <f t="shared" si="43"/>
        <v>0</v>
      </c>
      <c r="AO34" s="615">
        <f t="shared" si="43"/>
        <v>4694799</v>
      </c>
      <c r="AP34" s="617">
        <f t="shared" si="43"/>
        <v>3365052</v>
      </c>
      <c r="AQ34" s="617">
        <f t="shared" si="43"/>
        <v>52072</v>
      </c>
      <c r="AR34" s="617">
        <f t="shared" si="43"/>
        <v>2072</v>
      </c>
      <c r="AS34" s="617">
        <f t="shared" si="43"/>
        <v>1154287</v>
      </c>
      <c r="AT34" s="617">
        <f t="shared" si="43"/>
        <v>67302</v>
      </c>
      <c r="AU34" s="617">
        <f t="shared" si="43"/>
        <v>56086</v>
      </c>
      <c r="AV34" s="618">
        <f t="shared" si="43"/>
        <v>8.3701999999999988</v>
      </c>
      <c r="AW34" s="618">
        <f t="shared" si="43"/>
        <v>6.0621999999999998</v>
      </c>
      <c r="AX34" s="619">
        <f t="shared" si="43"/>
        <v>2.3079999999999998</v>
      </c>
    </row>
    <row r="35" spans="1:50" s="210" customFormat="1" ht="14.1" customHeight="1" x14ac:dyDescent="0.2">
      <c r="A35" s="620">
        <v>5</v>
      </c>
      <c r="B35" s="215">
        <v>2451</v>
      </c>
      <c r="C35" s="621">
        <v>650037901</v>
      </c>
      <c r="D35" s="208">
        <v>72744880</v>
      </c>
      <c r="E35" s="208" t="s">
        <v>757</v>
      </c>
      <c r="F35" s="209">
        <v>3111</v>
      </c>
      <c r="G35" s="208" t="s">
        <v>317</v>
      </c>
      <c r="H35" s="622" t="s">
        <v>283</v>
      </c>
      <c r="I35" s="495">
        <v>1548406</v>
      </c>
      <c r="J35" s="411">
        <v>1126809</v>
      </c>
      <c r="K35" s="411">
        <v>0</v>
      </c>
      <c r="L35" s="411">
        <v>0</v>
      </c>
      <c r="M35" s="496">
        <v>380861</v>
      </c>
      <c r="N35" s="496">
        <v>22536</v>
      </c>
      <c r="O35" s="623">
        <v>18200</v>
      </c>
      <c r="P35" s="412">
        <v>2.5108999999999999</v>
      </c>
      <c r="Q35" s="415">
        <v>2</v>
      </c>
      <c r="R35" s="685">
        <v>0.51090000000000002</v>
      </c>
      <c r="S35" s="499">
        <v>0</v>
      </c>
      <c r="T35" s="486">
        <v>0</v>
      </c>
      <c r="U35" s="486">
        <v>0</v>
      </c>
      <c r="V35" s="486">
        <f t="shared" ref="V35:V40" si="44">SUM(S35:U35)</f>
        <v>0</v>
      </c>
      <c r="W35" s="486">
        <v>0</v>
      </c>
      <c r="X35" s="486">
        <v>0</v>
      </c>
      <c r="Y35" s="486">
        <f t="shared" ref="Y35:Y40" si="45">SUM(W35:X35)</f>
        <v>0</v>
      </c>
      <c r="Z35" s="486">
        <f t="shared" ref="Z35:Z40" si="46">V35+Y35</f>
        <v>0</v>
      </c>
      <c r="AA35" s="178">
        <f t="shared" ref="AA35:AA40" si="47">ROUND((V35+W35)*33.8%,0)</f>
        <v>0</v>
      </c>
      <c r="AB35" s="178">
        <f t="shared" ref="AB35:AB40" si="48">ROUND(V35*2%,0)</f>
        <v>0</v>
      </c>
      <c r="AC35" s="486">
        <v>0</v>
      </c>
      <c r="AD35" s="486">
        <v>0</v>
      </c>
      <c r="AE35" s="486">
        <f t="shared" ref="AE35:AE40" si="49">SUM(AC35:AD35)</f>
        <v>0</v>
      </c>
      <c r="AF35" s="486">
        <f t="shared" ref="AF35:AF40" si="50">Z35+AA35+AB35+AE35</f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ref="AL35:AL40" si="51">AG35+AI35+AJ35</f>
        <v>0</v>
      </c>
      <c r="AM35" s="501">
        <f t="shared" ref="AM35:AM40" si="52">AH35+AK35</f>
        <v>0</v>
      </c>
      <c r="AN35" s="502">
        <f t="shared" ref="AN35:AN40" si="53">SUM(AL35:AM35)</f>
        <v>0</v>
      </c>
      <c r="AO35" s="499">
        <f t="shared" ref="AO35:AO40" si="54">I35+AF35</f>
        <v>1548406</v>
      </c>
      <c r="AP35" s="486">
        <f t="shared" ref="AP35:AP40" si="55">J35+V35</f>
        <v>1126809</v>
      </c>
      <c r="AQ35" s="480">
        <f t="shared" ref="AQ35:AQ40" si="56">K35+Y35</f>
        <v>0</v>
      </c>
      <c r="AR35" s="480">
        <f t="shared" ref="AR35:AR40" si="57">L35</f>
        <v>0</v>
      </c>
      <c r="AS35" s="486">
        <f t="shared" ref="AS35:AT40" si="58">M35+AA35</f>
        <v>380861</v>
      </c>
      <c r="AT35" s="486">
        <f t="shared" si="58"/>
        <v>22536</v>
      </c>
      <c r="AU35" s="486">
        <f t="shared" ref="AU35:AU40" si="59">O35+AE35</f>
        <v>18200</v>
      </c>
      <c r="AV35" s="501">
        <f t="shared" ref="AV35:AV40" si="60">P35+AN35</f>
        <v>2.5108999999999999</v>
      </c>
      <c r="AW35" s="501">
        <f t="shared" ref="AW35:AX40" si="61">Q35+AL35</f>
        <v>2</v>
      </c>
      <c r="AX35" s="502">
        <f t="shared" si="61"/>
        <v>0.51090000000000002</v>
      </c>
    </row>
    <row r="36" spans="1:50" s="210" customFormat="1" ht="14.1" customHeight="1" x14ac:dyDescent="0.2">
      <c r="A36" s="620">
        <v>5</v>
      </c>
      <c r="B36" s="217">
        <v>2451</v>
      </c>
      <c r="C36" s="621">
        <v>650037901</v>
      </c>
      <c r="D36" s="208">
        <v>72744880</v>
      </c>
      <c r="E36" s="217" t="s">
        <v>757</v>
      </c>
      <c r="F36" s="218">
        <v>3117</v>
      </c>
      <c r="G36" s="217" t="s">
        <v>335</v>
      </c>
      <c r="H36" s="622" t="s">
        <v>283</v>
      </c>
      <c r="I36" s="495">
        <v>4080649</v>
      </c>
      <c r="J36" s="328">
        <v>2902899</v>
      </c>
      <c r="K36" s="328">
        <v>6512</v>
      </c>
      <c r="L36" s="328">
        <v>6512</v>
      </c>
      <c r="M36" s="496">
        <v>981180</v>
      </c>
      <c r="N36" s="496">
        <v>58058</v>
      </c>
      <c r="O36" s="328">
        <v>132000</v>
      </c>
      <c r="P36" s="412">
        <v>6.0573999999999995</v>
      </c>
      <c r="Q36" s="329">
        <v>4</v>
      </c>
      <c r="R36" s="330">
        <v>2.0573999999999999</v>
      </c>
      <c r="S36" s="499">
        <v>0</v>
      </c>
      <c r="T36" s="486">
        <v>0</v>
      </c>
      <c r="U36" s="486">
        <v>0</v>
      </c>
      <c r="V36" s="486">
        <f t="shared" si="44"/>
        <v>0</v>
      </c>
      <c r="W36" s="486">
        <v>0</v>
      </c>
      <c r="X36" s="486">
        <v>0</v>
      </c>
      <c r="Y36" s="486">
        <f t="shared" si="45"/>
        <v>0</v>
      </c>
      <c r="Z36" s="486">
        <f t="shared" si="46"/>
        <v>0</v>
      </c>
      <c r="AA36" s="178">
        <f t="shared" si="47"/>
        <v>0</v>
      </c>
      <c r="AB36" s="178">
        <f t="shared" si="48"/>
        <v>0</v>
      </c>
      <c r="AC36" s="486">
        <v>0</v>
      </c>
      <c r="AD36" s="486">
        <v>0</v>
      </c>
      <c r="AE36" s="486">
        <f t="shared" si="49"/>
        <v>0</v>
      </c>
      <c r="AF36" s="486">
        <f t="shared" si="50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51"/>
        <v>0</v>
      </c>
      <c r="AM36" s="501">
        <f t="shared" si="52"/>
        <v>0</v>
      </c>
      <c r="AN36" s="502">
        <f t="shared" si="53"/>
        <v>0</v>
      </c>
      <c r="AO36" s="499">
        <f t="shared" si="54"/>
        <v>4080649</v>
      </c>
      <c r="AP36" s="486">
        <f t="shared" si="55"/>
        <v>2902899</v>
      </c>
      <c r="AQ36" s="480">
        <f t="shared" si="56"/>
        <v>6512</v>
      </c>
      <c r="AR36" s="480">
        <f t="shared" si="57"/>
        <v>6512</v>
      </c>
      <c r="AS36" s="486">
        <f t="shared" si="58"/>
        <v>981180</v>
      </c>
      <c r="AT36" s="486">
        <f t="shared" si="58"/>
        <v>58058</v>
      </c>
      <c r="AU36" s="486">
        <f t="shared" si="59"/>
        <v>132000</v>
      </c>
      <c r="AV36" s="501">
        <f t="shared" si="60"/>
        <v>6.0573999999999995</v>
      </c>
      <c r="AW36" s="501">
        <f t="shared" si="61"/>
        <v>4</v>
      </c>
      <c r="AX36" s="502">
        <f t="shared" si="61"/>
        <v>2.0573999999999999</v>
      </c>
    </row>
    <row r="37" spans="1:50" s="210" customFormat="1" ht="14.1" customHeight="1" x14ac:dyDescent="0.2">
      <c r="A37" s="620">
        <v>5</v>
      </c>
      <c r="B37" s="215">
        <v>2451</v>
      </c>
      <c r="C37" s="621">
        <v>650037901</v>
      </c>
      <c r="D37" s="208">
        <v>72744880</v>
      </c>
      <c r="E37" s="215" t="s">
        <v>757</v>
      </c>
      <c r="F37" s="209">
        <v>3117</v>
      </c>
      <c r="G37" s="208" t="s">
        <v>318</v>
      </c>
      <c r="H37" s="622" t="s">
        <v>284</v>
      </c>
      <c r="I37" s="495">
        <v>971482</v>
      </c>
      <c r="J37" s="623">
        <v>715377</v>
      </c>
      <c r="K37" s="623">
        <v>0</v>
      </c>
      <c r="L37" s="623">
        <v>0</v>
      </c>
      <c r="M37" s="496">
        <v>241797</v>
      </c>
      <c r="N37" s="496">
        <v>14308</v>
      </c>
      <c r="O37" s="623">
        <v>0</v>
      </c>
      <c r="P37" s="412">
        <v>2.11</v>
      </c>
      <c r="Q37" s="497">
        <v>2.11</v>
      </c>
      <c r="R37" s="686">
        <v>0</v>
      </c>
      <c r="S37" s="499">
        <v>0</v>
      </c>
      <c r="T37" s="486">
        <v>0</v>
      </c>
      <c r="U37" s="486">
        <v>0</v>
      </c>
      <c r="V37" s="486">
        <f t="shared" si="44"/>
        <v>0</v>
      </c>
      <c r="W37" s="486">
        <v>0</v>
      </c>
      <c r="X37" s="486">
        <v>0</v>
      </c>
      <c r="Y37" s="486">
        <f t="shared" si="45"/>
        <v>0</v>
      </c>
      <c r="Z37" s="486">
        <f t="shared" si="46"/>
        <v>0</v>
      </c>
      <c r="AA37" s="178">
        <f t="shared" si="47"/>
        <v>0</v>
      </c>
      <c r="AB37" s="178">
        <f t="shared" si="48"/>
        <v>0</v>
      </c>
      <c r="AC37" s="486">
        <v>0</v>
      </c>
      <c r="AD37" s="486">
        <v>0</v>
      </c>
      <c r="AE37" s="486">
        <f t="shared" si="49"/>
        <v>0</v>
      </c>
      <c r="AF37" s="486">
        <f t="shared" si="50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si="51"/>
        <v>0</v>
      </c>
      <c r="AM37" s="501">
        <f t="shared" si="52"/>
        <v>0</v>
      </c>
      <c r="AN37" s="502">
        <f t="shared" si="53"/>
        <v>0</v>
      </c>
      <c r="AO37" s="499">
        <f t="shared" si="54"/>
        <v>971482</v>
      </c>
      <c r="AP37" s="486">
        <f t="shared" si="55"/>
        <v>715377</v>
      </c>
      <c r="AQ37" s="480">
        <f t="shared" si="56"/>
        <v>0</v>
      </c>
      <c r="AR37" s="480">
        <f t="shared" si="57"/>
        <v>0</v>
      </c>
      <c r="AS37" s="486">
        <f t="shared" si="58"/>
        <v>241797</v>
      </c>
      <c r="AT37" s="486">
        <f t="shared" si="58"/>
        <v>14308</v>
      </c>
      <c r="AU37" s="486">
        <f t="shared" si="59"/>
        <v>0</v>
      </c>
      <c r="AV37" s="501">
        <f t="shared" si="60"/>
        <v>2.11</v>
      </c>
      <c r="AW37" s="501">
        <f t="shared" si="61"/>
        <v>2.11</v>
      </c>
      <c r="AX37" s="502">
        <f t="shared" si="61"/>
        <v>0</v>
      </c>
    </row>
    <row r="38" spans="1:50" s="210" customFormat="1" ht="14.1" customHeight="1" x14ac:dyDescent="0.2">
      <c r="A38" s="620">
        <v>5</v>
      </c>
      <c r="B38" s="208">
        <v>2451</v>
      </c>
      <c r="C38" s="621">
        <v>650037901</v>
      </c>
      <c r="D38" s="208">
        <v>72744880</v>
      </c>
      <c r="E38" s="208" t="s">
        <v>757</v>
      </c>
      <c r="F38" s="209">
        <v>3141</v>
      </c>
      <c r="G38" s="208" t="s">
        <v>321</v>
      </c>
      <c r="H38" s="622" t="s">
        <v>284</v>
      </c>
      <c r="I38" s="495">
        <v>787373</v>
      </c>
      <c r="J38" s="623">
        <v>577113</v>
      </c>
      <c r="K38" s="623">
        <v>0</v>
      </c>
      <c r="L38" s="623">
        <v>0</v>
      </c>
      <c r="M38" s="496">
        <v>195064</v>
      </c>
      <c r="N38" s="496">
        <v>11542</v>
      </c>
      <c r="O38" s="623">
        <v>3654</v>
      </c>
      <c r="P38" s="412">
        <v>1.96</v>
      </c>
      <c r="Q38" s="497">
        <v>0</v>
      </c>
      <c r="R38" s="686">
        <v>1.96</v>
      </c>
      <c r="S38" s="499">
        <v>0</v>
      </c>
      <c r="T38" s="486">
        <v>0</v>
      </c>
      <c r="U38" s="486">
        <v>0</v>
      </c>
      <c r="V38" s="486">
        <f t="shared" si="44"/>
        <v>0</v>
      </c>
      <c r="W38" s="486">
        <v>0</v>
      </c>
      <c r="X38" s="486">
        <v>0</v>
      </c>
      <c r="Y38" s="486">
        <f t="shared" si="45"/>
        <v>0</v>
      </c>
      <c r="Z38" s="486">
        <f t="shared" si="46"/>
        <v>0</v>
      </c>
      <c r="AA38" s="178">
        <f t="shared" si="47"/>
        <v>0</v>
      </c>
      <c r="AB38" s="178">
        <f t="shared" si="48"/>
        <v>0</v>
      </c>
      <c r="AC38" s="486">
        <v>0</v>
      </c>
      <c r="AD38" s="486">
        <v>0</v>
      </c>
      <c r="AE38" s="486">
        <f t="shared" si="49"/>
        <v>0</v>
      </c>
      <c r="AF38" s="486">
        <f t="shared" si="50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si="51"/>
        <v>0</v>
      </c>
      <c r="AM38" s="501">
        <f t="shared" si="52"/>
        <v>0</v>
      </c>
      <c r="AN38" s="502">
        <f t="shared" si="53"/>
        <v>0</v>
      </c>
      <c r="AO38" s="499">
        <f t="shared" si="54"/>
        <v>787373</v>
      </c>
      <c r="AP38" s="486">
        <f t="shared" si="55"/>
        <v>577113</v>
      </c>
      <c r="AQ38" s="480">
        <f t="shared" si="56"/>
        <v>0</v>
      </c>
      <c r="AR38" s="480">
        <f t="shared" si="57"/>
        <v>0</v>
      </c>
      <c r="AS38" s="486">
        <f t="shared" si="58"/>
        <v>195064</v>
      </c>
      <c r="AT38" s="486">
        <f t="shared" si="58"/>
        <v>11542</v>
      </c>
      <c r="AU38" s="486">
        <f t="shared" si="59"/>
        <v>3654</v>
      </c>
      <c r="AV38" s="501">
        <f t="shared" si="60"/>
        <v>1.96</v>
      </c>
      <c r="AW38" s="501">
        <f t="shared" si="61"/>
        <v>0</v>
      </c>
      <c r="AX38" s="502">
        <f t="shared" si="61"/>
        <v>1.96</v>
      </c>
    </row>
    <row r="39" spans="1:50" s="210" customFormat="1" ht="14.1" customHeight="1" x14ac:dyDescent="0.2">
      <c r="A39" s="620">
        <v>5</v>
      </c>
      <c r="B39" s="215">
        <v>2451</v>
      </c>
      <c r="C39" s="621">
        <v>650037901</v>
      </c>
      <c r="D39" s="208">
        <v>72744880</v>
      </c>
      <c r="E39" s="215" t="s">
        <v>757</v>
      </c>
      <c r="F39" s="209">
        <v>3143</v>
      </c>
      <c r="G39" s="208" t="s">
        <v>634</v>
      </c>
      <c r="H39" s="216" t="s">
        <v>283</v>
      </c>
      <c r="I39" s="495">
        <v>573611</v>
      </c>
      <c r="J39" s="411">
        <v>422394</v>
      </c>
      <c r="K39" s="411">
        <v>0</v>
      </c>
      <c r="L39" s="411">
        <v>0</v>
      </c>
      <c r="M39" s="496">
        <v>142769</v>
      </c>
      <c r="N39" s="496">
        <v>8448</v>
      </c>
      <c r="O39" s="623">
        <v>0</v>
      </c>
      <c r="P39" s="412">
        <v>1</v>
      </c>
      <c r="Q39" s="415">
        <v>1</v>
      </c>
      <c r="R39" s="686">
        <v>0</v>
      </c>
      <c r="S39" s="499">
        <v>0</v>
      </c>
      <c r="T39" s="486">
        <v>0</v>
      </c>
      <c r="U39" s="486">
        <v>0</v>
      </c>
      <c r="V39" s="486">
        <f t="shared" si="44"/>
        <v>0</v>
      </c>
      <c r="W39" s="486">
        <v>0</v>
      </c>
      <c r="X39" s="486">
        <v>0</v>
      </c>
      <c r="Y39" s="486">
        <f t="shared" si="45"/>
        <v>0</v>
      </c>
      <c r="Z39" s="486">
        <f t="shared" si="46"/>
        <v>0</v>
      </c>
      <c r="AA39" s="178">
        <f t="shared" si="47"/>
        <v>0</v>
      </c>
      <c r="AB39" s="178">
        <f t="shared" si="48"/>
        <v>0</v>
      </c>
      <c r="AC39" s="486">
        <v>0</v>
      </c>
      <c r="AD39" s="486">
        <v>0</v>
      </c>
      <c r="AE39" s="486">
        <f t="shared" si="49"/>
        <v>0</v>
      </c>
      <c r="AF39" s="486">
        <f t="shared" si="50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si="51"/>
        <v>0</v>
      </c>
      <c r="AM39" s="501">
        <f t="shared" si="52"/>
        <v>0</v>
      </c>
      <c r="AN39" s="502">
        <f t="shared" si="53"/>
        <v>0</v>
      </c>
      <c r="AO39" s="499">
        <f t="shared" si="54"/>
        <v>573611</v>
      </c>
      <c r="AP39" s="486">
        <f t="shared" si="55"/>
        <v>422394</v>
      </c>
      <c r="AQ39" s="480">
        <f t="shared" si="56"/>
        <v>0</v>
      </c>
      <c r="AR39" s="480">
        <f t="shared" si="57"/>
        <v>0</v>
      </c>
      <c r="AS39" s="486">
        <f t="shared" si="58"/>
        <v>142769</v>
      </c>
      <c r="AT39" s="486">
        <f t="shared" si="58"/>
        <v>8448</v>
      </c>
      <c r="AU39" s="486">
        <f t="shared" si="59"/>
        <v>0</v>
      </c>
      <c r="AV39" s="501">
        <f t="shared" si="60"/>
        <v>1</v>
      </c>
      <c r="AW39" s="501">
        <f t="shared" si="61"/>
        <v>1</v>
      </c>
      <c r="AX39" s="502">
        <f t="shared" si="61"/>
        <v>0</v>
      </c>
    </row>
    <row r="40" spans="1:50" s="210" customFormat="1" ht="14.1" customHeight="1" x14ac:dyDescent="0.2">
      <c r="A40" s="620">
        <v>5</v>
      </c>
      <c r="B40" s="215">
        <v>2451</v>
      </c>
      <c r="C40" s="621">
        <v>650037901</v>
      </c>
      <c r="D40" s="208">
        <v>72744880</v>
      </c>
      <c r="E40" s="215" t="s">
        <v>757</v>
      </c>
      <c r="F40" s="209">
        <v>3143</v>
      </c>
      <c r="G40" s="208" t="s">
        <v>635</v>
      </c>
      <c r="H40" s="216" t="s">
        <v>284</v>
      </c>
      <c r="I40" s="495">
        <v>21066</v>
      </c>
      <c r="J40" s="623">
        <v>14850</v>
      </c>
      <c r="K40" s="623">
        <v>0</v>
      </c>
      <c r="L40" s="623">
        <v>0</v>
      </c>
      <c r="M40" s="496">
        <v>5019</v>
      </c>
      <c r="N40" s="496">
        <v>297</v>
      </c>
      <c r="O40" s="623">
        <v>900</v>
      </c>
      <c r="P40" s="412">
        <v>0.06</v>
      </c>
      <c r="Q40" s="497">
        <v>0</v>
      </c>
      <c r="R40" s="686">
        <v>0.06</v>
      </c>
      <c r="S40" s="499">
        <v>0</v>
      </c>
      <c r="T40" s="486">
        <v>0</v>
      </c>
      <c r="U40" s="486">
        <v>0</v>
      </c>
      <c r="V40" s="486">
        <f t="shared" si="44"/>
        <v>0</v>
      </c>
      <c r="W40" s="486">
        <v>0</v>
      </c>
      <c r="X40" s="486">
        <v>0</v>
      </c>
      <c r="Y40" s="486">
        <f t="shared" si="45"/>
        <v>0</v>
      </c>
      <c r="Z40" s="486">
        <f t="shared" si="46"/>
        <v>0</v>
      </c>
      <c r="AA40" s="178">
        <f t="shared" si="47"/>
        <v>0</v>
      </c>
      <c r="AB40" s="178">
        <f t="shared" si="48"/>
        <v>0</v>
      </c>
      <c r="AC40" s="486">
        <v>0</v>
      </c>
      <c r="AD40" s="486">
        <v>0</v>
      </c>
      <c r="AE40" s="486">
        <f t="shared" si="49"/>
        <v>0</v>
      </c>
      <c r="AF40" s="486">
        <f t="shared" si="50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51"/>
        <v>0</v>
      </c>
      <c r="AM40" s="501">
        <f t="shared" si="52"/>
        <v>0</v>
      </c>
      <c r="AN40" s="502">
        <f t="shared" si="53"/>
        <v>0</v>
      </c>
      <c r="AO40" s="499">
        <f t="shared" si="54"/>
        <v>21066</v>
      </c>
      <c r="AP40" s="486">
        <f t="shared" si="55"/>
        <v>14850</v>
      </c>
      <c r="AQ40" s="480">
        <f t="shared" si="56"/>
        <v>0</v>
      </c>
      <c r="AR40" s="480">
        <f t="shared" si="57"/>
        <v>0</v>
      </c>
      <c r="AS40" s="486">
        <f t="shared" si="58"/>
        <v>5019</v>
      </c>
      <c r="AT40" s="486">
        <f t="shared" si="58"/>
        <v>297</v>
      </c>
      <c r="AU40" s="486">
        <f t="shared" si="59"/>
        <v>900</v>
      </c>
      <c r="AV40" s="501">
        <f t="shared" si="60"/>
        <v>0.06</v>
      </c>
      <c r="AW40" s="501">
        <f t="shared" si="61"/>
        <v>0</v>
      </c>
      <c r="AX40" s="502">
        <f t="shared" si="61"/>
        <v>0.06</v>
      </c>
    </row>
    <row r="41" spans="1:50" s="210" customFormat="1" ht="14.1" customHeight="1" x14ac:dyDescent="0.2">
      <c r="A41" s="235">
        <v>5</v>
      </c>
      <c r="B41" s="211">
        <v>2451</v>
      </c>
      <c r="C41" s="613">
        <v>650037901</v>
      </c>
      <c r="D41" s="211">
        <v>72744880</v>
      </c>
      <c r="E41" s="211" t="s">
        <v>758</v>
      </c>
      <c r="F41" s="219"/>
      <c r="G41" s="213"/>
      <c r="H41" s="214"/>
      <c r="I41" s="614">
        <v>7982587</v>
      </c>
      <c r="J41" s="615">
        <v>5759442</v>
      </c>
      <c r="K41" s="615">
        <v>6512</v>
      </c>
      <c r="L41" s="615">
        <v>6512</v>
      </c>
      <c r="M41" s="615">
        <v>1946690</v>
      </c>
      <c r="N41" s="615">
        <v>115189</v>
      </c>
      <c r="O41" s="615">
        <v>154754</v>
      </c>
      <c r="P41" s="616">
        <v>13.698299999999998</v>
      </c>
      <c r="Q41" s="616">
        <v>9.11</v>
      </c>
      <c r="R41" s="619">
        <v>4.5882999999999994</v>
      </c>
      <c r="S41" s="615">
        <f t="shared" ref="S41:AX41" si="62">SUM(S35:S40)</f>
        <v>0</v>
      </c>
      <c r="T41" s="617">
        <f t="shared" si="62"/>
        <v>0</v>
      </c>
      <c r="U41" s="617">
        <f t="shared" si="62"/>
        <v>0</v>
      </c>
      <c r="V41" s="617">
        <f t="shared" si="62"/>
        <v>0</v>
      </c>
      <c r="W41" s="617">
        <f t="shared" si="62"/>
        <v>0</v>
      </c>
      <c r="X41" s="617">
        <f t="shared" si="62"/>
        <v>0</v>
      </c>
      <c r="Y41" s="617">
        <f t="shared" si="62"/>
        <v>0</v>
      </c>
      <c r="Z41" s="617">
        <f t="shared" si="62"/>
        <v>0</v>
      </c>
      <c r="AA41" s="617">
        <f t="shared" si="62"/>
        <v>0</v>
      </c>
      <c r="AB41" s="617">
        <f t="shared" si="62"/>
        <v>0</v>
      </c>
      <c r="AC41" s="617">
        <f t="shared" si="62"/>
        <v>0</v>
      </c>
      <c r="AD41" s="617">
        <f t="shared" si="62"/>
        <v>0</v>
      </c>
      <c r="AE41" s="617">
        <f t="shared" si="62"/>
        <v>0</v>
      </c>
      <c r="AF41" s="617">
        <f t="shared" si="62"/>
        <v>0</v>
      </c>
      <c r="AG41" s="618">
        <f t="shared" si="62"/>
        <v>0</v>
      </c>
      <c r="AH41" s="618">
        <f t="shared" si="62"/>
        <v>0</v>
      </c>
      <c r="AI41" s="618">
        <f t="shared" si="62"/>
        <v>0</v>
      </c>
      <c r="AJ41" s="618">
        <f t="shared" si="62"/>
        <v>0</v>
      </c>
      <c r="AK41" s="618">
        <f t="shared" si="62"/>
        <v>0</v>
      </c>
      <c r="AL41" s="618">
        <f t="shared" si="62"/>
        <v>0</v>
      </c>
      <c r="AM41" s="618">
        <f t="shared" si="62"/>
        <v>0</v>
      </c>
      <c r="AN41" s="619">
        <f t="shared" si="62"/>
        <v>0</v>
      </c>
      <c r="AO41" s="615">
        <f t="shared" si="62"/>
        <v>7982587</v>
      </c>
      <c r="AP41" s="617">
        <f t="shared" si="62"/>
        <v>5759442</v>
      </c>
      <c r="AQ41" s="617">
        <f t="shared" si="62"/>
        <v>6512</v>
      </c>
      <c r="AR41" s="617">
        <f t="shared" si="62"/>
        <v>6512</v>
      </c>
      <c r="AS41" s="617">
        <f t="shared" si="62"/>
        <v>1946690</v>
      </c>
      <c r="AT41" s="617">
        <f t="shared" si="62"/>
        <v>115189</v>
      </c>
      <c r="AU41" s="617">
        <f t="shared" si="62"/>
        <v>154754</v>
      </c>
      <c r="AV41" s="618">
        <f t="shared" si="62"/>
        <v>13.698299999999998</v>
      </c>
      <c r="AW41" s="618">
        <f t="shared" si="62"/>
        <v>9.11</v>
      </c>
      <c r="AX41" s="619">
        <f t="shared" si="62"/>
        <v>4.5882999999999994</v>
      </c>
    </row>
    <row r="42" spans="1:50" s="210" customFormat="1" ht="14.1" customHeight="1" x14ac:dyDescent="0.2">
      <c r="A42" s="620">
        <v>6</v>
      </c>
      <c r="B42" s="215">
        <v>2453</v>
      </c>
      <c r="C42" s="621">
        <v>600079686</v>
      </c>
      <c r="D42" s="208">
        <v>72743603</v>
      </c>
      <c r="E42" s="208" t="s">
        <v>759</v>
      </c>
      <c r="F42" s="209">
        <v>3111</v>
      </c>
      <c r="G42" s="208" t="s">
        <v>317</v>
      </c>
      <c r="H42" s="622" t="s">
        <v>283</v>
      </c>
      <c r="I42" s="495">
        <v>3033773</v>
      </c>
      <c r="J42" s="411">
        <v>2191615</v>
      </c>
      <c r="K42" s="411">
        <v>20000</v>
      </c>
      <c r="L42" s="411">
        <v>0</v>
      </c>
      <c r="M42" s="496">
        <v>747526</v>
      </c>
      <c r="N42" s="496">
        <v>43832</v>
      </c>
      <c r="O42" s="623">
        <v>30800</v>
      </c>
      <c r="P42" s="412">
        <v>5.2153</v>
      </c>
      <c r="Q42" s="415">
        <v>4.1935000000000002</v>
      </c>
      <c r="R42" s="685">
        <v>1.0218</v>
      </c>
      <c r="S42" s="499">
        <v>0</v>
      </c>
      <c r="T42" s="486">
        <v>0</v>
      </c>
      <c r="U42" s="486">
        <v>0</v>
      </c>
      <c r="V42" s="486">
        <f t="shared" ref="V42:V47" si="63">SUM(S42:U42)</f>
        <v>0</v>
      </c>
      <c r="W42" s="486">
        <v>0</v>
      </c>
      <c r="X42" s="486">
        <v>0</v>
      </c>
      <c r="Y42" s="486">
        <f t="shared" ref="Y42:Y47" si="64">SUM(W42:X42)</f>
        <v>0</v>
      </c>
      <c r="Z42" s="486">
        <f t="shared" ref="Z42:Z47" si="65">V42+Y42</f>
        <v>0</v>
      </c>
      <c r="AA42" s="178">
        <f t="shared" ref="AA42:AA47" si="66">ROUND((V42+W42)*33.8%,0)</f>
        <v>0</v>
      </c>
      <c r="AB42" s="178">
        <f t="shared" ref="AB42:AB47" si="67">ROUND(V42*2%,0)</f>
        <v>0</v>
      </c>
      <c r="AC42" s="486">
        <v>0</v>
      </c>
      <c r="AD42" s="486">
        <v>0</v>
      </c>
      <c r="AE42" s="486">
        <f t="shared" ref="AE42:AE47" si="68">SUM(AC42:AD42)</f>
        <v>0</v>
      </c>
      <c r="AF42" s="486">
        <f t="shared" ref="AF42:AF47" si="69">Z42+AA42+AB42+AE42</f>
        <v>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ref="AL42:AL47" si="70">AG42+AI42+AJ42</f>
        <v>0</v>
      </c>
      <c r="AM42" s="501">
        <f t="shared" ref="AM42:AM47" si="71">AH42+AK42</f>
        <v>0</v>
      </c>
      <c r="AN42" s="502">
        <f t="shared" ref="AN42:AN47" si="72">SUM(AL42:AM42)</f>
        <v>0</v>
      </c>
      <c r="AO42" s="499">
        <f t="shared" ref="AO42:AO47" si="73">I42+AF42</f>
        <v>3033773</v>
      </c>
      <c r="AP42" s="486">
        <f t="shared" ref="AP42:AP47" si="74">J42+V42</f>
        <v>2191615</v>
      </c>
      <c r="AQ42" s="480">
        <f t="shared" ref="AQ42:AQ47" si="75">K42+Y42</f>
        <v>20000</v>
      </c>
      <c r="AR42" s="480">
        <f t="shared" ref="AR42:AR47" si="76">L42</f>
        <v>0</v>
      </c>
      <c r="AS42" s="486">
        <f t="shared" ref="AS42:AT47" si="77">M42+AA42</f>
        <v>747526</v>
      </c>
      <c r="AT42" s="486">
        <f t="shared" si="77"/>
        <v>43832</v>
      </c>
      <c r="AU42" s="486">
        <f t="shared" ref="AU42:AU47" si="78">O42+AE42</f>
        <v>30800</v>
      </c>
      <c r="AV42" s="501">
        <f t="shared" ref="AV42:AV47" si="79">P42+AN42</f>
        <v>5.2153</v>
      </c>
      <c r="AW42" s="501">
        <f t="shared" ref="AW42:AX47" si="80">Q42+AL42</f>
        <v>4.1935000000000002</v>
      </c>
      <c r="AX42" s="502">
        <f t="shared" si="80"/>
        <v>1.0218</v>
      </c>
    </row>
    <row r="43" spans="1:50" s="210" customFormat="1" ht="14.1" customHeight="1" x14ac:dyDescent="0.2">
      <c r="A43" s="620">
        <v>6</v>
      </c>
      <c r="B43" s="217">
        <v>2453</v>
      </c>
      <c r="C43" s="621">
        <v>600079686</v>
      </c>
      <c r="D43" s="208">
        <v>72743603</v>
      </c>
      <c r="E43" s="217" t="s">
        <v>759</v>
      </c>
      <c r="F43" s="218">
        <v>3117</v>
      </c>
      <c r="G43" s="217" t="s">
        <v>335</v>
      </c>
      <c r="H43" s="622" t="s">
        <v>283</v>
      </c>
      <c r="I43" s="495">
        <v>5190177</v>
      </c>
      <c r="J43" s="328">
        <v>3674993</v>
      </c>
      <c r="K43" s="328">
        <v>19536</v>
      </c>
      <c r="L43" s="328">
        <v>19536</v>
      </c>
      <c r="M43" s="496">
        <v>1242148</v>
      </c>
      <c r="N43" s="496">
        <v>73500</v>
      </c>
      <c r="O43" s="328">
        <v>180000</v>
      </c>
      <c r="P43" s="412">
        <v>7.4958999999999998</v>
      </c>
      <c r="Q43" s="329">
        <v>5.2271999999999998</v>
      </c>
      <c r="R43" s="330">
        <v>2.2686999999999999</v>
      </c>
      <c r="S43" s="499">
        <v>0</v>
      </c>
      <c r="T43" s="486">
        <v>0</v>
      </c>
      <c r="U43" s="486">
        <v>0</v>
      </c>
      <c r="V43" s="486">
        <f t="shared" si="63"/>
        <v>0</v>
      </c>
      <c r="W43" s="486">
        <v>0</v>
      </c>
      <c r="X43" s="486">
        <v>0</v>
      </c>
      <c r="Y43" s="486">
        <f t="shared" si="64"/>
        <v>0</v>
      </c>
      <c r="Z43" s="486">
        <f t="shared" si="65"/>
        <v>0</v>
      </c>
      <c r="AA43" s="178">
        <f t="shared" si="66"/>
        <v>0</v>
      </c>
      <c r="AB43" s="178">
        <f t="shared" si="67"/>
        <v>0</v>
      </c>
      <c r="AC43" s="486">
        <v>0</v>
      </c>
      <c r="AD43" s="486">
        <v>0</v>
      </c>
      <c r="AE43" s="486">
        <f t="shared" si="68"/>
        <v>0</v>
      </c>
      <c r="AF43" s="486">
        <f t="shared" si="69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si="70"/>
        <v>0</v>
      </c>
      <c r="AM43" s="501">
        <f t="shared" si="71"/>
        <v>0</v>
      </c>
      <c r="AN43" s="502">
        <f t="shared" si="72"/>
        <v>0</v>
      </c>
      <c r="AO43" s="499">
        <f t="shared" si="73"/>
        <v>5190177</v>
      </c>
      <c r="AP43" s="486">
        <f t="shared" si="74"/>
        <v>3674993</v>
      </c>
      <c r="AQ43" s="480">
        <f t="shared" si="75"/>
        <v>19536</v>
      </c>
      <c r="AR43" s="480">
        <f t="shared" si="76"/>
        <v>19536</v>
      </c>
      <c r="AS43" s="486">
        <f t="shared" si="77"/>
        <v>1242148</v>
      </c>
      <c r="AT43" s="486">
        <f t="shared" si="77"/>
        <v>73500</v>
      </c>
      <c r="AU43" s="486">
        <f t="shared" si="78"/>
        <v>180000</v>
      </c>
      <c r="AV43" s="501">
        <f t="shared" si="79"/>
        <v>7.4958999999999998</v>
      </c>
      <c r="AW43" s="501">
        <f t="shared" si="80"/>
        <v>5.2271999999999998</v>
      </c>
      <c r="AX43" s="502">
        <f t="shared" si="80"/>
        <v>2.2686999999999999</v>
      </c>
    </row>
    <row r="44" spans="1:50" s="210" customFormat="1" ht="14.1" customHeight="1" x14ac:dyDescent="0.2">
      <c r="A44" s="620">
        <v>6</v>
      </c>
      <c r="B44" s="215">
        <v>2453</v>
      </c>
      <c r="C44" s="621">
        <v>600079686</v>
      </c>
      <c r="D44" s="208">
        <v>72743603</v>
      </c>
      <c r="E44" s="215" t="s">
        <v>759</v>
      </c>
      <c r="F44" s="209">
        <v>3117</v>
      </c>
      <c r="G44" s="208" t="s">
        <v>318</v>
      </c>
      <c r="H44" s="622" t="s">
        <v>284</v>
      </c>
      <c r="I44" s="495">
        <v>1732570</v>
      </c>
      <c r="J44" s="623">
        <v>1273984</v>
      </c>
      <c r="K44" s="623">
        <v>0</v>
      </c>
      <c r="L44" s="623">
        <v>0</v>
      </c>
      <c r="M44" s="496">
        <v>430607</v>
      </c>
      <c r="N44" s="496">
        <v>25479</v>
      </c>
      <c r="O44" s="623">
        <v>2500</v>
      </c>
      <c r="P44" s="412">
        <v>3.67</v>
      </c>
      <c r="Q44" s="497">
        <v>3.67</v>
      </c>
      <c r="R44" s="686">
        <v>0</v>
      </c>
      <c r="S44" s="499">
        <v>0</v>
      </c>
      <c r="T44" s="486">
        <v>0</v>
      </c>
      <c r="U44" s="486">
        <v>0</v>
      </c>
      <c r="V44" s="486">
        <f t="shared" si="63"/>
        <v>0</v>
      </c>
      <c r="W44" s="486">
        <v>0</v>
      </c>
      <c r="X44" s="486">
        <v>0</v>
      </c>
      <c r="Y44" s="486">
        <f t="shared" si="64"/>
        <v>0</v>
      </c>
      <c r="Z44" s="486">
        <f t="shared" si="65"/>
        <v>0</v>
      </c>
      <c r="AA44" s="178">
        <f t="shared" si="66"/>
        <v>0</v>
      </c>
      <c r="AB44" s="178">
        <f t="shared" si="67"/>
        <v>0</v>
      </c>
      <c r="AC44" s="486">
        <v>0</v>
      </c>
      <c r="AD44" s="486">
        <v>0</v>
      </c>
      <c r="AE44" s="486">
        <f t="shared" si="68"/>
        <v>0</v>
      </c>
      <c r="AF44" s="486">
        <f t="shared" si="69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si="70"/>
        <v>0</v>
      </c>
      <c r="AM44" s="501">
        <f t="shared" si="71"/>
        <v>0</v>
      </c>
      <c r="AN44" s="502">
        <f t="shared" si="72"/>
        <v>0</v>
      </c>
      <c r="AO44" s="499">
        <f t="shared" si="73"/>
        <v>1732570</v>
      </c>
      <c r="AP44" s="486">
        <f t="shared" si="74"/>
        <v>1273984</v>
      </c>
      <c r="AQ44" s="480">
        <f t="shared" si="75"/>
        <v>0</v>
      </c>
      <c r="AR44" s="480">
        <f t="shared" si="76"/>
        <v>0</v>
      </c>
      <c r="AS44" s="486">
        <f t="shared" si="77"/>
        <v>430607</v>
      </c>
      <c r="AT44" s="486">
        <f t="shared" si="77"/>
        <v>25479</v>
      </c>
      <c r="AU44" s="486">
        <f t="shared" si="78"/>
        <v>2500</v>
      </c>
      <c r="AV44" s="501">
        <f t="shared" si="79"/>
        <v>3.67</v>
      </c>
      <c r="AW44" s="501">
        <f t="shared" si="80"/>
        <v>3.67</v>
      </c>
      <c r="AX44" s="502">
        <f t="shared" si="80"/>
        <v>0</v>
      </c>
    </row>
    <row r="45" spans="1:50" s="210" customFormat="1" ht="14.1" customHeight="1" x14ac:dyDescent="0.2">
      <c r="A45" s="620">
        <v>6</v>
      </c>
      <c r="B45" s="208">
        <v>2453</v>
      </c>
      <c r="C45" s="621">
        <v>600079686</v>
      </c>
      <c r="D45" s="208">
        <v>72743603</v>
      </c>
      <c r="E45" s="208" t="s">
        <v>759</v>
      </c>
      <c r="F45" s="209">
        <v>3141</v>
      </c>
      <c r="G45" s="208" t="s">
        <v>321</v>
      </c>
      <c r="H45" s="622" t="s">
        <v>284</v>
      </c>
      <c r="I45" s="495">
        <v>460625</v>
      </c>
      <c r="J45" s="623">
        <v>336312</v>
      </c>
      <c r="K45" s="623">
        <v>0</v>
      </c>
      <c r="L45" s="623">
        <v>0</v>
      </c>
      <c r="M45" s="496">
        <v>113673</v>
      </c>
      <c r="N45" s="496">
        <v>6726</v>
      </c>
      <c r="O45" s="623">
        <v>3914</v>
      </c>
      <c r="P45" s="412">
        <v>1.1399999999999999</v>
      </c>
      <c r="Q45" s="497">
        <v>0</v>
      </c>
      <c r="R45" s="686">
        <v>1.1399999999999999</v>
      </c>
      <c r="S45" s="499">
        <v>0</v>
      </c>
      <c r="T45" s="486">
        <v>0</v>
      </c>
      <c r="U45" s="486">
        <v>0</v>
      </c>
      <c r="V45" s="486">
        <f t="shared" si="63"/>
        <v>0</v>
      </c>
      <c r="W45" s="486">
        <v>0</v>
      </c>
      <c r="X45" s="486">
        <v>0</v>
      </c>
      <c r="Y45" s="486">
        <f t="shared" si="64"/>
        <v>0</v>
      </c>
      <c r="Z45" s="486">
        <f t="shared" si="65"/>
        <v>0</v>
      </c>
      <c r="AA45" s="178">
        <f t="shared" si="66"/>
        <v>0</v>
      </c>
      <c r="AB45" s="178">
        <f t="shared" si="67"/>
        <v>0</v>
      </c>
      <c r="AC45" s="486">
        <v>0</v>
      </c>
      <c r="AD45" s="486">
        <v>0</v>
      </c>
      <c r="AE45" s="486">
        <f t="shared" si="68"/>
        <v>0</v>
      </c>
      <c r="AF45" s="486">
        <f t="shared" si="69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70"/>
        <v>0</v>
      </c>
      <c r="AM45" s="501">
        <f t="shared" si="71"/>
        <v>0</v>
      </c>
      <c r="AN45" s="502">
        <f t="shared" si="72"/>
        <v>0</v>
      </c>
      <c r="AO45" s="499">
        <f t="shared" si="73"/>
        <v>460625</v>
      </c>
      <c r="AP45" s="486">
        <f t="shared" si="74"/>
        <v>336312</v>
      </c>
      <c r="AQ45" s="480">
        <f t="shared" si="75"/>
        <v>0</v>
      </c>
      <c r="AR45" s="480">
        <f t="shared" si="76"/>
        <v>0</v>
      </c>
      <c r="AS45" s="486">
        <f t="shared" si="77"/>
        <v>113673</v>
      </c>
      <c r="AT45" s="486">
        <f t="shared" si="77"/>
        <v>6726</v>
      </c>
      <c r="AU45" s="486">
        <f t="shared" si="78"/>
        <v>3914</v>
      </c>
      <c r="AV45" s="501">
        <f t="shared" si="79"/>
        <v>1.1399999999999999</v>
      </c>
      <c r="AW45" s="501">
        <f t="shared" si="80"/>
        <v>0</v>
      </c>
      <c r="AX45" s="502">
        <f t="shared" si="80"/>
        <v>1.1399999999999999</v>
      </c>
    </row>
    <row r="46" spans="1:50" s="210" customFormat="1" ht="14.1" customHeight="1" x14ac:dyDescent="0.2">
      <c r="A46" s="620">
        <v>6</v>
      </c>
      <c r="B46" s="215">
        <v>2453</v>
      </c>
      <c r="C46" s="621">
        <v>600079686</v>
      </c>
      <c r="D46" s="208">
        <v>72743603</v>
      </c>
      <c r="E46" s="215" t="s">
        <v>759</v>
      </c>
      <c r="F46" s="209">
        <v>3143</v>
      </c>
      <c r="G46" s="208" t="s">
        <v>634</v>
      </c>
      <c r="H46" s="216" t="s">
        <v>283</v>
      </c>
      <c r="I46" s="495">
        <v>1028609</v>
      </c>
      <c r="J46" s="411">
        <v>757444</v>
      </c>
      <c r="K46" s="411">
        <v>0</v>
      </c>
      <c r="L46" s="411">
        <v>0</v>
      </c>
      <c r="M46" s="496">
        <v>256016</v>
      </c>
      <c r="N46" s="496">
        <v>15149</v>
      </c>
      <c r="O46" s="623">
        <v>0</v>
      </c>
      <c r="P46" s="412">
        <v>1.9107000000000001</v>
      </c>
      <c r="Q46" s="415">
        <v>1.9107000000000001</v>
      </c>
      <c r="R46" s="686">
        <v>0</v>
      </c>
      <c r="S46" s="499">
        <v>0</v>
      </c>
      <c r="T46" s="486">
        <v>0</v>
      </c>
      <c r="U46" s="486">
        <v>0</v>
      </c>
      <c r="V46" s="486">
        <f t="shared" si="63"/>
        <v>0</v>
      </c>
      <c r="W46" s="486">
        <v>0</v>
      </c>
      <c r="X46" s="486">
        <v>0</v>
      </c>
      <c r="Y46" s="486">
        <f t="shared" si="64"/>
        <v>0</v>
      </c>
      <c r="Z46" s="486">
        <f t="shared" si="65"/>
        <v>0</v>
      </c>
      <c r="AA46" s="178">
        <f t="shared" si="66"/>
        <v>0</v>
      </c>
      <c r="AB46" s="178">
        <f t="shared" si="67"/>
        <v>0</v>
      </c>
      <c r="AC46" s="486">
        <v>0</v>
      </c>
      <c r="AD46" s="486">
        <v>0</v>
      </c>
      <c r="AE46" s="486">
        <f t="shared" si="68"/>
        <v>0</v>
      </c>
      <c r="AF46" s="486">
        <f t="shared" si="69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70"/>
        <v>0</v>
      </c>
      <c r="AM46" s="501">
        <f t="shared" si="71"/>
        <v>0</v>
      </c>
      <c r="AN46" s="502">
        <f t="shared" si="72"/>
        <v>0</v>
      </c>
      <c r="AO46" s="499">
        <f t="shared" si="73"/>
        <v>1028609</v>
      </c>
      <c r="AP46" s="486">
        <f t="shared" si="74"/>
        <v>757444</v>
      </c>
      <c r="AQ46" s="480">
        <f t="shared" si="75"/>
        <v>0</v>
      </c>
      <c r="AR46" s="480">
        <f t="shared" si="76"/>
        <v>0</v>
      </c>
      <c r="AS46" s="486">
        <f t="shared" si="77"/>
        <v>256016</v>
      </c>
      <c r="AT46" s="486">
        <f t="shared" si="77"/>
        <v>15149</v>
      </c>
      <c r="AU46" s="486">
        <f t="shared" si="78"/>
        <v>0</v>
      </c>
      <c r="AV46" s="501">
        <f t="shared" si="79"/>
        <v>1.9107000000000001</v>
      </c>
      <c r="AW46" s="501">
        <f t="shared" si="80"/>
        <v>1.9107000000000001</v>
      </c>
      <c r="AX46" s="502">
        <f t="shared" si="80"/>
        <v>0</v>
      </c>
    </row>
    <row r="47" spans="1:50" s="210" customFormat="1" ht="14.1" customHeight="1" x14ac:dyDescent="0.2">
      <c r="A47" s="620">
        <v>6</v>
      </c>
      <c r="B47" s="215">
        <v>2453</v>
      </c>
      <c r="C47" s="621">
        <v>600079686</v>
      </c>
      <c r="D47" s="208">
        <v>72743603</v>
      </c>
      <c r="E47" s="215" t="s">
        <v>759</v>
      </c>
      <c r="F47" s="209">
        <v>3143</v>
      </c>
      <c r="G47" s="208" t="s">
        <v>635</v>
      </c>
      <c r="H47" s="216" t="s">
        <v>284</v>
      </c>
      <c r="I47" s="495">
        <v>35111</v>
      </c>
      <c r="J47" s="623">
        <v>24750</v>
      </c>
      <c r="K47" s="623">
        <v>0</v>
      </c>
      <c r="L47" s="623">
        <v>0</v>
      </c>
      <c r="M47" s="496">
        <v>8366</v>
      </c>
      <c r="N47" s="496">
        <v>495</v>
      </c>
      <c r="O47" s="623">
        <v>1500</v>
      </c>
      <c r="P47" s="412">
        <v>0.1</v>
      </c>
      <c r="Q47" s="497">
        <v>0</v>
      </c>
      <c r="R47" s="686">
        <v>0.1</v>
      </c>
      <c r="S47" s="499">
        <v>0</v>
      </c>
      <c r="T47" s="486">
        <v>0</v>
      </c>
      <c r="U47" s="486">
        <v>0</v>
      </c>
      <c r="V47" s="486">
        <f t="shared" si="63"/>
        <v>0</v>
      </c>
      <c r="W47" s="486">
        <v>0</v>
      </c>
      <c r="X47" s="486">
        <v>0</v>
      </c>
      <c r="Y47" s="486">
        <f t="shared" si="64"/>
        <v>0</v>
      </c>
      <c r="Z47" s="486">
        <f t="shared" si="65"/>
        <v>0</v>
      </c>
      <c r="AA47" s="178">
        <f t="shared" si="66"/>
        <v>0</v>
      </c>
      <c r="AB47" s="178">
        <f t="shared" si="67"/>
        <v>0</v>
      </c>
      <c r="AC47" s="486">
        <v>0</v>
      </c>
      <c r="AD47" s="486">
        <v>0</v>
      </c>
      <c r="AE47" s="486">
        <f t="shared" si="68"/>
        <v>0</v>
      </c>
      <c r="AF47" s="486">
        <f t="shared" si="69"/>
        <v>0</v>
      </c>
      <c r="AG47" s="501">
        <v>0</v>
      </c>
      <c r="AH47" s="501">
        <v>0</v>
      </c>
      <c r="AI47" s="501">
        <v>0</v>
      </c>
      <c r="AJ47" s="501">
        <v>0</v>
      </c>
      <c r="AK47" s="501">
        <v>0</v>
      </c>
      <c r="AL47" s="501">
        <f t="shared" si="70"/>
        <v>0</v>
      </c>
      <c r="AM47" s="501">
        <f t="shared" si="71"/>
        <v>0</v>
      </c>
      <c r="AN47" s="502">
        <f t="shared" si="72"/>
        <v>0</v>
      </c>
      <c r="AO47" s="499">
        <f t="shared" si="73"/>
        <v>35111</v>
      </c>
      <c r="AP47" s="486">
        <f t="shared" si="74"/>
        <v>24750</v>
      </c>
      <c r="AQ47" s="480">
        <f t="shared" si="75"/>
        <v>0</v>
      </c>
      <c r="AR47" s="480">
        <f t="shared" si="76"/>
        <v>0</v>
      </c>
      <c r="AS47" s="486">
        <f t="shared" si="77"/>
        <v>8366</v>
      </c>
      <c r="AT47" s="486">
        <f t="shared" si="77"/>
        <v>495</v>
      </c>
      <c r="AU47" s="486">
        <f t="shared" si="78"/>
        <v>1500</v>
      </c>
      <c r="AV47" s="501">
        <f t="shared" si="79"/>
        <v>0.1</v>
      </c>
      <c r="AW47" s="501">
        <f t="shared" si="80"/>
        <v>0</v>
      </c>
      <c r="AX47" s="502">
        <f t="shared" si="80"/>
        <v>0.1</v>
      </c>
    </row>
    <row r="48" spans="1:50" s="210" customFormat="1" ht="14.1" customHeight="1" x14ac:dyDescent="0.2">
      <c r="A48" s="235">
        <v>6</v>
      </c>
      <c r="B48" s="211">
        <v>2453</v>
      </c>
      <c r="C48" s="613">
        <v>600079686</v>
      </c>
      <c r="D48" s="211">
        <v>72743603</v>
      </c>
      <c r="E48" s="211" t="s">
        <v>760</v>
      </c>
      <c r="F48" s="219"/>
      <c r="G48" s="213"/>
      <c r="H48" s="214"/>
      <c r="I48" s="614">
        <v>11480865</v>
      </c>
      <c r="J48" s="615">
        <v>8259098</v>
      </c>
      <c r="K48" s="615">
        <v>39536</v>
      </c>
      <c r="L48" s="615">
        <v>19536</v>
      </c>
      <c r="M48" s="615">
        <v>2798336</v>
      </c>
      <c r="N48" s="615">
        <v>165181</v>
      </c>
      <c r="O48" s="615">
        <v>218714</v>
      </c>
      <c r="P48" s="616">
        <v>19.5319</v>
      </c>
      <c r="Q48" s="616">
        <v>15.0014</v>
      </c>
      <c r="R48" s="619">
        <v>4.5304999999999991</v>
      </c>
      <c r="S48" s="615">
        <f t="shared" ref="S48:AX48" si="81">SUM(S42:S47)</f>
        <v>0</v>
      </c>
      <c r="T48" s="617">
        <f t="shared" si="81"/>
        <v>0</v>
      </c>
      <c r="U48" s="617">
        <f t="shared" si="81"/>
        <v>0</v>
      </c>
      <c r="V48" s="617">
        <f t="shared" si="81"/>
        <v>0</v>
      </c>
      <c r="W48" s="617">
        <f t="shared" si="81"/>
        <v>0</v>
      </c>
      <c r="X48" s="617">
        <f t="shared" si="81"/>
        <v>0</v>
      </c>
      <c r="Y48" s="617">
        <f t="shared" si="81"/>
        <v>0</v>
      </c>
      <c r="Z48" s="617">
        <f t="shared" si="81"/>
        <v>0</v>
      </c>
      <c r="AA48" s="617">
        <f t="shared" si="81"/>
        <v>0</v>
      </c>
      <c r="AB48" s="617">
        <f t="shared" si="81"/>
        <v>0</v>
      </c>
      <c r="AC48" s="617">
        <f t="shared" si="81"/>
        <v>0</v>
      </c>
      <c r="AD48" s="617">
        <f t="shared" si="81"/>
        <v>0</v>
      </c>
      <c r="AE48" s="617">
        <f t="shared" si="81"/>
        <v>0</v>
      </c>
      <c r="AF48" s="617">
        <f t="shared" si="81"/>
        <v>0</v>
      </c>
      <c r="AG48" s="618">
        <f t="shared" si="81"/>
        <v>0</v>
      </c>
      <c r="AH48" s="618">
        <f t="shared" si="81"/>
        <v>0</v>
      </c>
      <c r="AI48" s="618">
        <f t="shared" si="81"/>
        <v>0</v>
      </c>
      <c r="AJ48" s="618">
        <f t="shared" si="81"/>
        <v>0</v>
      </c>
      <c r="AK48" s="618">
        <f t="shared" si="81"/>
        <v>0</v>
      </c>
      <c r="AL48" s="618">
        <f t="shared" si="81"/>
        <v>0</v>
      </c>
      <c r="AM48" s="618">
        <f t="shared" si="81"/>
        <v>0</v>
      </c>
      <c r="AN48" s="619">
        <f t="shared" si="81"/>
        <v>0</v>
      </c>
      <c r="AO48" s="615">
        <f t="shared" si="81"/>
        <v>11480865</v>
      </c>
      <c r="AP48" s="617">
        <f t="shared" si="81"/>
        <v>8259098</v>
      </c>
      <c r="AQ48" s="617">
        <f t="shared" si="81"/>
        <v>39536</v>
      </c>
      <c r="AR48" s="617">
        <f t="shared" si="81"/>
        <v>19536</v>
      </c>
      <c r="AS48" s="617">
        <f t="shared" si="81"/>
        <v>2798336</v>
      </c>
      <c r="AT48" s="617">
        <f t="shared" si="81"/>
        <v>165181</v>
      </c>
      <c r="AU48" s="617">
        <f t="shared" si="81"/>
        <v>218714</v>
      </c>
      <c r="AV48" s="618">
        <f t="shared" si="81"/>
        <v>19.5319</v>
      </c>
      <c r="AW48" s="618">
        <f t="shared" si="81"/>
        <v>15.0014</v>
      </c>
      <c r="AX48" s="619">
        <f t="shared" si="81"/>
        <v>4.5304999999999991</v>
      </c>
    </row>
    <row r="49" spans="1:50" s="210" customFormat="1" ht="14.1" customHeight="1" x14ac:dyDescent="0.2">
      <c r="A49" s="620">
        <v>7</v>
      </c>
      <c r="B49" s="215">
        <v>2320</v>
      </c>
      <c r="C49" s="621">
        <v>650034180</v>
      </c>
      <c r="D49" s="208">
        <v>72755369</v>
      </c>
      <c r="E49" s="208" t="s">
        <v>761</v>
      </c>
      <c r="F49" s="209">
        <v>3111</v>
      </c>
      <c r="G49" s="208" t="s">
        <v>317</v>
      </c>
      <c r="H49" s="622" t="s">
        <v>283</v>
      </c>
      <c r="I49" s="495">
        <v>2840506</v>
      </c>
      <c r="J49" s="411">
        <v>2039627</v>
      </c>
      <c r="K49" s="411">
        <v>31385</v>
      </c>
      <c r="L49" s="411">
        <v>0</v>
      </c>
      <c r="M49" s="496">
        <v>700002</v>
      </c>
      <c r="N49" s="496">
        <v>40792</v>
      </c>
      <c r="O49" s="623">
        <v>28700</v>
      </c>
      <c r="P49" s="412">
        <v>4.7518000000000002</v>
      </c>
      <c r="Q49" s="415">
        <v>4</v>
      </c>
      <c r="R49" s="685">
        <v>0.75179999999999991</v>
      </c>
      <c r="S49" s="499">
        <v>0</v>
      </c>
      <c r="T49" s="486">
        <v>0</v>
      </c>
      <c r="U49" s="486">
        <v>0</v>
      </c>
      <c r="V49" s="486">
        <f t="shared" ref="V49:V54" si="82">SUM(S49:U49)</f>
        <v>0</v>
      </c>
      <c r="W49" s="486">
        <v>0</v>
      </c>
      <c r="X49" s="486">
        <v>0</v>
      </c>
      <c r="Y49" s="486">
        <f t="shared" ref="Y49:Y54" si="83">SUM(W49:X49)</f>
        <v>0</v>
      </c>
      <c r="Z49" s="486">
        <f t="shared" ref="Z49:Z54" si="84">V49+Y49</f>
        <v>0</v>
      </c>
      <c r="AA49" s="178">
        <f t="shared" ref="AA49:AA54" si="85">ROUND((V49+W49)*33.8%,0)</f>
        <v>0</v>
      </c>
      <c r="AB49" s="178">
        <f t="shared" ref="AB49:AB54" si="86">ROUND(V49*2%,0)</f>
        <v>0</v>
      </c>
      <c r="AC49" s="486">
        <v>0</v>
      </c>
      <c r="AD49" s="486">
        <v>0</v>
      </c>
      <c r="AE49" s="486">
        <f t="shared" ref="AE49:AE54" si="87">SUM(AC49:AD49)</f>
        <v>0</v>
      </c>
      <c r="AF49" s="486">
        <f t="shared" ref="AF49:AF54" si="88">Z49+AA49+AB49+AE49</f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ref="AL49:AL54" si="89">AG49+AI49+AJ49</f>
        <v>0</v>
      </c>
      <c r="AM49" s="501">
        <f t="shared" ref="AM49:AM54" si="90">AH49+AK49</f>
        <v>0</v>
      </c>
      <c r="AN49" s="502">
        <f t="shared" ref="AN49:AN54" si="91">SUM(AL49:AM49)</f>
        <v>0</v>
      </c>
      <c r="AO49" s="499">
        <f t="shared" ref="AO49:AO54" si="92">I49+AF49</f>
        <v>2840506</v>
      </c>
      <c r="AP49" s="486">
        <f t="shared" ref="AP49:AP54" si="93">J49+V49</f>
        <v>2039627</v>
      </c>
      <c r="AQ49" s="480">
        <f t="shared" ref="AQ49:AQ54" si="94">K49+Y49</f>
        <v>31385</v>
      </c>
      <c r="AR49" s="480">
        <f t="shared" ref="AR49:AR54" si="95">L49</f>
        <v>0</v>
      </c>
      <c r="AS49" s="486">
        <f t="shared" ref="AS49:AT54" si="96">M49+AA49</f>
        <v>700002</v>
      </c>
      <c r="AT49" s="486">
        <f t="shared" si="96"/>
        <v>40792</v>
      </c>
      <c r="AU49" s="486">
        <f t="shared" ref="AU49:AU54" si="97">O49+AE49</f>
        <v>28700</v>
      </c>
      <c r="AV49" s="501">
        <f t="shared" ref="AV49:AV54" si="98">P49+AN49</f>
        <v>4.7518000000000002</v>
      </c>
      <c r="AW49" s="501">
        <f t="shared" ref="AW49:AX54" si="99">Q49+AL49</f>
        <v>4</v>
      </c>
      <c r="AX49" s="502">
        <f t="shared" si="99"/>
        <v>0.75179999999999991</v>
      </c>
    </row>
    <row r="50" spans="1:50" s="210" customFormat="1" ht="14.1" customHeight="1" x14ac:dyDescent="0.2">
      <c r="A50" s="620">
        <v>7</v>
      </c>
      <c r="B50" s="217">
        <v>2320</v>
      </c>
      <c r="C50" s="621">
        <v>650034180</v>
      </c>
      <c r="D50" s="208">
        <v>72755369</v>
      </c>
      <c r="E50" s="217" t="s">
        <v>761</v>
      </c>
      <c r="F50" s="218">
        <v>3117</v>
      </c>
      <c r="G50" s="217" t="s">
        <v>320</v>
      </c>
      <c r="H50" s="622" t="s">
        <v>283</v>
      </c>
      <c r="I50" s="495">
        <v>5145443</v>
      </c>
      <c r="J50" s="328">
        <v>3516145</v>
      </c>
      <c r="K50" s="328">
        <v>111110</v>
      </c>
      <c r="L50" s="328">
        <v>8732</v>
      </c>
      <c r="M50" s="496">
        <v>1195554</v>
      </c>
      <c r="N50" s="496">
        <v>70323</v>
      </c>
      <c r="O50" s="328">
        <v>252311</v>
      </c>
      <c r="P50" s="412">
        <v>7.0489000000000006</v>
      </c>
      <c r="Q50" s="329">
        <v>4.5574000000000003</v>
      </c>
      <c r="R50" s="330">
        <v>2.4914999999999998</v>
      </c>
      <c r="S50" s="499">
        <v>0</v>
      </c>
      <c r="T50" s="486">
        <v>0</v>
      </c>
      <c r="U50" s="486">
        <v>0</v>
      </c>
      <c r="V50" s="486">
        <f t="shared" si="82"/>
        <v>0</v>
      </c>
      <c r="W50" s="486">
        <v>0</v>
      </c>
      <c r="X50" s="486">
        <v>0</v>
      </c>
      <c r="Y50" s="486">
        <f t="shared" si="83"/>
        <v>0</v>
      </c>
      <c r="Z50" s="486">
        <f t="shared" si="84"/>
        <v>0</v>
      </c>
      <c r="AA50" s="178">
        <f t="shared" si="85"/>
        <v>0</v>
      </c>
      <c r="AB50" s="178">
        <f t="shared" si="86"/>
        <v>0</v>
      </c>
      <c r="AC50" s="486">
        <v>0</v>
      </c>
      <c r="AD50" s="486">
        <v>0</v>
      </c>
      <c r="AE50" s="486">
        <f t="shared" si="87"/>
        <v>0</v>
      </c>
      <c r="AF50" s="486">
        <f t="shared" si="88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89"/>
        <v>0</v>
      </c>
      <c r="AM50" s="501">
        <f t="shared" si="90"/>
        <v>0</v>
      </c>
      <c r="AN50" s="502">
        <f t="shared" si="91"/>
        <v>0</v>
      </c>
      <c r="AO50" s="499">
        <f t="shared" si="92"/>
        <v>5145443</v>
      </c>
      <c r="AP50" s="486">
        <f t="shared" si="93"/>
        <v>3516145</v>
      </c>
      <c r="AQ50" s="480">
        <f t="shared" si="94"/>
        <v>111110</v>
      </c>
      <c r="AR50" s="480">
        <f t="shared" si="95"/>
        <v>8732</v>
      </c>
      <c r="AS50" s="486">
        <f t="shared" si="96"/>
        <v>1195554</v>
      </c>
      <c r="AT50" s="486">
        <f t="shared" si="96"/>
        <v>70323</v>
      </c>
      <c r="AU50" s="486">
        <f t="shared" si="97"/>
        <v>252311</v>
      </c>
      <c r="AV50" s="501">
        <f t="shared" si="98"/>
        <v>7.0489000000000006</v>
      </c>
      <c r="AW50" s="501">
        <f t="shared" si="99"/>
        <v>4.5574000000000003</v>
      </c>
      <c r="AX50" s="502">
        <f t="shared" si="99"/>
        <v>2.4914999999999998</v>
      </c>
    </row>
    <row r="51" spans="1:50" s="210" customFormat="1" ht="14.1" customHeight="1" x14ac:dyDescent="0.2">
      <c r="A51" s="620">
        <v>7</v>
      </c>
      <c r="B51" s="215">
        <v>2320</v>
      </c>
      <c r="C51" s="621">
        <v>650034180</v>
      </c>
      <c r="D51" s="208">
        <v>72755369</v>
      </c>
      <c r="E51" s="215" t="s">
        <v>761</v>
      </c>
      <c r="F51" s="209">
        <v>3117</v>
      </c>
      <c r="G51" s="208" t="s">
        <v>318</v>
      </c>
      <c r="H51" s="622" t="s">
        <v>284</v>
      </c>
      <c r="I51" s="495">
        <v>661044</v>
      </c>
      <c r="J51" s="623">
        <v>486777</v>
      </c>
      <c r="K51" s="623">
        <v>0</v>
      </c>
      <c r="L51" s="623">
        <v>0</v>
      </c>
      <c r="M51" s="496">
        <v>164531</v>
      </c>
      <c r="N51" s="496">
        <v>9736</v>
      </c>
      <c r="O51" s="623">
        <v>0</v>
      </c>
      <c r="P51" s="412">
        <v>1.6300000000000001</v>
      </c>
      <c r="Q51" s="497">
        <v>1.6300000000000001</v>
      </c>
      <c r="R51" s="686">
        <v>0</v>
      </c>
      <c r="S51" s="499">
        <v>0</v>
      </c>
      <c r="T51" s="486">
        <v>0</v>
      </c>
      <c r="U51" s="486">
        <v>0</v>
      </c>
      <c r="V51" s="486">
        <f t="shared" si="82"/>
        <v>0</v>
      </c>
      <c r="W51" s="486">
        <v>0</v>
      </c>
      <c r="X51" s="486">
        <v>0</v>
      </c>
      <c r="Y51" s="486">
        <f t="shared" si="83"/>
        <v>0</v>
      </c>
      <c r="Z51" s="486">
        <f t="shared" si="84"/>
        <v>0</v>
      </c>
      <c r="AA51" s="178">
        <f t="shared" si="85"/>
        <v>0</v>
      </c>
      <c r="AB51" s="178">
        <f t="shared" si="86"/>
        <v>0</v>
      </c>
      <c r="AC51" s="486">
        <v>0</v>
      </c>
      <c r="AD51" s="486">
        <v>0</v>
      </c>
      <c r="AE51" s="486">
        <f t="shared" si="87"/>
        <v>0</v>
      </c>
      <c r="AF51" s="486">
        <f t="shared" si="88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89"/>
        <v>0</v>
      </c>
      <c r="AM51" s="501">
        <f t="shared" si="90"/>
        <v>0</v>
      </c>
      <c r="AN51" s="502">
        <f t="shared" si="91"/>
        <v>0</v>
      </c>
      <c r="AO51" s="499">
        <f t="shared" si="92"/>
        <v>661044</v>
      </c>
      <c r="AP51" s="486">
        <f t="shared" si="93"/>
        <v>486777</v>
      </c>
      <c r="AQ51" s="480">
        <f t="shared" si="94"/>
        <v>0</v>
      </c>
      <c r="AR51" s="480">
        <f t="shared" si="95"/>
        <v>0</v>
      </c>
      <c r="AS51" s="486">
        <f t="shared" si="96"/>
        <v>164531</v>
      </c>
      <c r="AT51" s="486">
        <f t="shared" si="96"/>
        <v>9736</v>
      </c>
      <c r="AU51" s="486">
        <f t="shared" si="97"/>
        <v>0</v>
      </c>
      <c r="AV51" s="501">
        <f t="shared" si="98"/>
        <v>1.6300000000000001</v>
      </c>
      <c r="AW51" s="501">
        <f t="shared" si="99"/>
        <v>1.6300000000000001</v>
      </c>
      <c r="AX51" s="502">
        <f t="shared" si="99"/>
        <v>0</v>
      </c>
    </row>
    <row r="52" spans="1:50" s="210" customFormat="1" ht="14.1" customHeight="1" x14ac:dyDescent="0.2">
      <c r="A52" s="620">
        <v>7</v>
      </c>
      <c r="B52" s="208">
        <v>2320</v>
      </c>
      <c r="C52" s="621">
        <v>650034180</v>
      </c>
      <c r="D52" s="208">
        <v>72755369</v>
      </c>
      <c r="E52" s="208" t="s">
        <v>761</v>
      </c>
      <c r="F52" s="209">
        <v>3141</v>
      </c>
      <c r="G52" s="208" t="s">
        <v>321</v>
      </c>
      <c r="H52" s="622" t="s">
        <v>284</v>
      </c>
      <c r="I52" s="495">
        <v>1052162</v>
      </c>
      <c r="J52" s="623">
        <v>770731</v>
      </c>
      <c r="K52" s="623">
        <v>0</v>
      </c>
      <c r="L52" s="623">
        <v>0</v>
      </c>
      <c r="M52" s="496">
        <v>260507</v>
      </c>
      <c r="N52" s="496">
        <v>15414</v>
      </c>
      <c r="O52" s="623">
        <v>5510</v>
      </c>
      <c r="P52" s="412">
        <v>2.6100000000000003</v>
      </c>
      <c r="Q52" s="497">
        <v>0</v>
      </c>
      <c r="R52" s="686">
        <v>2.6100000000000003</v>
      </c>
      <c r="S52" s="499">
        <v>0</v>
      </c>
      <c r="T52" s="486">
        <v>0</v>
      </c>
      <c r="U52" s="486">
        <v>0</v>
      </c>
      <c r="V52" s="486">
        <f t="shared" si="82"/>
        <v>0</v>
      </c>
      <c r="W52" s="486">
        <v>0</v>
      </c>
      <c r="X52" s="486">
        <v>0</v>
      </c>
      <c r="Y52" s="486">
        <f t="shared" si="83"/>
        <v>0</v>
      </c>
      <c r="Z52" s="486">
        <f t="shared" si="84"/>
        <v>0</v>
      </c>
      <c r="AA52" s="178">
        <f t="shared" si="85"/>
        <v>0</v>
      </c>
      <c r="AB52" s="178">
        <f t="shared" si="86"/>
        <v>0</v>
      </c>
      <c r="AC52" s="486">
        <v>0</v>
      </c>
      <c r="AD52" s="486">
        <v>0</v>
      </c>
      <c r="AE52" s="486">
        <f t="shared" si="87"/>
        <v>0</v>
      </c>
      <c r="AF52" s="486">
        <f t="shared" si="88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89"/>
        <v>0</v>
      </c>
      <c r="AM52" s="501">
        <f t="shared" si="90"/>
        <v>0</v>
      </c>
      <c r="AN52" s="502">
        <f t="shared" si="91"/>
        <v>0</v>
      </c>
      <c r="AO52" s="499">
        <f t="shared" si="92"/>
        <v>1052162</v>
      </c>
      <c r="AP52" s="486">
        <f t="shared" si="93"/>
        <v>770731</v>
      </c>
      <c r="AQ52" s="480">
        <f t="shared" si="94"/>
        <v>0</v>
      </c>
      <c r="AR52" s="480">
        <f t="shared" si="95"/>
        <v>0</v>
      </c>
      <c r="AS52" s="486">
        <f t="shared" si="96"/>
        <v>260507</v>
      </c>
      <c r="AT52" s="486">
        <f t="shared" si="96"/>
        <v>15414</v>
      </c>
      <c r="AU52" s="486">
        <f t="shared" si="97"/>
        <v>5510</v>
      </c>
      <c r="AV52" s="501">
        <f t="shared" si="98"/>
        <v>2.6100000000000003</v>
      </c>
      <c r="AW52" s="501">
        <f t="shared" si="99"/>
        <v>0</v>
      </c>
      <c r="AX52" s="502">
        <f t="shared" si="99"/>
        <v>2.6100000000000003</v>
      </c>
    </row>
    <row r="53" spans="1:50" s="210" customFormat="1" ht="14.1" customHeight="1" x14ac:dyDescent="0.2">
      <c r="A53" s="620">
        <v>7</v>
      </c>
      <c r="B53" s="215">
        <v>2320</v>
      </c>
      <c r="C53" s="621">
        <v>650034180</v>
      </c>
      <c r="D53" s="208">
        <v>72755369</v>
      </c>
      <c r="E53" s="215" t="s">
        <v>761</v>
      </c>
      <c r="F53" s="209">
        <v>3143</v>
      </c>
      <c r="G53" s="208" t="s">
        <v>634</v>
      </c>
      <c r="H53" s="216" t="s">
        <v>283</v>
      </c>
      <c r="I53" s="495">
        <v>1024012</v>
      </c>
      <c r="J53" s="411">
        <v>754059</v>
      </c>
      <c r="K53" s="411">
        <v>0</v>
      </c>
      <c r="L53" s="411">
        <v>0</v>
      </c>
      <c r="M53" s="496">
        <v>254872</v>
      </c>
      <c r="N53" s="496">
        <v>15081</v>
      </c>
      <c r="O53" s="623">
        <v>0</v>
      </c>
      <c r="P53" s="412">
        <v>1.6495</v>
      </c>
      <c r="Q53" s="415">
        <v>1.6495</v>
      </c>
      <c r="R53" s="686">
        <v>0</v>
      </c>
      <c r="S53" s="499">
        <v>0</v>
      </c>
      <c r="T53" s="486">
        <v>0</v>
      </c>
      <c r="U53" s="486">
        <v>0</v>
      </c>
      <c r="V53" s="486">
        <f t="shared" si="82"/>
        <v>0</v>
      </c>
      <c r="W53" s="486">
        <v>0</v>
      </c>
      <c r="X53" s="486">
        <v>0</v>
      </c>
      <c r="Y53" s="486">
        <f t="shared" si="83"/>
        <v>0</v>
      </c>
      <c r="Z53" s="486">
        <f t="shared" si="84"/>
        <v>0</v>
      </c>
      <c r="AA53" s="178">
        <f t="shared" si="85"/>
        <v>0</v>
      </c>
      <c r="AB53" s="178">
        <f t="shared" si="86"/>
        <v>0</v>
      </c>
      <c r="AC53" s="486">
        <v>0</v>
      </c>
      <c r="AD53" s="486">
        <v>0</v>
      </c>
      <c r="AE53" s="486">
        <f t="shared" si="87"/>
        <v>0</v>
      </c>
      <c r="AF53" s="486">
        <f t="shared" si="88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si="89"/>
        <v>0</v>
      </c>
      <c r="AM53" s="501">
        <f t="shared" si="90"/>
        <v>0</v>
      </c>
      <c r="AN53" s="502">
        <f t="shared" si="91"/>
        <v>0</v>
      </c>
      <c r="AO53" s="499">
        <f t="shared" si="92"/>
        <v>1024012</v>
      </c>
      <c r="AP53" s="486">
        <f t="shared" si="93"/>
        <v>754059</v>
      </c>
      <c r="AQ53" s="480">
        <f t="shared" si="94"/>
        <v>0</v>
      </c>
      <c r="AR53" s="480">
        <f t="shared" si="95"/>
        <v>0</v>
      </c>
      <c r="AS53" s="486">
        <f t="shared" si="96"/>
        <v>254872</v>
      </c>
      <c r="AT53" s="486">
        <f t="shared" si="96"/>
        <v>15081</v>
      </c>
      <c r="AU53" s="486">
        <f t="shared" si="97"/>
        <v>0</v>
      </c>
      <c r="AV53" s="501">
        <f t="shared" si="98"/>
        <v>1.6495</v>
      </c>
      <c r="AW53" s="501">
        <f t="shared" si="99"/>
        <v>1.6495</v>
      </c>
      <c r="AX53" s="502">
        <f t="shared" si="99"/>
        <v>0</v>
      </c>
    </row>
    <row r="54" spans="1:50" s="210" customFormat="1" ht="14.1" customHeight="1" x14ac:dyDescent="0.2">
      <c r="A54" s="620">
        <v>7</v>
      </c>
      <c r="B54" s="215">
        <v>2320</v>
      </c>
      <c r="C54" s="621">
        <v>650034180</v>
      </c>
      <c r="D54" s="208">
        <v>72755369</v>
      </c>
      <c r="E54" s="215" t="s">
        <v>761</v>
      </c>
      <c r="F54" s="209">
        <v>3143</v>
      </c>
      <c r="G54" s="208" t="s">
        <v>635</v>
      </c>
      <c r="H54" s="216" t="s">
        <v>284</v>
      </c>
      <c r="I54" s="495">
        <v>34408</v>
      </c>
      <c r="J54" s="623">
        <v>24255</v>
      </c>
      <c r="K54" s="623">
        <v>0</v>
      </c>
      <c r="L54" s="623">
        <v>0</v>
      </c>
      <c r="M54" s="496">
        <v>8198</v>
      </c>
      <c r="N54" s="496">
        <v>485</v>
      </c>
      <c r="O54" s="623">
        <v>1470</v>
      </c>
      <c r="P54" s="412">
        <v>0.1</v>
      </c>
      <c r="Q54" s="497">
        <v>0</v>
      </c>
      <c r="R54" s="686">
        <v>0.1</v>
      </c>
      <c r="S54" s="499">
        <v>0</v>
      </c>
      <c r="T54" s="486">
        <v>0</v>
      </c>
      <c r="U54" s="486">
        <v>0</v>
      </c>
      <c r="V54" s="486">
        <f t="shared" si="82"/>
        <v>0</v>
      </c>
      <c r="W54" s="486">
        <v>0</v>
      </c>
      <c r="X54" s="486">
        <v>0</v>
      </c>
      <c r="Y54" s="486">
        <f t="shared" si="83"/>
        <v>0</v>
      </c>
      <c r="Z54" s="486">
        <f t="shared" si="84"/>
        <v>0</v>
      </c>
      <c r="AA54" s="178">
        <f t="shared" si="85"/>
        <v>0</v>
      </c>
      <c r="AB54" s="178">
        <f t="shared" si="86"/>
        <v>0</v>
      </c>
      <c r="AC54" s="486">
        <v>0</v>
      </c>
      <c r="AD54" s="486">
        <v>0</v>
      </c>
      <c r="AE54" s="486">
        <f t="shared" si="87"/>
        <v>0</v>
      </c>
      <c r="AF54" s="486">
        <f t="shared" si="88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89"/>
        <v>0</v>
      </c>
      <c r="AM54" s="501">
        <f t="shared" si="90"/>
        <v>0</v>
      </c>
      <c r="AN54" s="502">
        <f t="shared" si="91"/>
        <v>0</v>
      </c>
      <c r="AO54" s="499">
        <f t="shared" si="92"/>
        <v>34408</v>
      </c>
      <c r="AP54" s="486">
        <f t="shared" si="93"/>
        <v>24255</v>
      </c>
      <c r="AQ54" s="480">
        <f t="shared" si="94"/>
        <v>0</v>
      </c>
      <c r="AR54" s="480">
        <f t="shared" si="95"/>
        <v>0</v>
      </c>
      <c r="AS54" s="486">
        <f t="shared" si="96"/>
        <v>8198</v>
      </c>
      <c r="AT54" s="486">
        <f t="shared" si="96"/>
        <v>485</v>
      </c>
      <c r="AU54" s="486">
        <f t="shared" si="97"/>
        <v>1470</v>
      </c>
      <c r="AV54" s="501">
        <f t="shared" si="98"/>
        <v>0.1</v>
      </c>
      <c r="AW54" s="501">
        <f t="shared" si="99"/>
        <v>0</v>
      </c>
      <c r="AX54" s="502">
        <f t="shared" si="99"/>
        <v>0.1</v>
      </c>
    </row>
    <row r="55" spans="1:50" s="210" customFormat="1" ht="14.1" customHeight="1" x14ac:dyDescent="0.2">
      <c r="A55" s="235">
        <v>7</v>
      </c>
      <c r="B55" s="211">
        <v>2320</v>
      </c>
      <c r="C55" s="613">
        <v>650034180</v>
      </c>
      <c r="D55" s="211">
        <v>72755369</v>
      </c>
      <c r="E55" s="211" t="s">
        <v>762</v>
      </c>
      <c r="F55" s="219"/>
      <c r="G55" s="213"/>
      <c r="H55" s="214"/>
      <c r="I55" s="614">
        <v>10757575</v>
      </c>
      <c r="J55" s="615">
        <v>7591594</v>
      </c>
      <c r="K55" s="615">
        <v>142495</v>
      </c>
      <c r="L55" s="615">
        <v>8732</v>
      </c>
      <c r="M55" s="615">
        <v>2583664</v>
      </c>
      <c r="N55" s="615">
        <v>151831</v>
      </c>
      <c r="O55" s="615">
        <v>287991</v>
      </c>
      <c r="P55" s="616">
        <v>17.790200000000002</v>
      </c>
      <c r="Q55" s="616">
        <v>11.836900000000002</v>
      </c>
      <c r="R55" s="619">
        <v>5.9532999999999996</v>
      </c>
      <c r="S55" s="615">
        <f t="shared" ref="S55:AX55" si="100">SUM(S49:S54)</f>
        <v>0</v>
      </c>
      <c r="T55" s="617">
        <f t="shared" si="100"/>
        <v>0</v>
      </c>
      <c r="U55" s="617">
        <f t="shared" si="100"/>
        <v>0</v>
      </c>
      <c r="V55" s="617">
        <f t="shared" si="100"/>
        <v>0</v>
      </c>
      <c r="W55" s="617">
        <f t="shared" si="100"/>
        <v>0</v>
      </c>
      <c r="X55" s="617">
        <f t="shared" si="100"/>
        <v>0</v>
      </c>
      <c r="Y55" s="617">
        <f t="shared" si="100"/>
        <v>0</v>
      </c>
      <c r="Z55" s="617">
        <f t="shared" si="100"/>
        <v>0</v>
      </c>
      <c r="AA55" s="617">
        <f t="shared" si="100"/>
        <v>0</v>
      </c>
      <c r="AB55" s="617">
        <f t="shared" si="100"/>
        <v>0</v>
      </c>
      <c r="AC55" s="617">
        <f t="shared" si="100"/>
        <v>0</v>
      </c>
      <c r="AD55" s="617">
        <f t="shared" si="100"/>
        <v>0</v>
      </c>
      <c r="AE55" s="617">
        <f t="shared" si="100"/>
        <v>0</v>
      </c>
      <c r="AF55" s="617">
        <f t="shared" si="100"/>
        <v>0</v>
      </c>
      <c r="AG55" s="618">
        <f t="shared" si="100"/>
        <v>0</v>
      </c>
      <c r="AH55" s="618">
        <f t="shared" si="100"/>
        <v>0</v>
      </c>
      <c r="AI55" s="618">
        <f t="shared" si="100"/>
        <v>0</v>
      </c>
      <c r="AJ55" s="618">
        <f t="shared" si="100"/>
        <v>0</v>
      </c>
      <c r="AK55" s="618">
        <f t="shared" si="100"/>
        <v>0</v>
      </c>
      <c r="AL55" s="618">
        <f t="shared" si="100"/>
        <v>0</v>
      </c>
      <c r="AM55" s="618">
        <f t="shared" si="100"/>
        <v>0</v>
      </c>
      <c r="AN55" s="619">
        <f t="shared" si="100"/>
        <v>0</v>
      </c>
      <c r="AO55" s="615">
        <f t="shared" si="100"/>
        <v>10757575</v>
      </c>
      <c r="AP55" s="617">
        <f t="shared" si="100"/>
        <v>7591594</v>
      </c>
      <c r="AQ55" s="617">
        <f t="shared" si="100"/>
        <v>142495</v>
      </c>
      <c r="AR55" s="617">
        <f t="shared" si="100"/>
        <v>8732</v>
      </c>
      <c r="AS55" s="617">
        <f t="shared" si="100"/>
        <v>2583664</v>
      </c>
      <c r="AT55" s="617">
        <f t="shared" si="100"/>
        <v>151831</v>
      </c>
      <c r="AU55" s="617">
        <f t="shared" si="100"/>
        <v>287991</v>
      </c>
      <c r="AV55" s="618">
        <f t="shared" si="100"/>
        <v>17.790200000000002</v>
      </c>
      <c r="AW55" s="618">
        <f t="shared" si="100"/>
        <v>11.836900000000002</v>
      </c>
      <c r="AX55" s="619">
        <f t="shared" si="100"/>
        <v>5.9532999999999996</v>
      </c>
    </row>
    <row r="56" spans="1:50" s="210" customFormat="1" ht="14.1" customHeight="1" x14ac:dyDescent="0.2">
      <c r="A56" s="620">
        <v>8</v>
      </c>
      <c r="B56" s="215">
        <v>2455</v>
      </c>
      <c r="C56" s="621">
        <v>600080145</v>
      </c>
      <c r="D56" s="208">
        <v>72741601</v>
      </c>
      <c r="E56" s="208" t="s">
        <v>763</v>
      </c>
      <c r="F56" s="209">
        <v>3111</v>
      </c>
      <c r="G56" s="208" t="s">
        <v>317</v>
      </c>
      <c r="H56" s="622" t="s">
        <v>283</v>
      </c>
      <c r="I56" s="495">
        <v>1518963</v>
      </c>
      <c r="J56" s="411">
        <v>1107705</v>
      </c>
      <c r="K56" s="411">
        <v>0</v>
      </c>
      <c r="L56" s="411">
        <v>0</v>
      </c>
      <c r="M56" s="496">
        <v>374404</v>
      </c>
      <c r="N56" s="496">
        <v>22154</v>
      </c>
      <c r="O56" s="623">
        <v>14700</v>
      </c>
      <c r="P56" s="412">
        <v>2.5108999999999999</v>
      </c>
      <c r="Q56" s="415">
        <v>2</v>
      </c>
      <c r="R56" s="685">
        <v>0.51090000000000002</v>
      </c>
      <c r="S56" s="499">
        <v>0</v>
      </c>
      <c r="T56" s="486">
        <v>0</v>
      </c>
      <c r="U56" s="486">
        <v>0</v>
      </c>
      <c r="V56" s="486">
        <f t="shared" ref="V56:V61" si="101">SUM(S56:U56)</f>
        <v>0</v>
      </c>
      <c r="W56" s="486">
        <v>0</v>
      </c>
      <c r="X56" s="486">
        <v>0</v>
      </c>
      <c r="Y56" s="486">
        <f t="shared" ref="Y56:Y61" si="102">SUM(W56:X56)</f>
        <v>0</v>
      </c>
      <c r="Z56" s="486">
        <f t="shared" ref="Z56:Z61" si="103">V56+Y56</f>
        <v>0</v>
      </c>
      <c r="AA56" s="178">
        <f t="shared" ref="AA56:AA61" si="104">ROUND((V56+W56)*33.8%,0)</f>
        <v>0</v>
      </c>
      <c r="AB56" s="178">
        <f t="shared" ref="AB56:AB61" si="105">ROUND(V56*2%,0)</f>
        <v>0</v>
      </c>
      <c r="AC56" s="486">
        <v>0</v>
      </c>
      <c r="AD56" s="486">
        <v>0</v>
      </c>
      <c r="AE56" s="486">
        <f t="shared" ref="AE56:AE61" si="106">SUM(AC56:AD56)</f>
        <v>0</v>
      </c>
      <c r="AF56" s="486">
        <f t="shared" ref="AF56:AF61" si="107">Z56+AA56+AB56+AE56</f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ref="AL56:AL61" si="108">AG56+AI56+AJ56</f>
        <v>0</v>
      </c>
      <c r="AM56" s="501">
        <f t="shared" ref="AM56:AM61" si="109">AH56+AK56</f>
        <v>0</v>
      </c>
      <c r="AN56" s="502">
        <f t="shared" ref="AN56:AN61" si="110">SUM(AL56:AM56)</f>
        <v>0</v>
      </c>
      <c r="AO56" s="499">
        <f t="shared" ref="AO56:AO61" si="111">I56+AF56</f>
        <v>1518963</v>
      </c>
      <c r="AP56" s="486">
        <f t="shared" ref="AP56:AP61" si="112">J56+V56</f>
        <v>1107705</v>
      </c>
      <c r="AQ56" s="480">
        <f t="shared" ref="AQ56:AQ61" si="113">K56+Y56</f>
        <v>0</v>
      </c>
      <c r="AR56" s="480">
        <f t="shared" ref="AR56:AR61" si="114">L56</f>
        <v>0</v>
      </c>
      <c r="AS56" s="486">
        <f t="shared" ref="AS56:AT61" si="115">M56+AA56</f>
        <v>374404</v>
      </c>
      <c r="AT56" s="486">
        <f t="shared" si="115"/>
        <v>22154</v>
      </c>
      <c r="AU56" s="486">
        <f t="shared" ref="AU56:AU61" si="116">O56+AE56</f>
        <v>14700</v>
      </c>
      <c r="AV56" s="501">
        <f t="shared" ref="AV56:AV61" si="117">P56+AN56</f>
        <v>2.5108999999999999</v>
      </c>
      <c r="AW56" s="501">
        <f t="shared" ref="AW56:AX61" si="118">Q56+AL56</f>
        <v>2</v>
      </c>
      <c r="AX56" s="502">
        <f t="shared" si="118"/>
        <v>0.51090000000000002</v>
      </c>
    </row>
    <row r="57" spans="1:50" s="210" customFormat="1" ht="14.1" customHeight="1" x14ac:dyDescent="0.2">
      <c r="A57" s="620">
        <v>8</v>
      </c>
      <c r="B57" s="217">
        <v>2455</v>
      </c>
      <c r="C57" s="621">
        <v>600080145</v>
      </c>
      <c r="D57" s="208">
        <v>72741601</v>
      </c>
      <c r="E57" s="217" t="s">
        <v>763</v>
      </c>
      <c r="F57" s="218">
        <v>3117</v>
      </c>
      <c r="G57" s="217" t="s">
        <v>335</v>
      </c>
      <c r="H57" s="622" t="s">
        <v>283</v>
      </c>
      <c r="I57" s="495">
        <v>3328848</v>
      </c>
      <c r="J57" s="328">
        <v>2381743</v>
      </c>
      <c r="K57" s="328">
        <v>4440</v>
      </c>
      <c r="L57" s="328">
        <v>4440</v>
      </c>
      <c r="M57" s="496">
        <v>805030</v>
      </c>
      <c r="N57" s="496">
        <v>47635</v>
      </c>
      <c r="O57" s="328">
        <v>90000</v>
      </c>
      <c r="P57" s="412">
        <v>4.8658999999999999</v>
      </c>
      <c r="Q57" s="329">
        <v>3.3182</v>
      </c>
      <c r="R57" s="330">
        <v>1.5477000000000001</v>
      </c>
      <c r="S57" s="499">
        <v>0</v>
      </c>
      <c r="T57" s="486">
        <v>0</v>
      </c>
      <c r="U57" s="486">
        <v>0</v>
      </c>
      <c r="V57" s="486">
        <f t="shared" si="101"/>
        <v>0</v>
      </c>
      <c r="W57" s="486">
        <v>0</v>
      </c>
      <c r="X57" s="486">
        <v>0</v>
      </c>
      <c r="Y57" s="486">
        <f t="shared" si="102"/>
        <v>0</v>
      </c>
      <c r="Z57" s="486">
        <f t="shared" si="103"/>
        <v>0</v>
      </c>
      <c r="AA57" s="178">
        <f t="shared" si="104"/>
        <v>0</v>
      </c>
      <c r="AB57" s="178">
        <f t="shared" si="105"/>
        <v>0</v>
      </c>
      <c r="AC57" s="486">
        <v>0</v>
      </c>
      <c r="AD57" s="486">
        <v>0</v>
      </c>
      <c r="AE57" s="486">
        <f t="shared" si="106"/>
        <v>0</v>
      </c>
      <c r="AF57" s="486">
        <f t="shared" si="107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si="108"/>
        <v>0</v>
      </c>
      <c r="AM57" s="501">
        <f t="shared" si="109"/>
        <v>0</v>
      </c>
      <c r="AN57" s="502">
        <f t="shared" si="110"/>
        <v>0</v>
      </c>
      <c r="AO57" s="499">
        <f t="shared" si="111"/>
        <v>3328848</v>
      </c>
      <c r="AP57" s="486">
        <f t="shared" si="112"/>
        <v>2381743</v>
      </c>
      <c r="AQ57" s="480">
        <f t="shared" si="113"/>
        <v>4440</v>
      </c>
      <c r="AR57" s="480">
        <f t="shared" si="114"/>
        <v>4440</v>
      </c>
      <c r="AS57" s="486">
        <f t="shared" si="115"/>
        <v>805030</v>
      </c>
      <c r="AT57" s="486">
        <f t="shared" si="115"/>
        <v>47635</v>
      </c>
      <c r="AU57" s="486">
        <f t="shared" si="116"/>
        <v>90000</v>
      </c>
      <c r="AV57" s="501">
        <f t="shared" si="117"/>
        <v>4.8658999999999999</v>
      </c>
      <c r="AW57" s="501">
        <f t="shared" si="118"/>
        <v>3.3182</v>
      </c>
      <c r="AX57" s="502">
        <f t="shared" si="118"/>
        <v>1.5477000000000001</v>
      </c>
    </row>
    <row r="58" spans="1:50" s="210" customFormat="1" ht="14.1" customHeight="1" x14ac:dyDescent="0.2">
      <c r="A58" s="620">
        <v>8</v>
      </c>
      <c r="B58" s="215">
        <v>2455</v>
      </c>
      <c r="C58" s="621">
        <v>600080145</v>
      </c>
      <c r="D58" s="208">
        <v>72741601</v>
      </c>
      <c r="E58" s="215" t="s">
        <v>763</v>
      </c>
      <c r="F58" s="209">
        <v>3117</v>
      </c>
      <c r="G58" s="208" t="s">
        <v>318</v>
      </c>
      <c r="H58" s="622" t="s">
        <v>284</v>
      </c>
      <c r="I58" s="495">
        <v>278428</v>
      </c>
      <c r="J58" s="623">
        <v>205028</v>
      </c>
      <c r="K58" s="623">
        <v>0</v>
      </c>
      <c r="L58" s="623">
        <v>0</v>
      </c>
      <c r="M58" s="496">
        <v>69299</v>
      </c>
      <c r="N58" s="496">
        <v>4101</v>
      </c>
      <c r="O58" s="623">
        <v>0</v>
      </c>
      <c r="P58" s="412">
        <v>0.61</v>
      </c>
      <c r="Q58" s="497">
        <v>0.61</v>
      </c>
      <c r="R58" s="686">
        <v>0</v>
      </c>
      <c r="S58" s="499">
        <v>0</v>
      </c>
      <c r="T58" s="486">
        <v>0</v>
      </c>
      <c r="U58" s="486">
        <v>0</v>
      </c>
      <c r="V58" s="486">
        <f t="shared" si="101"/>
        <v>0</v>
      </c>
      <c r="W58" s="486">
        <v>0</v>
      </c>
      <c r="X58" s="486">
        <v>0</v>
      </c>
      <c r="Y58" s="486">
        <f t="shared" si="102"/>
        <v>0</v>
      </c>
      <c r="Z58" s="486">
        <f t="shared" si="103"/>
        <v>0</v>
      </c>
      <c r="AA58" s="178">
        <f t="shared" si="104"/>
        <v>0</v>
      </c>
      <c r="AB58" s="178">
        <f t="shared" si="105"/>
        <v>0</v>
      </c>
      <c r="AC58" s="486">
        <v>0</v>
      </c>
      <c r="AD58" s="486">
        <v>0</v>
      </c>
      <c r="AE58" s="486">
        <f t="shared" si="106"/>
        <v>0</v>
      </c>
      <c r="AF58" s="486">
        <f t="shared" si="107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si="108"/>
        <v>0</v>
      </c>
      <c r="AM58" s="501">
        <f t="shared" si="109"/>
        <v>0</v>
      </c>
      <c r="AN58" s="502">
        <f t="shared" si="110"/>
        <v>0</v>
      </c>
      <c r="AO58" s="499">
        <f t="shared" si="111"/>
        <v>278428</v>
      </c>
      <c r="AP58" s="486">
        <f t="shared" si="112"/>
        <v>205028</v>
      </c>
      <c r="AQ58" s="480">
        <f t="shared" si="113"/>
        <v>0</v>
      </c>
      <c r="AR58" s="480">
        <f t="shared" si="114"/>
        <v>0</v>
      </c>
      <c r="AS58" s="486">
        <f t="shared" si="115"/>
        <v>69299</v>
      </c>
      <c r="AT58" s="486">
        <f t="shared" si="115"/>
        <v>4101</v>
      </c>
      <c r="AU58" s="486">
        <f t="shared" si="116"/>
        <v>0</v>
      </c>
      <c r="AV58" s="501">
        <f t="shared" si="117"/>
        <v>0.61</v>
      </c>
      <c r="AW58" s="501">
        <f t="shared" si="118"/>
        <v>0.61</v>
      </c>
      <c r="AX58" s="502">
        <f t="shared" si="118"/>
        <v>0</v>
      </c>
    </row>
    <row r="59" spans="1:50" s="210" customFormat="1" ht="14.1" customHeight="1" x14ac:dyDescent="0.2">
      <c r="A59" s="620">
        <v>8</v>
      </c>
      <c r="B59" s="208">
        <v>2455</v>
      </c>
      <c r="C59" s="621">
        <v>600080145</v>
      </c>
      <c r="D59" s="208">
        <v>72741601</v>
      </c>
      <c r="E59" s="208" t="s">
        <v>763</v>
      </c>
      <c r="F59" s="209">
        <v>3141</v>
      </c>
      <c r="G59" s="208" t="s">
        <v>321</v>
      </c>
      <c r="H59" s="622" t="s">
        <v>284</v>
      </c>
      <c r="I59" s="495">
        <v>678067</v>
      </c>
      <c r="J59" s="623">
        <v>497134</v>
      </c>
      <c r="K59" s="623">
        <v>0</v>
      </c>
      <c r="L59" s="623">
        <v>0</v>
      </c>
      <c r="M59" s="496">
        <v>168032</v>
      </c>
      <c r="N59" s="496">
        <v>9943</v>
      </c>
      <c r="O59" s="623">
        <v>2958</v>
      </c>
      <c r="P59" s="412">
        <v>1.69</v>
      </c>
      <c r="Q59" s="497">
        <v>0</v>
      </c>
      <c r="R59" s="686">
        <v>1.69</v>
      </c>
      <c r="S59" s="499">
        <v>0</v>
      </c>
      <c r="T59" s="486">
        <v>0</v>
      </c>
      <c r="U59" s="486">
        <v>0</v>
      </c>
      <c r="V59" s="486">
        <f t="shared" si="101"/>
        <v>0</v>
      </c>
      <c r="W59" s="486">
        <v>0</v>
      </c>
      <c r="X59" s="486">
        <v>0</v>
      </c>
      <c r="Y59" s="486">
        <f t="shared" si="102"/>
        <v>0</v>
      </c>
      <c r="Z59" s="486">
        <f t="shared" si="103"/>
        <v>0</v>
      </c>
      <c r="AA59" s="178">
        <f t="shared" si="104"/>
        <v>0</v>
      </c>
      <c r="AB59" s="178">
        <f t="shared" si="105"/>
        <v>0</v>
      </c>
      <c r="AC59" s="486">
        <v>0</v>
      </c>
      <c r="AD59" s="486">
        <v>0</v>
      </c>
      <c r="AE59" s="486">
        <f t="shared" si="106"/>
        <v>0</v>
      </c>
      <c r="AF59" s="486">
        <f t="shared" si="107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108"/>
        <v>0</v>
      </c>
      <c r="AM59" s="501">
        <f t="shared" si="109"/>
        <v>0</v>
      </c>
      <c r="AN59" s="502">
        <f t="shared" si="110"/>
        <v>0</v>
      </c>
      <c r="AO59" s="499">
        <f t="shared" si="111"/>
        <v>678067</v>
      </c>
      <c r="AP59" s="486">
        <f t="shared" si="112"/>
        <v>497134</v>
      </c>
      <c r="AQ59" s="480">
        <f t="shared" si="113"/>
        <v>0</v>
      </c>
      <c r="AR59" s="480">
        <f t="shared" si="114"/>
        <v>0</v>
      </c>
      <c r="AS59" s="486">
        <f t="shared" si="115"/>
        <v>168032</v>
      </c>
      <c r="AT59" s="486">
        <f t="shared" si="115"/>
        <v>9943</v>
      </c>
      <c r="AU59" s="486">
        <f t="shared" si="116"/>
        <v>2958</v>
      </c>
      <c r="AV59" s="501">
        <f t="shared" si="117"/>
        <v>1.69</v>
      </c>
      <c r="AW59" s="501">
        <f t="shared" si="118"/>
        <v>0</v>
      </c>
      <c r="AX59" s="502">
        <f t="shared" si="118"/>
        <v>1.69</v>
      </c>
    </row>
    <row r="60" spans="1:50" s="210" customFormat="1" ht="14.1" customHeight="1" x14ac:dyDescent="0.2">
      <c r="A60" s="620">
        <v>8</v>
      </c>
      <c r="B60" s="215">
        <v>2455</v>
      </c>
      <c r="C60" s="621">
        <v>600080145</v>
      </c>
      <c r="D60" s="208">
        <v>72741601</v>
      </c>
      <c r="E60" s="215" t="s">
        <v>763</v>
      </c>
      <c r="F60" s="209">
        <v>3143</v>
      </c>
      <c r="G60" s="208" t="s">
        <v>634</v>
      </c>
      <c r="H60" s="216" t="s">
        <v>283</v>
      </c>
      <c r="I60" s="495">
        <v>629768</v>
      </c>
      <c r="J60" s="411">
        <v>463747</v>
      </c>
      <c r="K60" s="411">
        <v>0</v>
      </c>
      <c r="L60" s="411">
        <v>0</v>
      </c>
      <c r="M60" s="496">
        <v>156746</v>
      </c>
      <c r="N60" s="496">
        <v>9275</v>
      </c>
      <c r="O60" s="623">
        <v>0</v>
      </c>
      <c r="P60" s="412">
        <v>0.92859999999999998</v>
      </c>
      <c r="Q60" s="415">
        <v>0.92859999999999998</v>
      </c>
      <c r="R60" s="686">
        <v>0</v>
      </c>
      <c r="S60" s="499">
        <v>0</v>
      </c>
      <c r="T60" s="486">
        <v>0</v>
      </c>
      <c r="U60" s="486">
        <v>0</v>
      </c>
      <c r="V60" s="486">
        <f t="shared" si="101"/>
        <v>0</v>
      </c>
      <c r="W60" s="486">
        <v>0</v>
      </c>
      <c r="X60" s="486">
        <v>0</v>
      </c>
      <c r="Y60" s="486">
        <f t="shared" si="102"/>
        <v>0</v>
      </c>
      <c r="Z60" s="486">
        <f t="shared" si="103"/>
        <v>0</v>
      </c>
      <c r="AA60" s="178">
        <f t="shared" si="104"/>
        <v>0</v>
      </c>
      <c r="AB60" s="178">
        <f t="shared" si="105"/>
        <v>0</v>
      </c>
      <c r="AC60" s="486">
        <v>0</v>
      </c>
      <c r="AD60" s="486">
        <v>0</v>
      </c>
      <c r="AE60" s="486">
        <f t="shared" si="106"/>
        <v>0</v>
      </c>
      <c r="AF60" s="486">
        <f t="shared" si="107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108"/>
        <v>0</v>
      </c>
      <c r="AM60" s="501">
        <f t="shared" si="109"/>
        <v>0</v>
      </c>
      <c r="AN60" s="502">
        <f t="shared" si="110"/>
        <v>0</v>
      </c>
      <c r="AO60" s="499">
        <f t="shared" si="111"/>
        <v>629768</v>
      </c>
      <c r="AP60" s="486">
        <f t="shared" si="112"/>
        <v>463747</v>
      </c>
      <c r="AQ60" s="480">
        <f t="shared" si="113"/>
        <v>0</v>
      </c>
      <c r="AR60" s="480">
        <f t="shared" si="114"/>
        <v>0</v>
      </c>
      <c r="AS60" s="486">
        <f t="shared" si="115"/>
        <v>156746</v>
      </c>
      <c r="AT60" s="486">
        <f t="shared" si="115"/>
        <v>9275</v>
      </c>
      <c r="AU60" s="486">
        <f t="shared" si="116"/>
        <v>0</v>
      </c>
      <c r="AV60" s="501">
        <f t="shared" si="117"/>
        <v>0.92859999999999998</v>
      </c>
      <c r="AW60" s="501">
        <f t="shared" si="118"/>
        <v>0.92859999999999998</v>
      </c>
      <c r="AX60" s="502">
        <f t="shared" si="118"/>
        <v>0</v>
      </c>
    </row>
    <row r="61" spans="1:50" s="210" customFormat="1" ht="14.1" customHeight="1" x14ac:dyDescent="0.2">
      <c r="A61" s="620">
        <v>8</v>
      </c>
      <c r="B61" s="215">
        <v>2455</v>
      </c>
      <c r="C61" s="621">
        <v>600080145</v>
      </c>
      <c r="D61" s="208">
        <v>72741601</v>
      </c>
      <c r="E61" s="215" t="s">
        <v>763</v>
      </c>
      <c r="F61" s="209">
        <v>3143</v>
      </c>
      <c r="G61" s="208" t="s">
        <v>635</v>
      </c>
      <c r="H61" s="216" t="s">
        <v>284</v>
      </c>
      <c r="I61" s="495">
        <v>19662</v>
      </c>
      <c r="J61" s="623">
        <v>13860</v>
      </c>
      <c r="K61" s="623">
        <v>0</v>
      </c>
      <c r="L61" s="623">
        <v>0</v>
      </c>
      <c r="M61" s="496">
        <v>4685</v>
      </c>
      <c r="N61" s="496">
        <v>277</v>
      </c>
      <c r="O61" s="623">
        <v>840</v>
      </c>
      <c r="P61" s="412">
        <v>0.06</v>
      </c>
      <c r="Q61" s="497">
        <v>0</v>
      </c>
      <c r="R61" s="686">
        <v>0.06</v>
      </c>
      <c r="S61" s="499">
        <v>0</v>
      </c>
      <c r="T61" s="486">
        <v>0</v>
      </c>
      <c r="U61" s="486">
        <v>0</v>
      </c>
      <c r="V61" s="486">
        <f t="shared" si="101"/>
        <v>0</v>
      </c>
      <c r="W61" s="486">
        <v>0</v>
      </c>
      <c r="X61" s="486">
        <v>0</v>
      </c>
      <c r="Y61" s="486">
        <f t="shared" si="102"/>
        <v>0</v>
      </c>
      <c r="Z61" s="486">
        <f t="shared" si="103"/>
        <v>0</v>
      </c>
      <c r="AA61" s="178">
        <f t="shared" si="104"/>
        <v>0</v>
      </c>
      <c r="AB61" s="178">
        <f t="shared" si="105"/>
        <v>0</v>
      </c>
      <c r="AC61" s="486">
        <v>0</v>
      </c>
      <c r="AD61" s="486">
        <v>0</v>
      </c>
      <c r="AE61" s="486">
        <f t="shared" si="106"/>
        <v>0</v>
      </c>
      <c r="AF61" s="486">
        <f t="shared" si="107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108"/>
        <v>0</v>
      </c>
      <c r="AM61" s="501">
        <f t="shared" si="109"/>
        <v>0</v>
      </c>
      <c r="AN61" s="502">
        <f t="shared" si="110"/>
        <v>0</v>
      </c>
      <c r="AO61" s="499">
        <f t="shared" si="111"/>
        <v>19662</v>
      </c>
      <c r="AP61" s="486">
        <f t="shared" si="112"/>
        <v>13860</v>
      </c>
      <c r="AQ61" s="480">
        <f t="shared" si="113"/>
        <v>0</v>
      </c>
      <c r="AR61" s="480">
        <f t="shared" si="114"/>
        <v>0</v>
      </c>
      <c r="AS61" s="486">
        <f t="shared" si="115"/>
        <v>4685</v>
      </c>
      <c r="AT61" s="486">
        <f t="shared" si="115"/>
        <v>277</v>
      </c>
      <c r="AU61" s="486">
        <f t="shared" si="116"/>
        <v>840</v>
      </c>
      <c r="AV61" s="501">
        <f t="shared" si="117"/>
        <v>0.06</v>
      </c>
      <c r="AW61" s="501">
        <f t="shared" si="118"/>
        <v>0</v>
      </c>
      <c r="AX61" s="502">
        <f t="shared" si="118"/>
        <v>0.06</v>
      </c>
    </row>
    <row r="62" spans="1:50" s="210" customFormat="1" ht="14.1" customHeight="1" x14ac:dyDescent="0.2">
      <c r="A62" s="235">
        <v>8</v>
      </c>
      <c r="B62" s="211">
        <v>2455</v>
      </c>
      <c r="C62" s="613">
        <v>600080145</v>
      </c>
      <c r="D62" s="211">
        <v>72741601</v>
      </c>
      <c r="E62" s="211" t="s">
        <v>764</v>
      </c>
      <c r="F62" s="219"/>
      <c r="G62" s="213"/>
      <c r="H62" s="214"/>
      <c r="I62" s="614">
        <v>6453736</v>
      </c>
      <c r="J62" s="615">
        <v>4669217</v>
      </c>
      <c r="K62" s="615">
        <v>4440</v>
      </c>
      <c r="L62" s="615">
        <v>4440</v>
      </c>
      <c r="M62" s="615">
        <v>1578196</v>
      </c>
      <c r="N62" s="615">
        <v>93385</v>
      </c>
      <c r="O62" s="615">
        <v>108498</v>
      </c>
      <c r="P62" s="616">
        <v>10.6654</v>
      </c>
      <c r="Q62" s="616">
        <v>6.8568000000000007</v>
      </c>
      <c r="R62" s="619">
        <v>3.8086000000000002</v>
      </c>
      <c r="S62" s="615">
        <f t="shared" ref="S62:AX62" si="119">SUM(S56:S61)</f>
        <v>0</v>
      </c>
      <c r="T62" s="617">
        <f t="shared" si="119"/>
        <v>0</v>
      </c>
      <c r="U62" s="617">
        <f t="shared" si="119"/>
        <v>0</v>
      </c>
      <c r="V62" s="617">
        <f t="shared" si="119"/>
        <v>0</v>
      </c>
      <c r="W62" s="617">
        <f t="shared" si="119"/>
        <v>0</v>
      </c>
      <c r="X62" s="617">
        <f t="shared" si="119"/>
        <v>0</v>
      </c>
      <c r="Y62" s="617">
        <f t="shared" si="119"/>
        <v>0</v>
      </c>
      <c r="Z62" s="617">
        <f t="shared" si="119"/>
        <v>0</v>
      </c>
      <c r="AA62" s="617">
        <f t="shared" si="119"/>
        <v>0</v>
      </c>
      <c r="AB62" s="617">
        <f t="shared" si="119"/>
        <v>0</v>
      </c>
      <c r="AC62" s="617">
        <f t="shared" si="119"/>
        <v>0</v>
      </c>
      <c r="AD62" s="617">
        <f t="shared" si="119"/>
        <v>0</v>
      </c>
      <c r="AE62" s="617">
        <f t="shared" si="119"/>
        <v>0</v>
      </c>
      <c r="AF62" s="617">
        <f t="shared" si="119"/>
        <v>0</v>
      </c>
      <c r="AG62" s="618">
        <f t="shared" si="119"/>
        <v>0</v>
      </c>
      <c r="AH62" s="618">
        <f t="shared" si="119"/>
        <v>0</v>
      </c>
      <c r="AI62" s="618">
        <f t="shared" si="119"/>
        <v>0</v>
      </c>
      <c r="AJ62" s="618">
        <f t="shared" si="119"/>
        <v>0</v>
      </c>
      <c r="AK62" s="618">
        <f t="shared" si="119"/>
        <v>0</v>
      </c>
      <c r="AL62" s="618">
        <f t="shared" si="119"/>
        <v>0</v>
      </c>
      <c r="AM62" s="618">
        <f t="shared" si="119"/>
        <v>0</v>
      </c>
      <c r="AN62" s="619">
        <f t="shared" si="119"/>
        <v>0</v>
      </c>
      <c r="AO62" s="615">
        <f t="shared" si="119"/>
        <v>6453736</v>
      </c>
      <c r="AP62" s="617">
        <f t="shared" si="119"/>
        <v>4669217</v>
      </c>
      <c r="AQ62" s="617">
        <f t="shared" si="119"/>
        <v>4440</v>
      </c>
      <c r="AR62" s="617">
        <f t="shared" si="119"/>
        <v>4440</v>
      </c>
      <c r="AS62" s="617">
        <f t="shared" si="119"/>
        <v>1578196</v>
      </c>
      <c r="AT62" s="617">
        <f t="shared" si="119"/>
        <v>93385</v>
      </c>
      <c r="AU62" s="617">
        <f t="shared" si="119"/>
        <v>108498</v>
      </c>
      <c r="AV62" s="618">
        <f t="shared" si="119"/>
        <v>10.6654</v>
      </c>
      <c r="AW62" s="618">
        <f t="shared" si="119"/>
        <v>6.8568000000000007</v>
      </c>
      <c r="AX62" s="619">
        <f t="shared" si="119"/>
        <v>3.8086000000000002</v>
      </c>
    </row>
    <row r="63" spans="1:50" s="210" customFormat="1" ht="14.1" customHeight="1" x14ac:dyDescent="0.2">
      <c r="A63" s="620">
        <v>9</v>
      </c>
      <c r="B63" s="215">
        <v>2456</v>
      </c>
      <c r="C63" s="621">
        <v>600079732</v>
      </c>
      <c r="D63" s="208">
        <v>70695911</v>
      </c>
      <c r="E63" s="208" t="s">
        <v>765</v>
      </c>
      <c r="F63" s="209">
        <v>3111</v>
      </c>
      <c r="G63" s="208" t="s">
        <v>317</v>
      </c>
      <c r="H63" s="622" t="s">
        <v>283</v>
      </c>
      <c r="I63" s="495">
        <v>7674902</v>
      </c>
      <c r="J63" s="411">
        <v>5594921</v>
      </c>
      <c r="K63" s="411">
        <v>0</v>
      </c>
      <c r="L63" s="411">
        <v>0</v>
      </c>
      <c r="M63" s="496">
        <v>1891083</v>
      </c>
      <c r="N63" s="496">
        <v>111898</v>
      </c>
      <c r="O63" s="623">
        <v>77000</v>
      </c>
      <c r="P63" s="412">
        <v>12.554600000000001</v>
      </c>
      <c r="Q63" s="415">
        <v>10</v>
      </c>
      <c r="R63" s="685">
        <v>2.5546000000000002</v>
      </c>
      <c r="S63" s="499">
        <v>0</v>
      </c>
      <c r="T63" s="486">
        <v>0</v>
      </c>
      <c r="U63" s="486">
        <v>0</v>
      </c>
      <c r="V63" s="486">
        <f t="shared" ref="V63:V68" si="120">SUM(S63:U63)</f>
        <v>0</v>
      </c>
      <c r="W63" s="486">
        <v>0</v>
      </c>
      <c r="X63" s="486">
        <v>0</v>
      </c>
      <c r="Y63" s="486">
        <f t="shared" ref="Y63:Y68" si="121">SUM(W63:X63)</f>
        <v>0</v>
      </c>
      <c r="Z63" s="486">
        <f t="shared" ref="Z63:Z68" si="122">V63+Y63</f>
        <v>0</v>
      </c>
      <c r="AA63" s="178">
        <f t="shared" ref="AA63:AA68" si="123">ROUND((V63+W63)*33.8%,0)</f>
        <v>0</v>
      </c>
      <c r="AB63" s="178">
        <f t="shared" ref="AB63:AB68" si="124">ROUND(V63*2%,0)</f>
        <v>0</v>
      </c>
      <c r="AC63" s="486">
        <v>0</v>
      </c>
      <c r="AD63" s="486">
        <v>0</v>
      </c>
      <c r="AE63" s="486">
        <f t="shared" ref="AE63:AE68" si="125">SUM(AC63:AD63)</f>
        <v>0</v>
      </c>
      <c r="AF63" s="486">
        <f t="shared" ref="AF63:AF68" si="126">Z63+AA63+AB63+AE63</f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ref="AL63:AL68" si="127">AG63+AI63+AJ63</f>
        <v>0</v>
      </c>
      <c r="AM63" s="501">
        <f t="shared" ref="AM63:AM68" si="128">AH63+AK63</f>
        <v>0</v>
      </c>
      <c r="AN63" s="502">
        <f t="shared" ref="AN63:AN68" si="129">SUM(AL63:AM63)</f>
        <v>0</v>
      </c>
      <c r="AO63" s="499">
        <f t="shared" ref="AO63:AO68" si="130">I63+AF63</f>
        <v>7674902</v>
      </c>
      <c r="AP63" s="486">
        <f t="shared" ref="AP63:AP68" si="131">J63+V63</f>
        <v>5594921</v>
      </c>
      <c r="AQ63" s="480">
        <f t="shared" ref="AQ63:AQ68" si="132">K63+Y63</f>
        <v>0</v>
      </c>
      <c r="AR63" s="480">
        <f t="shared" ref="AR63:AR68" si="133">L63</f>
        <v>0</v>
      </c>
      <c r="AS63" s="486">
        <f t="shared" ref="AS63:AT68" si="134">M63+AA63</f>
        <v>1891083</v>
      </c>
      <c r="AT63" s="486">
        <f t="shared" si="134"/>
        <v>111898</v>
      </c>
      <c r="AU63" s="486">
        <f t="shared" ref="AU63:AU68" si="135">O63+AE63</f>
        <v>77000</v>
      </c>
      <c r="AV63" s="501">
        <f t="shared" ref="AV63:AV68" si="136">P63+AN63</f>
        <v>12.554600000000001</v>
      </c>
      <c r="AW63" s="501">
        <f t="shared" ref="AW63:AX68" si="137">Q63+AL63</f>
        <v>10</v>
      </c>
      <c r="AX63" s="502">
        <f t="shared" si="137"/>
        <v>2.5546000000000002</v>
      </c>
    </row>
    <row r="64" spans="1:50" s="210" customFormat="1" ht="14.1" customHeight="1" x14ac:dyDescent="0.2">
      <c r="A64" s="620">
        <v>9</v>
      </c>
      <c r="B64" s="208">
        <v>2456</v>
      </c>
      <c r="C64" s="621">
        <v>600079732</v>
      </c>
      <c r="D64" s="208">
        <v>70695911</v>
      </c>
      <c r="E64" s="208" t="s">
        <v>765</v>
      </c>
      <c r="F64" s="209">
        <v>3113</v>
      </c>
      <c r="G64" s="208" t="s">
        <v>320</v>
      </c>
      <c r="H64" s="622" t="s">
        <v>283</v>
      </c>
      <c r="I64" s="495">
        <v>23122266</v>
      </c>
      <c r="J64" s="328">
        <v>16354419</v>
      </c>
      <c r="K64" s="328">
        <v>138425</v>
      </c>
      <c r="L64" s="328">
        <v>108425</v>
      </c>
      <c r="M64" s="496">
        <v>5537934</v>
      </c>
      <c r="N64" s="496">
        <v>327088</v>
      </c>
      <c r="O64" s="328">
        <v>764400</v>
      </c>
      <c r="P64" s="412">
        <v>31.602800000000002</v>
      </c>
      <c r="Q64" s="329">
        <v>23.080000000000002</v>
      </c>
      <c r="R64" s="330">
        <v>8.5228000000000002</v>
      </c>
      <c r="S64" s="499">
        <v>0</v>
      </c>
      <c r="T64" s="486">
        <v>0</v>
      </c>
      <c r="U64" s="486">
        <v>0</v>
      </c>
      <c r="V64" s="486">
        <f t="shared" si="120"/>
        <v>0</v>
      </c>
      <c r="W64" s="486">
        <v>0</v>
      </c>
      <c r="X64" s="486">
        <v>0</v>
      </c>
      <c r="Y64" s="486">
        <f t="shared" si="121"/>
        <v>0</v>
      </c>
      <c r="Z64" s="486">
        <f t="shared" si="122"/>
        <v>0</v>
      </c>
      <c r="AA64" s="178">
        <f t="shared" si="123"/>
        <v>0</v>
      </c>
      <c r="AB64" s="178">
        <f t="shared" si="124"/>
        <v>0</v>
      </c>
      <c r="AC64" s="486">
        <v>0</v>
      </c>
      <c r="AD64" s="486">
        <v>0</v>
      </c>
      <c r="AE64" s="486">
        <f t="shared" si="125"/>
        <v>0</v>
      </c>
      <c r="AF64" s="486">
        <f t="shared" si="126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si="127"/>
        <v>0</v>
      </c>
      <c r="AM64" s="501">
        <f t="shared" si="128"/>
        <v>0</v>
      </c>
      <c r="AN64" s="502">
        <f t="shared" si="129"/>
        <v>0</v>
      </c>
      <c r="AO64" s="499">
        <f t="shared" si="130"/>
        <v>23122266</v>
      </c>
      <c r="AP64" s="486">
        <f t="shared" si="131"/>
        <v>16354419</v>
      </c>
      <c r="AQ64" s="480">
        <f t="shared" si="132"/>
        <v>138425</v>
      </c>
      <c r="AR64" s="480">
        <f t="shared" si="133"/>
        <v>108425</v>
      </c>
      <c r="AS64" s="486">
        <f t="shared" si="134"/>
        <v>5537934</v>
      </c>
      <c r="AT64" s="486">
        <f t="shared" si="134"/>
        <v>327088</v>
      </c>
      <c r="AU64" s="486">
        <f t="shared" si="135"/>
        <v>764400</v>
      </c>
      <c r="AV64" s="501">
        <f t="shared" si="136"/>
        <v>31.602800000000002</v>
      </c>
      <c r="AW64" s="501">
        <f t="shared" si="137"/>
        <v>23.080000000000002</v>
      </c>
      <c r="AX64" s="502">
        <f t="shared" si="137"/>
        <v>8.5228000000000002</v>
      </c>
    </row>
    <row r="65" spans="1:50" s="210" customFormat="1" ht="14.1" customHeight="1" x14ac:dyDescent="0.2">
      <c r="A65" s="620">
        <v>9</v>
      </c>
      <c r="B65" s="215">
        <v>2456</v>
      </c>
      <c r="C65" s="621">
        <v>600079732</v>
      </c>
      <c r="D65" s="208">
        <v>70695911</v>
      </c>
      <c r="E65" s="215" t="s">
        <v>765</v>
      </c>
      <c r="F65" s="209">
        <v>3113</v>
      </c>
      <c r="G65" s="208" t="s">
        <v>318</v>
      </c>
      <c r="H65" s="622" t="s">
        <v>284</v>
      </c>
      <c r="I65" s="495">
        <v>1642603</v>
      </c>
      <c r="J65" s="623">
        <v>1209207</v>
      </c>
      <c r="K65" s="623">
        <v>0</v>
      </c>
      <c r="L65" s="623">
        <v>0</v>
      </c>
      <c r="M65" s="496">
        <v>408713</v>
      </c>
      <c r="N65" s="496">
        <v>24183</v>
      </c>
      <c r="O65" s="623">
        <v>500</v>
      </c>
      <c r="P65" s="412">
        <v>3.74</v>
      </c>
      <c r="Q65" s="497">
        <v>3.74</v>
      </c>
      <c r="R65" s="686">
        <v>0</v>
      </c>
      <c r="S65" s="499">
        <v>0</v>
      </c>
      <c r="T65" s="486">
        <v>28300</v>
      </c>
      <c r="U65" s="486">
        <v>0</v>
      </c>
      <c r="V65" s="486">
        <f t="shared" si="120"/>
        <v>28300</v>
      </c>
      <c r="W65" s="486">
        <v>0</v>
      </c>
      <c r="X65" s="486">
        <v>0</v>
      </c>
      <c r="Y65" s="486">
        <f t="shared" si="121"/>
        <v>0</v>
      </c>
      <c r="Z65" s="486">
        <f t="shared" si="122"/>
        <v>28300</v>
      </c>
      <c r="AA65" s="178">
        <f t="shared" si="123"/>
        <v>9565</v>
      </c>
      <c r="AB65" s="178">
        <f t="shared" si="124"/>
        <v>566</v>
      </c>
      <c r="AC65" s="486">
        <v>0</v>
      </c>
      <c r="AD65" s="486">
        <v>0</v>
      </c>
      <c r="AE65" s="486">
        <f t="shared" si="125"/>
        <v>0</v>
      </c>
      <c r="AF65" s="486">
        <f t="shared" si="126"/>
        <v>38431</v>
      </c>
      <c r="AG65" s="501">
        <v>0</v>
      </c>
      <c r="AH65" s="501">
        <v>0</v>
      </c>
      <c r="AI65" s="501">
        <v>0.08</v>
      </c>
      <c r="AJ65" s="501">
        <v>0</v>
      </c>
      <c r="AK65" s="501">
        <v>0</v>
      </c>
      <c r="AL65" s="501">
        <f t="shared" si="127"/>
        <v>0.08</v>
      </c>
      <c r="AM65" s="501">
        <f t="shared" si="128"/>
        <v>0</v>
      </c>
      <c r="AN65" s="502">
        <f t="shared" si="129"/>
        <v>0.08</v>
      </c>
      <c r="AO65" s="499">
        <f t="shared" si="130"/>
        <v>1681034</v>
      </c>
      <c r="AP65" s="486">
        <f t="shared" si="131"/>
        <v>1237507</v>
      </c>
      <c r="AQ65" s="480">
        <f t="shared" si="132"/>
        <v>0</v>
      </c>
      <c r="AR65" s="480">
        <f t="shared" si="133"/>
        <v>0</v>
      </c>
      <c r="AS65" s="486">
        <f t="shared" si="134"/>
        <v>418278</v>
      </c>
      <c r="AT65" s="486">
        <f t="shared" si="134"/>
        <v>24749</v>
      </c>
      <c r="AU65" s="486">
        <f t="shared" si="135"/>
        <v>500</v>
      </c>
      <c r="AV65" s="501">
        <f t="shared" si="136"/>
        <v>3.8200000000000003</v>
      </c>
      <c r="AW65" s="501">
        <f t="shared" si="137"/>
        <v>3.8200000000000003</v>
      </c>
      <c r="AX65" s="502">
        <f t="shared" si="137"/>
        <v>0</v>
      </c>
    </row>
    <row r="66" spans="1:50" s="210" customFormat="1" ht="14.1" customHeight="1" x14ac:dyDescent="0.2">
      <c r="A66" s="620">
        <v>9</v>
      </c>
      <c r="B66" s="208">
        <v>2456</v>
      </c>
      <c r="C66" s="621">
        <v>600079732</v>
      </c>
      <c r="D66" s="208">
        <v>70695911</v>
      </c>
      <c r="E66" s="208" t="s">
        <v>765</v>
      </c>
      <c r="F66" s="209">
        <v>3141</v>
      </c>
      <c r="G66" s="208" t="s">
        <v>321</v>
      </c>
      <c r="H66" s="622" t="s">
        <v>284</v>
      </c>
      <c r="I66" s="495">
        <v>3215166</v>
      </c>
      <c r="J66" s="623">
        <v>2330443</v>
      </c>
      <c r="K66" s="623">
        <v>20000</v>
      </c>
      <c r="L66" s="623">
        <v>0</v>
      </c>
      <c r="M66" s="496">
        <v>794450</v>
      </c>
      <c r="N66" s="496">
        <v>46609</v>
      </c>
      <c r="O66" s="623">
        <v>23664</v>
      </c>
      <c r="P66" s="412">
        <v>8</v>
      </c>
      <c r="Q66" s="497">
        <v>0</v>
      </c>
      <c r="R66" s="686">
        <v>8</v>
      </c>
      <c r="S66" s="499">
        <v>0</v>
      </c>
      <c r="T66" s="486">
        <v>0</v>
      </c>
      <c r="U66" s="486">
        <v>0</v>
      </c>
      <c r="V66" s="486">
        <f t="shared" si="120"/>
        <v>0</v>
      </c>
      <c r="W66" s="486">
        <v>0</v>
      </c>
      <c r="X66" s="486">
        <v>0</v>
      </c>
      <c r="Y66" s="486">
        <f t="shared" si="121"/>
        <v>0</v>
      </c>
      <c r="Z66" s="486">
        <f t="shared" si="122"/>
        <v>0</v>
      </c>
      <c r="AA66" s="178">
        <f t="shared" si="123"/>
        <v>0</v>
      </c>
      <c r="AB66" s="178">
        <f t="shared" si="124"/>
        <v>0</v>
      </c>
      <c r="AC66" s="486">
        <v>0</v>
      </c>
      <c r="AD66" s="486">
        <v>0</v>
      </c>
      <c r="AE66" s="486">
        <f t="shared" si="125"/>
        <v>0</v>
      </c>
      <c r="AF66" s="486">
        <f t="shared" si="126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127"/>
        <v>0</v>
      </c>
      <c r="AM66" s="501">
        <f t="shared" si="128"/>
        <v>0</v>
      </c>
      <c r="AN66" s="502">
        <f t="shared" si="129"/>
        <v>0</v>
      </c>
      <c r="AO66" s="499">
        <f t="shared" si="130"/>
        <v>3215166</v>
      </c>
      <c r="AP66" s="486">
        <f t="shared" si="131"/>
        <v>2330443</v>
      </c>
      <c r="AQ66" s="480">
        <f t="shared" si="132"/>
        <v>20000</v>
      </c>
      <c r="AR66" s="480">
        <f t="shared" si="133"/>
        <v>0</v>
      </c>
      <c r="AS66" s="486">
        <f t="shared" si="134"/>
        <v>794450</v>
      </c>
      <c r="AT66" s="486">
        <f t="shared" si="134"/>
        <v>46609</v>
      </c>
      <c r="AU66" s="486">
        <f t="shared" si="135"/>
        <v>23664</v>
      </c>
      <c r="AV66" s="501">
        <f t="shared" si="136"/>
        <v>8</v>
      </c>
      <c r="AW66" s="501">
        <f t="shared" si="137"/>
        <v>0</v>
      </c>
      <c r="AX66" s="502">
        <f t="shared" si="137"/>
        <v>8</v>
      </c>
    </row>
    <row r="67" spans="1:50" s="210" customFormat="1" ht="14.1" customHeight="1" x14ac:dyDescent="0.2">
      <c r="A67" s="620">
        <v>9</v>
      </c>
      <c r="B67" s="215">
        <v>2456</v>
      </c>
      <c r="C67" s="621">
        <v>600079732</v>
      </c>
      <c r="D67" s="208">
        <v>70695911</v>
      </c>
      <c r="E67" s="215" t="s">
        <v>765</v>
      </c>
      <c r="F67" s="209">
        <v>3143</v>
      </c>
      <c r="G67" s="208" t="s">
        <v>634</v>
      </c>
      <c r="H67" s="216" t="s">
        <v>283</v>
      </c>
      <c r="I67" s="495">
        <v>1867841</v>
      </c>
      <c r="J67" s="411">
        <v>1365582</v>
      </c>
      <c r="K67" s="411">
        <v>10000</v>
      </c>
      <c r="L67" s="411">
        <v>0</v>
      </c>
      <c r="M67" s="496">
        <v>464947</v>
      </c>
      <c r="N67" s="496">
        <v>27312</v>
      </c>
      <c r="O67" s="623">
        <v>0</v>
      </c>
      <c r="P67" s="412">
        <v>2.7273000000000001</v>
      </c>
      <c r="Q67" s="415">
        <v>2.7273000000000001</v>
      </c>
      <c r="R67" s="686">
        <v>0</v>
      </c>
      <c r="S67" s="499">
        <v>0</v>
      </c>
      <c r="T67" s="486">
        <v>0</v>
      </c>
      <c r="U67" s="486">
        <v>0</v>
      </c>
      <c r="V67" s="486">
        <f t="shared" si="120"/>
        <v>0</v>
      </c>
      <c r="W67" s="486">
        <v>0</v>
      </c>
      <c r="X67" s="486">
        <v>0</v>
      </c>
      <c r="Y67" s="486">
        <f t="shared" si="121"/>
        <v>0</v>
      </c>
      <c r="Z67" s="486">
        <f t="shared" si="122"/>
        <v>0</v>
      </c>
      <c r="AA67" s="178">
        <f t="shared" si="123"/>
        <v>0</v>
      </c>
      <c r="AB67" s="178">
        <f t="shared" si="124"/>
        <v>0</v>
      </c>
      <c r="AC67" s="486">
        <v>0</v>
      </c>
      <c r="AD67" s="486">
        <v>0</v>
      </c>
      <c r="AE67" s="486">
        <f t="shared" si="125"/>
        <v>0</v>
      </c>
      <c r="AF67" s="486">
        <f t="shared" si="126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127"/>
        <v>0</v>
      </c>
      <c r="AM67" s="501">
        <f t="shared" si="128"/>
        <v>0</v>
      </c>
      <c r="AN67" s="502">
        <f t="shared" si="129"/>
        <v>0</v>
      </c>
      <c r="AO67" s="499">
        <f t="shared" si="130"/>
        <v>1867841</v>
      </c>
      <c r="AP67" s="486">
        <f t="shared" si="131"/>
        <v>1365582</v>
      </c>
      <c r="AQ67" s="480">
        <f t="shared" si="132"/>
        <v>10000</v>
      </c>
      <c r="AR67" s="480">
        <f t="shared" si="133"/>
        <v>0</v>
      </c>
      <c r="AS67" s="486">
        <f t="shared" si="134"/>
        <v>464947</v>
      </c>
      <c r="AT67" s="486">
        <f t="shared" si="134"/>
        <v>27312</v>
      </c>
      <c r="AU67" s="486">
        <f t="shared" si="135"/>
        <v>0</v>
      </c>
      <c r="AV67" s="501">
        <f t="shared" si="136"/>
        <v>2.7273000000000001</v>
      </c>
      <c r="AW67" s="501">
        <f t="shared" si="137"/>
        <v>2.7273000000000001</v>
      </c>
      <c r="AX67" s="502">
        <f t="shared" si="137"/>
        <v>0</v>
      </c>
    </row>
    <row r="68" spans="1:50" s="210" customFormat="1" ht="14.1" customHeight="1" x14ac:dyDescent="0.2">
      <c r="A68" s="620">
        <v>9</v>
      </c>
      <c r="B68" s="215">
        <v>2456</v>
      </c>
      <c r="C68" s="621">
        <v>600079732</v>
      </c>
      <c r="D68" s="208">
        <v>70695911</v>
      </c>
      <c r="E68" s="215" t="s">
        <v>765</v>
      </c>
      <c r="F68" s="209">
        <v>3143</v>
      </c>
      <c r="G68" s="208" t="s">
        <v>635</v>
      </c>
      <c r="H68" s="216" t="s">
        <v>284</v>
      </c>
      <c r="I68" s="495">
        <v>68114</v>
      </c>
      <c r="J68" s="623">
        <v>48015</v>
      </c>
      <c r="K68" s="623">
        <v>0</v>
      </c>
      <c r="L68" s="623">
        <v>0</v>
      </c>
      <c r="M68" s="496">
        <v>16229</v>
      </c>
      <c r="N68" s="496">
        <v>960</v>
      </c>
      <c r="O68" s="623">
        <v>2910</v>
      </c>
      <c r="P68" s="412">
        <v>0.2</v>
      </c>
      <c r="Q68" s="497">
        <v>0</v>
      </c>
      <c r="R68" s="686">
        <v>0.2</v>
      </c>
      <c r="S68" s="499">
        <v>0</v>
      </c>
      <c r="T68" s="486">
        <v>0</v>
      </c>
      <c r="U68" s="486">
        <v>0</v>
      </c>
      <c r="V68" s="486">
        <f t="shared" si="120"/>
        <v>0</v>
      </c>
      <c r="W68" s="486">
        <v>0</v>
      </c>
      <c r="X68" s="486">
        <v>0</v>
      </c>
      <c r="Y68" s="486">
        <f t="shared" si="121"/>
        <v>0</v>
      </c>
      <c r="Z68" s="486">
        <f t="shared" si="122"/>
        <v>0</v>
      </c>
      <c r="AA68" s="178">
        <f t="shared" si="123"/>
        <v>0</v>
      </c>
      <c r="AB68" s="178">
        <f t="shared" si="124"/>
        <v>0</v>
      </c>
      <c r="AC68" s="486">
        <v>0</v>
      </c>
      <c r="AD68" s="486">
        <v>0</v>
      </c>
      <c r="AE68" s="486">
        <f t="shared" si="125"/>
        <v>0</v>
      </c>
      <c r="AF68" s="486">
        <f t="shared" si="126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127"/>
        <v>0</v>
      </c>
      <c r="AM68" s="501">
        <f t="shared" si="128"/>
        <v>0</v>
      </c>
      <c r="AN68" s="502">
        <f t="shared" si="129"/>
        <v>0</v>
      </c>
      <c r="AO68" s="499">
        <f t="shared" si="130"/>
        <v>68114</v>
      </c>
      <c r="AP68" s="486">
        <f t="shared" si="131"/>
        <v>48015</v>
      </c>
      <c r="AQ68" s="480">
        <f t="shared" si="132"/>
        <v>0</v>
      </c>
      <c r="AR68" s="480">
        <f t="shared" si="133"/>
        <v>0</v>
      </c>
      <c r="AS68" s="486">
        <f t="shared" si="134"/>
        <v>16229</v>
      </c>
      <c r="AT68" s="486">
        <f t="shared" si="134"/>
        <v>960</v>
      </c>
      <c r="AU68" s="486">
        <f t="shared" si="135"/>
        <v>2910</v>
      </c>
      <c r="AV68" s="501">
        <f t="shared" si="136"/>
        <v>0.2</v>
      </c>
      <c r="AW68" s="501">
        <f t="shared" si="137"/>
        <v>0</v>
      </c>
      <c r="AX68" s="502">
        <f t="shared" si="137"/>
        <v>0.2</v>
      </c>
    </row>
    <row r="69" spans="1:50" s="210" customFormat="1" ht="14.1" customHeight="1" x14ac:dyDescent="0.2">
      <c r="A69" s="235">
        <v>9</v>
      </c>
      <c r="B69" s="211">
        <v>2456</v>
      </c>
      <c r="C69" s="613">
        <v>600079732</v>
      </c>
      <c r="D69" s="211">
        <v>70695911</v>
      </c>
      <c r="E69" s="211" t="s">
        <v>766</v>
      </c>
      <c r="F69" s="212"/>
      <c r="G69" s="213"/>
      <c r="H69" s="214"/>
      <c r="I69" s="614">
        <v>37590892</v>
      </c>
      <c r="J69" s="615">
        <v>26902587</v>
      </c>
      <c r="K69" s="615">
        <v>168425</v>
      </c>
      <c r="L69" s="615">
        <v>108425</v>
      </c>
      <c r="M69" s="615">
        <v>9113356</v>
      </c>
      <c r="N69" s="615">
        <v>538050</v>
      </c>
      <c r="O69" s="615">
        <v>868474</v>
      </c>
      <c r="P69" s="616">
        <v>58.824700000000007</v>
      </c>
      <c r="Q69" s="616">
        <v>39.5473</v>
      </c>
      <c r="R69" s="619">
        <v>19.2774</v>
      </c>
      <c r="S69" s="615">
        <f t="shared" ref="S69:AX69" si="138">SUM(S63:S68)</f>
        <v>0</v>
      </c>
      <c r="T69" s="617">
        <f t="shared" si="138"/>
        <v>28300</v>
      </c>
      <c r="U69" s="617">
        <f t="shared" si="138"/>
        <v>0</v>
      </c>
      <c r="V69" s="617">
        <f t="shared" si="138"/>
        <v>28300</v>
      </c>
      <c r="W69" s="617">
        <f t="shared" si="138"/>
        <v>0</v>
      </c>
      <c r="X69" s="617">
        <f t="shared" si="138"/>
        <v>0</v>
      </c>
      <c r="Y69" s="617">
        <f t="shared" si="138"/>
        <v>0</v>
      </c>
      <c r="Z69" s="617">
        <f t="shared" si="138"/>
        <v>28300</v>
      </c>
      <c r="AA69" s="617">
        <f t="shared" si="138"/>
        <v>9565</v>
      </c>
      <c r="AB69" s="617">
        <f t="shared" si="138"/>
        <v>566</v>
      </c>
      <c r="AC69" s="617">
        <f t="shared" si="138"/>
        <v>0</v>
      </c>
      <c r="AD69" s="617">
        <f t="shared" si="138"/>
        <v>0</v>
      </c>
      <c r="AE69" s="617">
        <f t="shared" si="138"/>
        <v>0</v>
      </c>
      <c r="AF69" s="617">
        <f t="shared" si="138"/>
        <v>38431</v>
      </c>
      <c r="AG69" s="618">
        <f t="shared" si="138"/>
        <v>0</v>
      </c>
      <c r="AH69" s="618">
        <f t="shared" si="138"/>
        <v>0</v>
      </c>
      <c r="AI69" s="618">
        <f t="shared" si="138"/>
        <v>0.08</v>
      </c>
      <c r="AJ69" s="618">
        <f t="shared" si="138"/>
        <v>0</v>
      </c>
      <c r="AK69" s="618">
        <f t="shared" si="138"/>
        <v>0</v>
      </c>
      <c r="AL69" s="618">
        <f t="shared" si="138"/>
        <v>0.08</v>
      </c>
      <c r="AM69" s="618">
        <f t="shared" si="138"/>
        <v>0</v>
      </c>
      <c r="AN69" s="619">
        <f t="shared" si="138"/>
        <v>0.08</v>
      </c>
      <c r="AO69" s="615">
        <f t="shared" si="138"/>
        <v>37629323</v>
      </c>
      <c r="AP69" s="617">
        <f t="shared" si="138"/>
        <v>26930887</v>
      </c>
      <c r="AQ69" s="617">
        <f t="shared" si="138"/>
        <v>168425</v>
      </c>
      <c r="AR69" s="617">
        <f t="shared" si="138"/>
        <v>108425</v>
      </c>
      <c r="AS69" s="617">
        <f t="shared" si="138"/>
        <v>9122921</v>
      </c>
      <c r="AT69" s="617">
        <f t="shared" si="138"/>
        <v>538616</v>
      </c>
      <c r="AU69" s="617">
        <f t="shared" si="138"/>
        <v>868474</v>
      </c>
      <c r="AV69" s="618">
        <f t="shared" si="138"/>
        <v>58.904700000000005</v>
      </c>
      <c r="AW69" s="618">
        <f t="shared" si="138"/>
        <v>39.627299999999998</v>
      </c>
      <c r="AX69" s="619">
        <f t="shared" si="138"/>
        <v>19.2774</v>
      </c>
    </row>
    <row r="70" spans="1:50" s="210" customFormat="1" ht="14.1" customHeight="1" x14ac:dyDescent="0.2">
      <c r="A70" s="620">
        <v>10</v>
      </c>
      <c r="B70" s="215">
        <v>2462</v>
      </c>
      <c r="C70" s="621">
        <v>600079813</v>
      </c>
      <c r="D70" s="208">
        <v>72744600</v>
      </c>
      <c r="E70" s="208" t="s">
        <v>767</v>
      </c>
      <c r="F70" s="209">
        <v>3111</v>
      </c>
      <c r="G70" s="208" t="s">
        <v>317</v>
      </c>
      <c r="H70" s="622" t="s">
        <v>283</v>
      </c>
      <c r="I70" s="495">
        <v>1498133</v>
      </c>
      <c r="J70" s="411">
        <v>1092366</v>
      </c>
      <c r="K70" s="411">
        <v>0</v>
      </c>
      <c r="L70" s="411">
        <v>0</v>
      </c>
      <c r="M70" s="496">
        <v>369220</v>
      </c>
      <c r="N70" s="496">
        <v>21847</v>
      </c>
      <c r="O70" s="623">
        <v>14700</v>
      </c>
      <c r="P70" s="412">
        <v>2.4859</v>
      </c>
      <c r="Q70" s="415">
        <v>1.9750000000000001</v>
      </c>
      <c r="R70" s="685">
        <v>0.51090000000000002</v>
      </c>
      <c r="S70" s="499">
        <v>0</v>
      </c>
      <c r="T70" s="486">
        <v>0</v>
      </c>
      <c r="U70" s="486">
        <v>0</v>
      </c>
      <c r="V70" s="486">
        <f t="shared" ref="V70:V75" si="139">SUM(S70:U70)</f>
        <v>0</v>
      </c>
      <c r="W70" s="486">
        <v>0</v>
      </c>
      <c r="X70" s="486">
        <v>0</v>
      </c>
      <c r="Y70" s="486">
        <f t="shared" ref="Y70:Y75" si="140">SUM(W70:X70)</f>
        <v>0</v>
      </c>
      <c r="Z70" s="486">
        <f t="shared" ref="Z70:Z75" si="141">V70+Y70</f>
        <v>0</v>
      </c>
      <c r="AA70" s="178">
        <f t="shared" ref="AA70:AA75" si="142">ROUND((V70+W70)*33.8%,0)</f>
        <v>0</v>
      </c>
      <c r="AB70" s="178">
        <f t="shared" ref="AB70:AB75" si="143">ROUND(V70*2%,0)</f>
        <v>0</v>
      </c>
      <c r="AC70" s="486">
        <v>0</v>
      </c>
      <c r="AD70" s="486">
        <v>0</v>
      </c>
      <c r="AE70" s="486">
        <f t="shared" ref="AE70:AE75" si="144">SUM(AC70:AD70)</f>
        <v>0</v>
      </c>
      <c r="AF70" s="486">
        <f t="shared" ref="AF70:AF75" si="145">Z70+AA70+AB70+AE70</f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ref="AL70:AL75" si="146">AG70+AI70+AJ70</f>
        <v>0</v>
      </c>
      <c r="AM70" s="501">
        <f t="shared" ref="AM70:AM75" si="147">AH70+AK70</f>
        <v>0</v>
      </c>
      <c r="AN70" s="502">
        <f t="shared" ref="AN70:AN75" si="148">SUM(AL70:AM70)</f>
        <v>0</v>
      </c>
      <c r="AO70" s="499">
        <f t="shared" ref="AO70:AO75" si="149">I70+AF70</f>
        <v>1498133</v>
      </c>
      <c r="AP70" s="486">
        <f t="shared" ref="AP70:AP75" si="150">J70+V70</f>
        <v>1092366</v>
      </c>
      <c r="AQ70" s="480">
        <f t="shared" ref="AQ70:AQ75" si="151">K70+Y70</f>
        <v>0</v>
      </c>
      <c r="AR70" s="480">
        <f t="shared" ref="AR70:AR75" si="152">L70</f>
        <v>0</v>
      </c>
      <c r="AS70" s="486">
        <f t="shared" ref="AS70:AT75" si="153">M70+AA70</f>
        <v>369220</v>
      </c>
      <c r="AT70" s="486">
        <f t="shared" si="153"/>
        <v>21847</v>
      </c>
      <c r="AU70" s="486">
        <f t="shared" ref="AU70:AU75" si="154">O70+AE70</f>
        <v>14700</v>
      </c>
      <c r="AV70" s="501">
        <f t="shared" ref="AV70:AV75" si="155">P70+AN70</f>
        <v>2.4859</v>
      </c>
      <c r="AW70" s="501">
        <f t="shared" ref="AW70:AX75" si="156">Q70+AL70</f>
        <v>1.9750000000000001</v>
      </c>
      <c r="AX70" s="502">
        <f t="shared" si="156"/>
        <v>0.51090000000000002</v>
      </c>
    </row>
    <row r="71" spans="1:50" s="210" customFormat="1" ht="14.1" customHeight="1" x14ac:dyDescent="0.2">
      <c r="A71" s="620">
        <v>10</v>
      </c>
      <c r="B71" s="217">
        <v>2462</v>
      </c>
      <c r="C71" s="621">
        <v>600079813</v>
      </c>
      <c r="D71" s="208">
        <v>72744600</v>
      </c>
      <c r="E71" s="217" t="s">
        <v>767</v>
      </c>
      <c r="F71" s="218">
        <v>3117</v>
      </c>
      <c r="G71" s="217" t="s">
        <v>335</v>
      </c>
      <c r="H71" s="622" t="s">
        <v>283</v>
      </c>
      <c r="I71" s="495">
        <v>3390930</v>
      </c>
      <c r="J71" s="328">
        <v>2308201</v>
      </c>
      <c r="K71" s="328">
        <v>83996</v>
      </c>
      <c r="L71" s="328">
        <v>3996</v>
      </c>
      <c r="M71" s="496">
        <v>807211</v>
      </c>
      <c r="N71" s="496">
        <v>46164</v>
      </c>
      <c r="O71" s="328">
        <v>145358</v>
      </c>
      <c r="P71" s="412">
        <v>4.6825999999999999</v>
      </c>
      <c r="Q71" s="329">
        <v>3.5123000000000002</v>
      </c>
      <c r="R71" s="330">
        <v>1.1703000000000001</v>
      </c>
      <c r="S71" s="499">
        <v>0</v>
      </c>
      <c r="T71" s="486">
        <v>0</v>
      </c>
      <c r="U71" s="486">
        <v>-16200</v>
      </c>
      <c r="V71" s="486">
        <f t="shared" si="139"/>
        <v>-16200</v>
      </c>
      <c r="W71" s="486">
        <v>0</v>
      </c>
      <c r="X71" s="486">
        <v>0</v>
      </c>
      <c r="Y71" s="486">
        <f t="shared" si="140"/>
        <v>0</v>
      </c>
      <c r="Z71" s="486">
        <f t="shared" si="141"/>
        <v>-16200</v>
      </c>
      <c r="AA71" s="178">
        <f t="shared" si="142"/>
        <v>-5476</v>
      </c>
      <c r="AB71" s="178">
        <f t="shared" si="143"/>
        <v>-324</v>
      </c>
      <c r="AC71" s="486">
        <v>0</v>
      </c>
      <c r="AD71" s="486">
        <v>22000</v>
      </c>
      <c r="AE71" s="486">
        <f t="shared" si="144"/>
        <v>22000</v>
      </c>
      <c r="AF71" s="486">
        <f t="shared" si="145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146"/>
        <v>0</v>
      </c>
      <c r="AM71" s="501">
        <f t="shared" si="147"/>
        <v>0</v>
      </c>
      <c r="AN71" s="502">
        <f t="shared" si="148"/>
        <v>0</v>
      </c>
      <c r="AO71" s="499">
        <f t="shared" si="149"/>
        <v>3390930</v>
      </c>
      <c r="AP71" s="486">
        <f t="shared" si="150"/>
        <v>2292001</v>
      </c>
      <c r="AQ71" s="480">
        <f t="shared" si="151"/>
        <v>83996</v>
      </c>
      <c r="AR71" s="480">
        <f t="shared" si="152"/>
        <v>3996</v>
      </c>
      <c r="AS71" s="486">
        <f t="shared" si="153"/>
        <v>801735</v>
      </c>
      <c r="AT71" s="486">
        <f t="shared" si="153"/>
        <v>45840</v>
      </c>
      <c r="AU71" s="486">
        <f t="shared" si="154"/>
        <v>167358</v>
      </c>
      <c r="AV71" s="501">
        <f t="shared" si="155"/>
        <v>4.6825999999999999</v>
      </c>
      <c r="AW71" s="501">
        <f t="shared" si="156"/>
        <v>3.5123000000000002</v>
      </c>
      <c r="AX71" s="502">
        <f t="shared" si="156"/>
        <v>1.1703000000000001</v>
      </c>
    </row>
    <row r="72" spans="1:50" s="210" customFormat="1" ht="14.1" customHeight="1" x14ac:dyDescent="0.2">
      <c r="A72" s="620">
        <v>10</v>
      </c>
      <c r="B72" s="215">
        <v>2462</v>
      </c>
      <c r="C72" s="621">
        <v>600079813</v>
      </c>
      <c r="D72" s="208">
        <v>72744600</v>
      </c>
      <c r="E72" s="215" t="s">
        <v>767</v>
      </c>
      <c r="F72" s="209">
        <v>3117</v>
      </c>
      <c r="G72" s="208" t="s">
        <v>318</v>
      </c>
      <c r="H72" s="622" t="s">
        <v>284</v>
      </c>
      <c r="I72" s="495">
        <v>1596758</v>
      </c>
      <c r="J72" s="623">
        <v>1175815</v>
      </c>
      <c r="K72" s="623">
        <v>0</v>
      </c>
      <c r="L72" s="623">
        <v>0</v>
      </c>
      <c r="M72" s="496">
        <v>397426</v>
      </c>
      <c r="N72" s="496">
        <v>23517</v>
      </c>
      <c r="O72" s="623">
        <v>0</v>
      </c>
      <c r="P72" s="412">
        <v>3.3299999999999996</v>
      </c>
      <c r="Q72" s="497">
        <v>3.3299999999999996</v>
      </c>
      <c r="R72" s="686">
        <v>0</v>
      </c>
      <c r="S72" s="499">
        <v>0</v>
      </c>
      <c r="T72" s="486">
        <v>0</v>
      </c>
      <c r="U72" s="486">
        <v>0</v>
      </c>
      <c r="V72" s="486">
        <f t="shared" si="139"/>
        <v>0</v>
      </c>
      <c r="W72" s="486">
        <v>0</v>
      </c>
      <c r="X72" s="486">
        <v>0</v>
      </c>
      <c r="Y72" s="486">
        <f t="shared" si="140"/>
        <v>0</v>
      </c>
      <c r="Z72" s="486">
        <f t="shared" si="141"/>
        <v>0</v>
      </c>
      <c r="AA72" s="178">
        <f t="shared" si="142"/>
        <v>0</v>
      </c>
      <c r="AB72" s="178">
        <f t="shared" si="143"/>
        <v>0</v>
      </c>
      <c r="AC72" s="486">
        <v>0</v>
      </c>
      <c r="AD72" s="486">
        <v>0</v>
      </c>
      <c r="AE72" s="486">
        <f t="shared" si="144"/>
        <v>0</v>
      </c>
      <c r="AF72" s="486">
        <f t="shared" si="145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146"/>
        <v>0</v>
      </c>
      <c r="AM72" s="501">
        <f t="shared" si="147"/>
        <v>0</v>
      </c>
      <c r="AN72" s="502">
        <f t="shared" si="148"/>
        <v>0</v>
      </c>
      <c r="AO72" s="499">
        <f t="shared" si="149"/>
        <v>1596758</v>
      </c>
      <c r="AP72" s="486">
        <f t="shared" si="150"/>
        <v>1175815</v>
      </c>
      <c r="AQ72" s="480">
        <f t="shared" si="151"/>
        <v>0</v>
      </c>
      <c r="AR72" s="480">
        <f t="shared" si="152"/>
        <v>0</v>
      </c>
      <c r="AS72" s="486">
        <f t="shared" si="153"/>
        <v>397426</v>
      </c>
      <c r="AT72" s="486">
        <f t="shared" si="153"/>
        <v>23517</v>
      </c>
      <c r="AU72" s="486">
        <f t="shared" si="154"/>
        <v>0</v>
      </c>
      <c r="AV72" s="501">
        <f t="shared" si="155"/>
        <v>3.3299999999999996</v>
      </c>
      <c r="AW72" s="501">
        <f t="shared" si="156"/>
        <v>3.3299999999999996</v>
      </c>
      <c r="AX72" s="502">
        <f t="shared" si="156"/>
        <v>0</v>
      </c>
    </row>
    <row r="73" spans="1:50" s="210" customFormat="1" ht="14.1" customHeight="1" x14ac:dyDescent="0.2">
      <c r="A73" s="620">
        <v>10</v>
      </c>
      <c r="B73" s="208">
        <v>2462</v>
      </c>
      <c r="C73" s="621">
        <v>600079813</v>
      </c>
      <c r="D73" s="208">
        <v>72744600</v>
      </c>
      <c r="E73" s="208" t="s">
        <v>767</v>
      </c>
      <c r="F73" s="209">
        <v>3141</v>
      </c>
      <c r="G73" s="208" t="s">
        <v>321</v>
      </c>
      <c r="H73" s="622" t="s">
        <v>284</v>
      </c>
      <c r="I73" s="495">
        <v>604622</v>
      </c>
      <c r="J73" s="623">
        <v>443351</v>
      </c>
      <c r="K73" s="623">
        <v>0</v>
      </c>
      <c r="L73" s="623">
        <v>0</v>
      </c>
      <c r="M73" s="496">
        <v>149852</v>
      </c>
      <c r="N73" s="496">
        <v>8867</v>
      </c>
      <c r="O73" s="623">
        <v>2552</v>
      </c>
      <c r="P73" s="412">
        <v>1.51</v>
      </c>
      <c r="Q73" s="497">
        <v>0</v>
      </c>
      <c r="R73" s="686">
        <v>1.51</v>
      </c>
      <c r="S73" s="499">
        <v>0</v>
      </c>
      <c r="T73" s="486">
        <v>0</v>
      </c>
      <c r="U73" s="486">
        <v>0</v>
      </c>
      <c r="V73" s="486">
        <f t="shared" si="139"/>
        <v>0</v>
      </c>
      <c r="W73" s="486">
        <v>0</v>
      </c>
      <c r="X73" s="486">
        <v>0</v>
      </c>
      <c r="Y73" s="486">
        <f t="shared" si="140"/>
        <v>0</v>
      </c>
      <c r="Z73" s="486">
        <f t="shared" si="141"/>
        <v>0</v>
      </c>
      <c r="AA73" s="178">
        <f t="shared" si="142"/>
        <v>0</v>
      </c>
      <c r="AB73" s="178">
        <f t="shared" si="143"/>
        <v>0</v>
      </c>
      <c r="AC73" s="486">
        <v>0</v>
      </c>
      <c r="AD73" s="486">
        <v>0</v>
      </c>
      <c r="AE73" s="486">
        <f t="shared" si="144"/>
        <v>0</v>
      </c>
      <c r="AF73" s="486">
        <f t="shared" si="145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146"/>
        <v>0</v>
      </c>
      <c r="AM73" s="501">
        <f t="shared" si="147"/>
        <v>0</v>
      </c>
      <c r="AN73" s="502">
        <f t="shared" si="148"/>
        <v>0</v>
      </c>
      <c r="AO73" s="499">
        <f t="shared" si="149"/>
        <v>604622</v>
      </c>
      <c r="AP73" s="486">
        <f t="shared" si="150"/>
        <v>443351</v>
      </c>
      <c r="AQ73" s="480">
        <f t="shared" si="151"/>
        <v>0</v>
      </c>
      <c r="AR73" s="480">
        <f t="shared" si="152"/>
        <v>0</v>
      </c>
      <c r="AS73" s="486">
        <f t="shared" si="153"/>
        <v>149852</v>
      </c>
      <c r="AT73" s="486">
        <f t="shared" si="153"/>
        <v>8867</v>
      </c>
      <c r="AU73" s="486">
        <f t="shared" si="154"/>
        <v>2552</v>
      </c>
      <c r="AV73" s="501">
        <f t="shared" si="155"/>
        <v>1.51</v>
      </c>
      <c r="AW73" s="501">
        <f t="shared" si="156"/>
        <v>0</v>
      </c>
      <c r="AX73" s="502">
        <f t="shared" si="156"/>
        <v>1.51</v>
      </c>
    </row>
    <row r="74" spans="1:50" s="210" customFormat="1" ht="14.1" customHeight="1" x14ac:dyDescent="0.2">
      <c r="A74" s="620">
        <v>10</v>
      </c>
      <c r="B74" s="215">
        <v>2462</v>
      </c>
      <c r="C74" s="621">
        <v>600079813</v>
      </c>
      <c r="D74" s="208">
        <v>72744600</v>
      </c>
      <c r="E74" s="215" t="s">
        <v>767</v>
      </c>
      <c r="F74" s="209">
        <v>3143</v>
      </c>
      <c r="G74" s="208" t="s">
        <v>634</v>
      </c>
      <c r="H74" s="216" t="s">
        <v>283</v>
      </c>
      <c r="I74" s="495">
        <v>575639</v>
      </c>
      <c r="J74" s="411">
        <v>423887</v>
      </c>
      <c r="K74" s="411">
        <v>0</v>
      </c>
      <c r="L74" s="411">
        <v>0</v>
      </c>
      <c r="M74" s="496">
        <v>143274</v>
      </c>
      <c r="N74" s="496">
        <v>8478</v>
      </c>
      <c r="O74" s="623">
        <v>0</v>
      </c>
      <c r="P74" s="412">
        <v>1.0055000000000001</v>
      </c>
      <c r="Q74" s="415">
        <v>1.0055000000000001</v>
      </c>
      <c r="R74" s="686">
        <v>0</v>
      </c>
      <c r="S74" s="499">
        <v>0</v>
      </c>
      <c r="T74" s="486">
        <v>0</v>
      </c>
      <c r="U74" s="486">
        <v>0</v>
      </c>
      <c r="V74" s="486">
        <f t="shared" si="139"/>
        <v>0</v>
      </c>
      <c r="W74" s="486">
        <v>0</v>
      </c>
      <c r="X74" s="486">
        <v>0</v>
      </c>
      <c r="Y74" s="486">
        <f t="shared" si="140"/>
        <v>0</v>
      </c>
      <c r="Z74" s="486">
        <f t="shared" si="141"/>
        <v>0</v>
      </c>
      <c r="AA74" s="178">
        <f t="shared" si="142"/>
        <v>0</v>
      </c>
      <c r="AB74" s="178">
        <f t="shared" si="143"/>
        <v>0</v>
      </c>
      <c r="AC74" s="486">
        <v>0</v>
      </c>
      <c r="AD74" s="486">
        <v>0</v>
      </c>
      <c r="AE74" s="486">
        <f t="shared" si="144"/>
        <v>0</v>
      </c>
      <c r="AF74" s="486">
        <f t="shared" si="145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146"/>
        <v>0</v>
      </c>
      <c r="AM74" s="501">
        <f t="shared" si="147"/>
        <v>0</v>
      </c>
      <c r="AN74" s="502">
        <f t="shared" si="148"/>
        <v>0</v>
      </c>
      <c r="AO74" s="499">
        <f t="shared" si="149"/>
        <v>575639</v>
      </c>
      <c r="AP74" s="486">
        <f t="shared" si="150"/>
        <v>423887</v>
      </c>
      <c r="AQ74" s="480">
        <f t="shared" si="151"/>
        <v>0</v>
      </c>
      <c r="AR74" s="480">
        <f t="shared" si="152"/>
        <v>0</v>
      </c>
      <c r="AS74" s="486">
        <f t="shared" si="153"/>
        <v>143274</v>
      </c>
      <c r="AT74" s="486">
        <f t="shared" si="153"/>
        <v>8478</v>
      </c>
      <c r="AU74" s="486">
        <f t="shared" si="154"/>
        <v>0</v>
      </c>
      <c r="AV74" s="501">
        <f t="shared" si="155"/>
        <v>1.0055000000000001</v>
      </c>
      <c r="AW74" s="501">
        <f t="shared" si="156"/>
        <v>1.0055000000000001</v>
      </c>
      <c r="AX74" s="502">
        <f t="shared" si="156"/>
        <v>0</v>
      </c>
    </row>
    <row r="75" spans="1:50" s="210" customFormat="1" ht="14.1" customHeight="1" x14ac:dyDescent="0.2">
      <c r="A75" s="620">
        <v>10</v>
      </c>
      <c r="B75" s="215">
        <v>2462</v>
      </c>
      <c r="C75" s="621">
        <v>600079813</v>
      </c>
      <c r="D75" s="208">
        <v>72744600</v>
      </c>
      <c r="E75" s="215" t="s">
        <v>767</v>
      </c>
      <c r="F75" s="209">
        <v>3143</v>
      </c>
      <c r="G75" s="208" t="s">
        <v>635</v>
      </c>
      <c r="H75" s="216" t="s">
        <v>284</v>
      </c>
      <c r="I75" s="495">
        <v>14044</v>
      </c>
      <c r="J75" s="623">
        <v>9900</v>
      </c>
      <c r="K75" s="623">
        <v>0</v>
      </c>
      <c r="L75" s="623">
        <v>0</v>
      </c>
      <c r="M75" s="496">
        <v>3346</v>
      </c>
      <c r="N75" s="496">
        <v>198</v>
      </c>
      <c r="O75" s="623">
        <v>600</v>
      </c>
      <c r="P75" s="412">
        <v>0.04</v>
      </c>
      <c r="Q75" s="497">
        <v>0</v>
      </c>
      <c r="R75" s="686">
        <v>0.04</v>
      </c>
      <c r="S75" s="499">
        <v>0</v>
      </c>
      <c r="T75" s="486">
        <v>0</v>
      </c>
      <c r="U75" s="486">
        <v>0</v>
      </c>
      <c r="V75" s="486">
        <f t="shared" si="139"/>
        <v>0</v>
      </c>
      <c r="W75" s="486">
        <v>0</v>
      </c>
      <c r="X75" s="486">
        <v>0</v>
      </c>
      <c r="Y75" s="486">
        <f t="shared" si="140"/>
        <v>0</v>
      </c>
      <c r="Z75" s="486">
        <f t="shared" si="141"/>
        <v>0</v>
      </c>
      <c r="AA75" s="178">
        <f t="shared" si="142"/>
        <v>0</v>
      </c>
      <c r="AB75" s="178">
        <f t="shared" si="143"/>
        <v>0</v>
      </c>
      <c r="AC75" s="486">
        <v>0</v>
      </c>
      <c r="AD75" s="486">
        <v>0</v>
      </c>
      <c r="AE75" s="486">
        <f t="shared" si="144"/>
        <v>0</v>
      </c>
      <c r="AF75" s="486">
        <f t="shared" si="145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146"/>
        <v>0</v>
      </c>
      <c r="AM75" s="501">
        <f t="shared" si="147"/>
        <v>0</v>
      </c>
      <c r="AN75" s="502">
        <f t="shared" si="148"/>
        <v>0</v>
      </c>
      <c r="AO75" s="499">
        <f t="shared" si="149"/>
        <v>14044</v>
      </c>
      <c r="AP75" s="486">
        <f t="shared" si="150"/>
        <v>9900</v>
      </c>
      <c r="AQ75" s="480">
        <f t="shared" si="151"/>
        <v>0</v>
      </c>
      <c r="AR75" s="480">
        <f t="shared" si="152"/>
        <v>0</v>
      </c>
      <c r="AS75" s="486">
        <f t="shared" si="153"/>
        <v>3346</v>
      </c>
      <c r="AT75" s="486">
        <f t="shared" si="153"/>
        <v>198</v>
      </c>
      <c r="AU75" s="486">
        <f t="shared" si="154"/>
        <v>600</v>
      </c>
      <c r="AV75" s="501">
        <f t="shared" si="155"/>
        <v>0.04</v>
      </c>
      <c r="AW75" s="501">
        <f t="shared" si="156"/>
        <v>0</v>
      </c>
      <c r="AX75" s="502">
        <f t="shared" si="156"/>
        <v>0.04</v>
      </c>
    </row>
    <row r="76" spans="1:50" s="210" customFormat="1" ht="14.1" customHeight="1" x14ac:dyDescent="0.2">
      <c r="A76" s="235">
        <v>10</v>
      </c>
      <c r="B76" s="211">
        <v>2462</v>
      </c>
      <c r="C76" s="613">
        <v>600079813</v>
      </c>
      <c r="D76" s="211">
        <v>72744600</v>
      </c>
      <c r="E76" s="211" t="s">
        <v>768</v>
      </c>
      <c r="F76" s="219"/>
      <c r="G76" s="213"/>
      <c r="H76" s="214"/>
      <c r="I76" s="614">
        <v>7680126</v>
      </c>
      <c r="J76" s="615">
        <v>5453520</v>
      </c>
      <c r="K76" s="615">
        <v>83996</v>
      </c>
      <c r="L76" s="615">
        <v>3996</v>
      </c>
      <c r="M76" s="615">
        <v>1870329</v>
      </c>
      <c r="N76" s="615">
        <v>109071</v>
      </c>
      <c r="O76" s="615">
        <v>163210</v>
      </c>
      <c r="P76" s="616">
        <v>13.053999999999998</v>
      </c>
      <c r="Q76" s="616">
        <v>9.8227999999999991</v>
      </c>
      <c r="R76" s="619">
        <v>3.2312000000000003</v>
      </c>
      <c r="S76" s="615">
        <f t="shared" ref="S76:AX76" si="157">SUM(S70:S75)</f>
        <v>0</v>
      </c>
      <c r="T76" s="617">
        <f t="shared" si="157"/>
        <v>0</v>
      </c>
      <c r="U76" s="617">
        <f t="shared" si="157"/>
        <v>-16200</v>
      </c>
      <c r="V76" s="617">
        <f t="shared" si="157"/>
        <v>-16200</v>
      </c>
      <c r="W76" s="617">
        <f t="shared" si="157"/>
        <v>0</v>
      </c>
      <c r="X76" s="617">
        <f t="shared" si="157"/>
        <v>0</v>
      </c>
      <c r="Y76" s="617">
        <f t="shared" si="157"/>
        <v>0</v>
      </c>
      <c r="Z76" s="617">
        <f t="shared" si="157"/>
        <v>-16200</v>
      </c>
      <c r="AA76" s="617">
        <f t="shared" si="157"/>
        <v>-5476</v>
      </c>
      <c r="AB76" s="617">
        <f t="shared" si="157"/>
        <v>-324</v>
      </c>
      <c r="AC76" s="617">
        <f t="shared" si="157"/>
        <v>0</v>
      </c>
      <c r="AD76" s="617">
        <f t="shared" si="157"/>
        <v>22000</v>
      </c>
      <c r="AE76" s="617">
        <f t="shared" si="157"/>
        <v>22000</v>
      </c>
      <c r="AF76" s="617">
        <f t="shared" si="157"/>
        <v>0</v>
      </c>
      <c r="AG76" s="618">
        <f t="shared" si="157"/>
        <v>0</v>
      </c>
      <c r="AH76" s="618">
        <f t="shared" si="157"/>
        <v>0</v>
      </c>
      <c r="AI76" s="618">
        <f t="shared" si="157"/>
        <v>0</v>
      </c>
      <c r="AJ76" s="618">
        <f t="shared" si="157"/>
        <v>0</v>
      </c>
      <c r="AK76" s="618">
        <f t="shared" si="157"/>
        <v>0</v>
      </c>
      <c r="AL76" s="618">
        <f t="shared" si="157"/>
        <v>0</v>
      </c>
      <c r="AM76" s="618">
        <f t="shared" si="157"/>
        <v>0</v>
      </c>
      <c r="AN76" s="619">
        <f t="shared" si="157"/>
        <v>0</v>
      </c>
      <c r="AO76" s="615">
        <f t="shared" si="157"/>
        <v>7680126</v>
      </c>
      <c r="AP76" s="617">
        <f t="shared" si="157"/>
        <v>5437320</v>
      </c>
      <c r="AQ76" s="617">
        <f t="shared" si="157"/>
        <v>83996</v>
      </c>
      <c r="AR76" s="617">
        <f t="shared" si="157"/>
        <v>3996</v>
      </c>
      <c r="AS76" s="617">
        <f t="shared" si="157"/>
        <v>1864853</v>
      </c>
      <c r="AT76" s="617">
        <f t="shared" si="157"/>
        <v>108747</v>
      </c>
      <c r="AU76" s="617">
        <f t="shared" si="157"/>
        <v>185210</v>
      </c>
      <c r="AV76" s="618">
        <f t="shared" si="157"/>
        <v>13.053999999999998</v>
      </c>
      <c r="AW76" s="618">
        <f t="shared" si="157"/>
        <v>9.8227999999999991</v>
      </c>
      <c r="AX76" s="619">
        <f t="shared" si="157"/>
        <v>3.2312000000000003</v>
      </c>
    </row>
    <row r="77" spans="1:50" s="210" customFormat="1" ht="14.1" customHeight="1" x14ac:dyDescent="0.2">
      <c r="A77" s="620">
        <v>11</v>
      </c>
      <c r="B77" s="215">
        <v>2464</v>
      </c>
      <c r="C77" s="621">
        <v>600080081</v>
      </c>
      <c r="D77" s="208">
        <v>72753846</v>
      </c>
      <c r="E77" s="208" t="s">
        <v>769</v>
      </c>
      <c r="F77" s="209">
        <v>3111</v>
      </c>
      <c r="G77" s="208" t="s">
        <v>317</v>
      </c>
      <c r="H77" s="622" t="s">
        <v>283</v>
      </c>
      <c r="I77" s="495">
        <v>1621503</v>
      </c>
      <c r="J77" s="411">
        <v>1185790</v>
      </c>
      <c r="K77" s="411">
        <v>0</v>
      </c>
      <c r="L77" s="411">
        <v>0</v>
      </c>
      <c r="M77" s="496">
        <v>400797</v>
      </c>
      <c r="N77" s="496">
        <v>23716</v>
      </c>
      <c r="O77" s="623">
        <v>11200</v>
      </c>
      <c r="P77" s="412">
        <v>2.6729000000000003</v>
      </c>
      <c r="Q77" s="415">
        <v>2.2120000000000002</v>
      </c>
      <c r="R77" s="685">
        <v>0.46089999999999998</v>
      </c>
      <c r="S77" s="499">
        <v>0</v>
      </c>
      <c r="T77" s="486">
        <v>0</v>
      </c>
      <c r="U77" s="486">
        <v>0</v>
      </c>
      <c r="V77" s="486">
        <f t="shared" ref="V77:V82" si="158">SUM(S77:U77)</f>
        <v>0</v>
      </c>
      <c r="W77" s="486">
        <v>0</v>
      </c>
      <c r="X77" s="486">
        <v>0</v>
      </c>
      <c r="Y77" s="486">
        <f t="shared" ref="Y77:Y82" si="159">SUM(W77:X77)</f>
        <v>0</v>
      </c>
      <c r="Z77" s="486">
        <f t="shared" ref="Z77:Z82" si="160">V77+Y77</f>
        <v>0</v>
      </c>
      <c r="AA77" s="178">
        <f t="shared" ref="AA77:AA82" si="161">ROUND((V77+W77)*33.8%,0)</f>
        <v>0</v>
      </c>
      <c r="AB77" s="178">
        <f t="shared" ref="AB77:AB82" si="162">ROUND(V77*2%,0)</f>
        <v>0</v>
      </c>
      <c r="AC77" s="486">
        <v>0</v>
      </c>
      <c r="AD77" s="486">
        <v>0</v>
      </c>
      <c r="AE77" s="486">
        <f t="shared" ref="AE77:AE82" si="163">SUM(AC77:AD77)</f>
        <v>0</v>
      </c>
      <c r="AF77" s="486">
        <f t="shared" ref="AF77:AF82" si="164">Z77+AA77+AB77+AE77</f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ref="AL77:AL82" si="165">AG77+AI77+AJ77</f>
        <v>0</v>
      </c>
      <c r="AM77" s="501">
        <f t="shared" ref="AM77:AM82" si="166">AH77+AK77</f>
        <v>0</v>
      </c>
      <c r="AN77" s="502">
        <f t="shared" ref="AN77:AN82" si="167">SUM(AL77:AM77)</f>
        <v>0</v>
      </c>
      <c r="AO77" s="499">
        <f t="shared" ref="AO77:AO82" si="168">I77+AF77</f>
        <v>1621503</v>
      </c>
      <c r="AP77" s="486">
        <f t="shared" ref="AP77:AP82" si="169">J77+V77</f>
        <v>1185790</v>
      </c>
      <c r="AQ77" s="480">
        <f t="shared" ref="AQ77:AQ82" si="170">K77+Y77</f>
        <v>0</v>
      </c>
      <c r="AR77" s="480">
        <f t="shared" ref="AR77:AR82" si="171">L77</f>
        <v>0</v>
      </c>
      <c r="AS77" s="486">
        <f t="shared" ref="AS77:AT82" si="172">M77+AA77</f>
        <v>400797</v>
      </c>
      <c r="AT77" s="486">
        <f t="shared" si="172"/>
        <v>23716</v>
      </c>
      <c r="AU77" s="486">
        <f t="shared" ref="AU77:AU82" si="173">O77+AE77</f>
        <v>11200</v>
      </c>
      <c r="AV77" s="501">
        <f t="shared" ref="AV77:AV82" si="174">P77+AN77</f>
        <v>2.6729000000000003</v>
      </c>
      <c r="AW77" s="501">
        <f t="shared" ref="AW77:AX82" si="175">Q77+AL77</f>
        <v>2.2120000000000002</v>
      </c>
      <c r="AX77" s="502">
        <f t="shared" si="175"/>
        <v>0.46089999999999998</v>
      </c>
    </row>
    <row r="78" spans="1:50" s="210" customFormat="1" ht="14.1" customHeight="1" x14ac:dyDescent="0.2">
      <c r="A78" s="620">
        <v>11</v>
      </c>
      <c r="B78" s="217">
        <v>2464</v>
      </c>
      <c r="C78" s="621">
        <v>600080081</v>
      </c>
      <c r="D78" s="208">
        <v>72753846</v>
      </c>
      <c r="E78" s="217" t="s">
        <v>769</v>
      </c>
      <c r="F78" s="218">
        <v>3117</v>
      </c>
      <c r="G78" s="217" t="s">
        <v>335</v>
      </c>
      <c r="H78" s="622" t="s">
        <v>283</v>
      </c>
      <c r="I78" s="495">
        <v>932186</v>
      </c>
      <c r="J78" s="328">
        <v>657608</v>
      </c>
      <c r="K78" s="328">
        <v>18240</v>
      </c>
      <c r="L78" s="328">
        <v>740</v>
      </c>
      <c r="M78" s="496">
        <v>228186</v>
      </c>
      <c r="N78" s="496">
        <v>13152</v>
      </c>
      <c r="O78" s="328">
        <v>15000</v>
      </c>
      <c r="P78" s="412">
        <v>1.3554000000000002</v>
      </c>
      <c r="Q78" s="329">
        <v>0.68230000000000002</v>
      </c>
      <c r="R78" s="330">
        <v>0.67310000000000014</v>
      </c>
      <c r="S78" s="499">
        <v>0</v>
      </c>
      <c r="T78" s="486">
        <v>0</v>
      </c>
      <c r="U78" s="486">
        <v>0</v>
      </c>
      <c r="V78" s="486">
        <f t="shared" si="158"/>
        <v>0</v>
      </c>
      <c r="W78" s="486">
        <v>0</v>
      </c>
      <c r="X78" s="486">
        <v>0</v>
      </c>
      <c r="Y78" s="486">
        <f t="shared" si="159"/>
        <v>0</v>
      </c>
      <c r="Z78" s="486">
        <f t="shared" si="160"/>
        <v>0</v>
      </c>
      <c r="AA78" s="178">
        <f t="shared" si="161"/>
        <v>0</v>
      </c>
      <c r="AB78" s="178">
        <f t="shared" si="162"/>
        <v>0</v>
      </c>
      <c r="AC78" s="486">
        <v>0</v>
      </c>
      <c r="AD78" s="486">
        <v>0</v>
      </c>
      <c r="AE78" s="486">
        <f t="shared" si="163"/>
        <v>0</v>
      </c>
      <c r="AF78" s="486">
        <f t="shared" si="164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165"/>
        <v>0</v>
      </c>
      <c r="AM78" s="501">
        <f t="shared" si="166"/>
        <v>0</v>
      </c>
      <c r="AN78" s="502">
        <f t="shared" si="167"/>
        <v>0</v>
      </c>
      <c r="AO78" s="499">
        <f t="shared" si="168"/>
        <v>932186</v>
      </c>
      <c r="AP78" s="486">
        <f t="shared" si="169"/>
        <v>657608</v>
      </c>
      <c r="AQ78" s="480">
        <f t="shared" si="170"/>
        <v>18240</v>
      </c>
      <c r="AR78" s="480">
        <f t="shared" si="171"/>
        <v>740</v>
      </c>
      <c r="AS78" s="486">
        <f t="shared" si="172"/>
        <v>228186</v>
      </c>
      <c r="AT78" s="486">
        <f t="shared" si="172"/>
        <v>13152</v>
      </c>
      <c r="AU78" s="486">
        <f t="shared" si="173"/>
        <v>15000</v>
      </c>
      <c r="AV78" s="501">
        <f t="shared" si="174"/>
        <v>1.3554000000000002</v>
      </c>
      <c r="AW78" s="501">
        <f t="shared" si="175"/>
        <v>0.68230000000000002</v>
      </c>
      <c r="AX78" s="502">
        <f t="shared" si="175"/>
        <v>0.67310000000000014</v>
      </c>
    </row>
    <row r="79" spans="1:50" s="210" customFormat="1" ht="14.1" customHeight="1" x14ac:dyDescent="0.2">
      <c r="A79" s="620">
        <v>11</v>
      </c>
      <c r="B79" s="215">
        <v>2464</v>
      </c>
      <c r="C79" s="621">
        <v>600080081</v>
      </c>
      <c r="D79" s="208">
        <v>72753846</v>
      </c>
      <c r="E79" s="215" t="s">
        <v>769</v>
      </c>
      <c r="F79" s="209">
        <v>3117</v>
      </c>
      <c r="G79" s="208" t="s">
        <v>318</v>
      </c>
      <c r="H79" s="622" t="s">
        <v>284</v>
      </c>
      <c r="I79" s="495">
        <v>550988</v>
      </c>
      <c r="J79" s="623">
        <v>405735</v>
      </c>
      <c r="K79" s="623">
        <v>0</v>
      </c>
      <c r="L79" s="623">
        <v>0</v>
      </c>
      <c r="M79" s="496">
        <v>137138</v>
      </c>
      <c r="N79" s="496">
        <v>8115</v>
      </c>
      <c r="O79" s="623">
        <v>0</v>
      </c>
      <c r="P79" s="412">
        <v>1.3199999999999998</v>
      </c>
      <c r="Q79" s="497">
        <v>1.3199999999999998</v>
      </c>
      <c r="R79" s="686">
        <v>0</v>
      </c>
      <c r="S79" s="499">
        <v>0</v>
      </c>
      <c r="T79" s="486">
        <v>3931</v>
      </c>
      <c r="U79" s="486">
        <v>0</v>
      </c>
      <c r="V79" s="486">
        <f t="shared" si="158"/>
        <v>3931</v>
      </c>
      <c r="W79" s="486">
        <v>0</v>
      </c>
      <c r="X79" s="486">
        <v>0</v>
      </c>
      <c r="Y79" s="486">
        <f t="shared" si="159"/>
        <v>0</v>
      </c>
      <c r="Z79" s="486">
        <f t="shared" si="160"/>
        <v>3931</v>
      </c>
      <c r="AA79" s="178">
        <f t="shared" si="161"/>
        <v>1329</v>
      </c>
      <c r="AB79" s="178">
        <f t="shared" si="162"/>
        <v>79</v>
      </c>
      <c r="AC79" s="486">
        <v>4750</v>
      </c>
      <c r="AD79" s="486">
        <v>0</v>
      </c>
      <c r="AE79" s="486">
        <f t="shared" si="163"/>
        <v>4750</v>
      </c>
      <c r="AF79" s="486">
        <f t="shared" si="164"/>
        <v>10089</v>
      </c>
      <c r="AG79" s="501">
        <v>0</v>
      </c>
      <c r="AH79" s="501">
        <v>0</v>
      </c>
      <c r="AI79" s="501">
        <v>0.01</v>
      </c>
      <c r="AJ79" s="501">
        <v>0</v>
      </c>
      <c r="AK79" s="501">
        <v>0</v>
      </c>
      <c r="AL79" s="501">
        <f t="shared" si="165"/>
        <v>0.01</v>
      </c>
      <c r="AM79" s="501">
        <f t="shared" si="166"/>
        <v>0</v>
      </c>
      <c r="AN79" s="502">
        <f t="shared" si="167"/>
        <v>0.01</v>
      </c>
      <c r="AO79" s="499">
        <f t="shared" si="168"/>
        <v>561077</v>
      </c>
      <c r="AP79" s="486">
        <f t="shared" si="169"/>
        <v>409666</v>
      </c>
      <c r="AQ79" s="480">
        <f t="shared" si="170"/>
        <v>0</v>
      </c>
      <c r="AR79" s="480">
        <f t="shared" si="171"/>
        <v>0</v>
      </c>
      <c r="AS79" s="486">
        <f t="shared" si="172"/>
        <v>138467</v>
      </c>
      <c r="AT79" s="486">
        <f t="shared" si="172"/>
        <v>8194</v>
      </c>
      <c r="AU79" s="486">
        <f t="shared" si="173"/>
        <v>4750</v>
      </c>
      <c r="AV79" s="501">
        <f t="shared" si="174"/>
        <v>1.3299999999999998</v>
      </c>
      <c r="AW79" s="501">
        <f t="shared" si="175"/>
        <v>1.3299999999999998</v>
      </c>
      <c r="AX79" s="502">
        <f t="shared" si="175"/>
        <v>0</v>
      </c>
    </row>
    <row r="80" spans="1:50" s="210" customFormat="1" ht="14.1" customHeight="1" x14ac:dyDescent="0.2">
      <c r="A80" s="620">
        <v>11</v>
      </c>
      <c r="B80" s="208">
        <v>2464</v>
      </c>
      <c r="C80" s="621">
        <v>600080081</v>
      </c>
      <c r="D80" s="208">
        <v>72753846</v>
      </c>
      <c r="E80" s="208" t="s">
        <v>769</v>
      </c>
      <c r="F80" s="209">
        <v>3141</v>
      </c>
      <c r="G80" s="208" t="s">
        <v>321</v>
      </c>
      <c r="H80" s="622" t="s">
        <v>284</v>
      </c>
      <c r="I80" s="495">
        <v>329447</v>
      </c>
      <c r="J80" s="623">
        <v>241700</v>
      </c>
      <c r="K80" s="623">
        <v>0</v>
      </c>
      <c r="L80" s="623">
        <v>0</v>
      </c>
      <c r="M80" s="496">
        <v>81695</v>
      </c>
      <c r="N80" s="496">
        <v>4834</v>
      </c>
      <c r="O80" s="623">
        <v>1218</v>
      </c>
      <c r="P80" s="412">
        <v>0.83</v>
      </c>
      <c r="Q80" s="497">
        <v>0</v>
      </c>
      <c r="R80" s="686">
        <v>0.83</v>
      </c>
      <c r="S80" s="499">
        <v>0</v>
      </c>
      <c r="T80" s="486">
        <v>0</v>
      </c>
      <c r="U80" s="486">
        <v>0</v>
      </c>
      <c r="V80" s="486">
        <f t="shared" si="158"/>
        <v>0</v>
      </c>
      <c r="W80" s="486">
        <v>0</v>
      </c>
      <c r="X80" s="486">
        <v>0</v>
      </c>
      <c r="Y80" s="486">
        <f t="shared" si="159"/>
        <v>0</v>
      </c>
      <c r="Z80" s="486">
        <f t="shared" si="160"/>
        <v>0</v>
      </c>
      <c r="AA80" s="178">
        <f t="shared" si="161"/>
        <v>0</v>
      </c>
      <c r="AB80" s="178">
        <f t="shared" si="162"/>
        <v>0</v>
      </c>
      <c r="AC80" s="486">
        <v>0</v>
      </c>
      <c r="AD80" s="486">
        <v>0</v>
      </c>
      <c r="AE80" s="486">
        <f t="shared" si="163"/>
        <v>0</v>
      </c>
      <c r="AF80" s="486">
        <f t="shared" si="164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65"/>
        <v>0</v>
      </c>
      <c r="AM80" s="501">
        <f t="shared" si="166"/>
        <v>0</v>
      </c>
      <c r="AN80" s="502">
        <f t="shared" si="167"/>
        <v>0</v>
      </c>
      <c r="AO80" s="499">
        <f t="shared" si="168"/>
        <v>329447</v>
      </c>
      <c r="AP80" s="486">
        <f t="shared" si="169"/>
        <v>241700</v>
      </c>
      <c r="AQ80" s="480">
        <f t="shared" si="170"/>
        <v>0</v>
      </c>
      <c r="AR80" s="480">
        <f t="shared" si="171"/>
        <v>0</v>
      </c>
      <c r="AS80" s="486">
        <f t="shared" si="172"/>
        <v>81695</v>
      </c>
      <c r="AT80" s="486">
        <f t="shared" si="172"/>
        <v>4834</v>
      </c>
      <c r="AU80" s="486">
        <f t="shared" si="173"/>
        <v>1218</v>
      </c>
      <c r="AV80" s="501">
        <f t="shared" si="174"/>
        <v>0.83</v>
      </c>
      <c r="AW80" s="501">
        <f t="shared" si="175"/>
        <v>0</v>
      </c>
      <c r="AX80" s="502">
        <f t="shared" si="175"/>
        <v>0.83</v>
      </c>
    </row>
    <row r="81" spans="1:50" s="210" customFormat="1" ht="14.1" customHeight="1" x14ac:dyDescent="0.2">
      <c r="A81" s="620">
        <v>11</v>
      </c>
      <c r="B81" s="215">
        <v>2464</v>
      </c>
      <c r="C81" s="621">
        <v>600080081</v>
      </c>
      <c r="D81" s="208">
        <v>72753846</v>
      </c>
      <c r="E81" s="215" t="s">
        <v>769</v>
      </c>
      <c r="F81" s="209">
        <v>3143</v>
      </c>
      <c r="G81" s="208" t="s">
        <v>634</v>
      </c>
      <c r="H81" s="216" t="s">
        <v>283</v>
      </c>
      <c r="I81" s="495">
        <v>227524</v>
      </c>
      <c r="J81" s="411">
        <v>167543</v>
      </c>
      <c r="K81" s="411">
        <v>0</v>
      </c>
      <c r="L81" s="411">
        <v>0</v>
      </c>
      <c r="M81" s="496">
        <v>56630</v>
      </c>
      <c r="N81" s="496">
        <v>3351</v>
      </c>
      <c r="O81" s="623">
        <v>0</v>
      </c>
      <c r="P81" s="412">
        <v>0.5</v>
      </c>
      <c r="Q81" s="415">
        <v>0.5</v>
      </c>
      <c r="R81" s="686">
        <v>0</v>
      </c>
      <c r="S81" s="499">
        <v>0</v>
      </c>
      <c r="T81" s="486">
        <v>0</v>
      </c>
      <c r="U81" s="486">
        <v>0</v>
      </c>
      <c r="V81" s="486">
        <f t="shared" si="158"/>
        <v>0</v>
      </c>
      <c r="W81" s="486">
        <v>0</v>
      </c>
      <c r="X81" s="486">
        <v>0</v>
      </c>
      <c r="Y81" s="486">
        <f t="shared" si="159"/>
        <v>0</v>
      </c>
      <c r="Z81" s="486">
        <f t="shared" si="160"/>
        <v>0</v>
      </c>
      <c r="AA81" s="178">
        <f t="shared" si="161"/>
        <v>0</v>
      </c>
      <c r="AB81" s="178">
        <f t="shared" si="162"/>
        <v>0</v>
      </c>
      <c r="AC81" s="486">
        <v>0</v>
      </c>
      <c r="AD81" s="486">
        <v>0</v>
      </c>
      <c r="AE81" s="486">
        <f t="shared" si="163"/>
        <v>0</v>
      </c>
      <c r="AF81" s="486">
        <f t="shared" si="164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165"/>
        <v>0</v>
      </c>
      <c r="AM81" s="501">
        <f t="shared" si="166"/>
        <v>0</v>
      </c>
      <c r="AN81" s="502">
        <f t="shared" si="167"/>
        <v>0</v>
      </c>
      <c r="AO81" s="499">
        <f t="shared" si="168"/>
        <v>227524</v>
      </c>
      <c r="AP81" s="486">
        <f t="shared" si="169"/>
        <v>167543</v>
      </c>
      <c r="AQ81" s="480">
        <f t="shared" si="170"/>
        <v>0</v>
      </c>
      <c r="AR81" s="480">
        <f t="shared" si="171"/>
        <v>0</v>
      </c>
      <c r="AS81" s="486">
        <f t="shared" si="172"/>
        <v>56630</v>
      </c>
      <c r="AT81" s="486">
        <f t="shared" si="172"/>
        <v>3351</v>
      </c>
      <c r="AU81" s="486">
        <f t="shared" si="173"/>
        <v>0</v>
      </c>
      <c r="AV81" s="501">
        <f t="shared" si="174"/>
        <v>0.5</v>
      </c>
      <c r="AW81" s="501">
        <f t="shared" si="175"/>
        <v>0.5</v>
      </c>
      <c r="AX81" s="502">
        <f t="shared" si="175"/>
        <v>0</v>
      </c>
    </row>
    <row r="82" spans="1:50" s="210" customFormat="1" ht="14.1" customHeight="1" x14ac:dyDescent="0.2">
      <c r="A82" s="620">
        <v>11</v>
      </c>
      <c r="B82" s="215">
        <v>2464</v>
      </c>
      <c r="C82" s="621">
        <v>600080081</v>
      </c>
      <c r="D82" s="208">
        <v>72753846</v>
      </c>
      <c r="E82" s="215" t="s">
        <v>769</v>
      </c>
      <c r="F82" s="209">
        <v>3143</v>
      </c>
      <c r="G82" s="208" t="s">
        <v>635</v>
      </c>
      <c r="H82" s="216" t="s">
        <v>284</v>
      </c>
      <c r="I82" s="495">
        <v>3512</v>
      </c>
      <c r="J82" s="623">
        <v>2475</v>
      </c>
      <c r="K82" s="623">
        <v>0</v>
      </c>
      <c r="L82" s="623">
        <v>0</v>
      </c>
      <c r="M82" s="496">
        <v>837</v>
      </c>
      <c r="N82" s="496">
        <v>50</v>
      </c>
      <c r="O82" s="623">
        <v>150</v>
      </c>
      <c r="P82" s="412">
        <v>0.01</v>
      </c>
      <c r="Q82" s="497">
        <v>0</v>
      </c>
      <c r="R82" s="686">
        <v>0.01</v>
      </c>
      <c r="S82" s="499">
        <v>0</v>
      </c>
      <c r="T82" s="486">
        <v>0</v>
      </c>
      <c r="U82" s="486">
        <v>0</v>
      </c>
      <c r="V82" s="486">
        <f t="shared" si="158"/>
        <v>0</v>
      </c>
      <c r="W82" s="486">
        <v>0</v>
      </c>
      <c r="X82" s="486">
        <v>0</v>
      </c>
      <c r="Y82" s="486">
        <f t="shared" si="159"/>
        <v>0</v>
      </c>
      <c r="Z82" s="486">
        <f t="shared" si="160"/>
        <v>0</v>
      </c>
      <c r="AA82" s="178">
        <f t="shared" si="161"/>
        <v>0</v>
      </c>
      <c r="AB82" s="178">
        <f t="shared" si="162"/>
        <v>0</v>
      </c>
      <c r="AC82" s="486">
        <v>0</v>
      </c>
      <c r="AD82" s="486">
        <v>0</v>
      </c>
      <c r="AE82" s="486">
        <f t="shared" si="163"/>
        <v>0</v>
      </c>
      <c r="AF82" s="486">
        <f t="shared" si="164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165"/>
        <v>0</v>
      </c>
      <c r="AM82" s="501">
        <f t="shared" si="166"/>
        <v>0</v>
      </c>
      <c r="AN82" s="502">
        <f t="shared" si="167"/>
        <v>0</v>
      </c>
      <c r="AO82" s="499">
        <f t="shared" si="168"/>
        <v>3512</v>
      </c>
      <c r="AP82" s="486">
        <f t="shared" si="169"/>
        <v>2475</v>
      </c>
      <c r="AQ82" s="480">
        <f t="shared" si="170"/>
        <v>0</v>
      </c>
      <c r="AR82" s="480">
        <f t="shared" si="171"/>
        <v>0</v>
      </c>
      <c r="AS82" s="486">
        <f t="shared" si="172"/>
        <v>837</v>
      </c>
      <c r="AT82" s="486">
        <f t="shared" si="172"/>
        <v>50</v>
      </c>
      <c r="AU82" s="486">
        <f t="shared" si="173"/>
        <v>150</v>
      </c>
      <c r="AV82" s="501">
        <f t="shared" si="174"/>
        <v>0.01</v>
      </c>
      <c r="AW82" s="501">
        <f t="shared" si="175"/>
        <v>0</v>
      </c>
      <c r="AX82" s="502">
        <f t="shared" si="175"/>
        <v>0.01</v>
      </c>
    </row>
    <row r="83" spans="1:50" s="210" customFormat="1" ht="14.1" customHeight="1" x14ac:dyDescent="0.2">
      <c r="A83" s="235">
        <v>11</v>
      </c>
      <c r="B83" s="211">
        <v>2464</v>
      </c>
      <c r="C83" s="613">
        <v>600080081</v>
      </c>
      <c r="D83" s="211">
        <v>72753846</v>
      </c>
      <c r="E83" s="211" t="s">
        <v>770</v>
      </c>
      <c r="F83" s="219"/>
      <c r="G83" s="213"/>
      <c r="H83" s="214"/>
      <c r="I83" s="614">
        <v>3665160</v>
      </c>
      <c r="J83" s="615">
        <v>2660851</v>
      </c>
      <c r="K83" s="615">
        <v>18240</v>
      </c>
      <c r="L83" s="615">
        <v>740</v>
      </c>
      <c r="M83" s="615">
        <v>905283</v>
      </c>
      <c r="N83" s="615">
        <v>53218</v>
      </c>
      <c r="O83" s="615">
        <v>27568</v>
      </c>
      <c r="P83" s="616">
        <v>6.6882999999999999</v>
      </c>
      <c r="Q83" s="616">
        <v>4.7142999999999997</v>
      </c>
      <c r="R83" s="619">
        <v>1.974</v>
      </c>
      <c r="S83" s="615">
        <f t="shared" ref="S83:AX83" si="176">SUM(S77:S82)</f>
        <v>0</v>
      </c>
      <c r="T83" s="617">
        <f t="shared" si="176"/>
        <v>3931</v>
      </c>
      <c r="U83" s="617">
        <f t="shared" si="176"/>
        <v>0</v>
      </c>
      <c r="V83" s="617">
        <f t="shared" si="176"/>
        <v>3931</v>
      </c>
      <c r="W83" s="617">
        <f t="shared" si="176"/>
        <v>0</v>
      </c>
      <c r="X83" s="617">
        <f t="shared" si="176"/>
        <v>0</v>
      </c>
      <c r="Y83" s="617">
        <f t="shared" si="176"/>
        <v>0</v>
      </c>
      <c r="Z83" s="617">
        <f t="shared" si="176"/>
        <v>3931</v>
      </c>
      <c r="AA83" s="617">
        <f t="shared" si="176"/>
        <v>1329</v>
      </c>
      <c r="AB83" s="617">
        <f t="shared" si="176"/>
        <v>79</v>
      </c>
      <c r="AC83" s="617">
        <f t="shared" si="176"/>
        <v>4750</v>
      </c>
      <c r="AD83" s="617">
        <f t="shared" si="176"/>
        <v>0</v>
      </c>
      <c r="AE83" s="617">
        <f t="shared" si="176"/>
        <v>4750</v>
      </c>
      <c r="AF83" s="617">
        <f t="shared" si="176"/>
        <v>10089</v>
      </c>
      <c r="AG83" s="618">
        <f t="shared" si="176"/>
        <v>0</v>
      </c>
      <c r="AH83" s="618">
        <f t="shared" si="176"/>
        <v>0</v>
      </c>
      <c r="AI83" s="618">
        <f t="shared" si="176"/>
        <v>0.01</v>
      </c>
      <c r="AJ83" s="618">
        <f t="shared" si="176"/>
        <v>0</v>
      </c>
      <c r="AK83" s="618">
        <f t="shared" si="176"/>
        <v>0</v>
      </c>
      <c r="AL83" s="618">
        <f t="shared" si="176"/>
        <v>0.01</v>
      </c>
      <c r="AM83" s="618">
        <f t="shared" si="176"/>
        <v>0</v>
      </c>
      <c r="AN83" s="619">
        <f t="shared" si="176"/>
        <v>0.01</v>
      </c>
      <c r="AO83" s="615">
        <f t="shared" si="176"/>
        <v>3675249</v>
      </c>
      <c r="AP83" s="617">
        <f t="shared" si="176"/>
        <v>2664782</v>
      </c>
      <c r="AQ83" s="617">
        <f t="shared" si="176"/>
        <v>18240</v>
      </c>
      <c r="AR83" s="617">
        <f t="shared" si="176"/>
        <v>740</v>
      </c>
      <c r="AS83" s="617">
        <f t="shared" si="176"/>
        <v>906612</v>
      </c>
      <c r="AT83" s="617">
        <f t="shared" si="176"/>
        <v>53297</v>
      </c>
      <c r="AU83" s="617">
        <f t="shared" si="176"/>
        <v>32318</v>
      </c>
      <c r="AV83" s="618">
        <f t="shared" si="176"/>
        <v>6.6983000000000006</v>
      </c>
      <c r="AW83" s="618">
        <f t="shared" si="176"/>
        <v>4.7243000000000004</v>
      </c>
      <c r="AX83" s="619">
        <f t="shared" si="176"/>
        <v>1.974</v>
      </c>
    </row>
    <row r="84" spans="1:50" s="210" customFormat="1" ht="14.1" customHeight="1" x14ac:dyDescent="0.2">
      <c r="A84" s="620">
        <v>12</v>
      </c>
      <c r="B84" s="215">
        <v>2467</v>
      </c>
      <c r="C84" s="621">
        <v>600079708</v>
      </c>
      <c r="D84" s="208">
        <v>71012303</v>
      </c>
      <c r="E84" s="208" t="s">
        <v>771</v>
      </c>
      <c r="F84" s="209">
        <v>3111</v>
      </c>
      <c r="G84" s="208" t="s">
        <v>317</v>
      </c>
      <c r="H84" s="622" t="s">
        <v>283</v>
      </c>
      <c r="I84" s="495">
        <v>1450264</v>
      </c>
      <c r="J84" s="411">
        <v>1046051</v>
      </c>
      <c r="K84" s="411">
        <v>12800</v>
      </c>
      <c r="L84" s="411">
        <v>0</v>
      </c>
      <c r="M84" s="496">
        <v>357892</v>
      </c>
      <c r="N84" s="496">
        <v>20921</v>
      </c>
      <c r="O84" s="623">
        <v>12600</v>
      </c>
      <c r="P84" s="412">
        <v>2.4308999999999998</v>
      </c>
      <c r="Q84" s="415">
        <v>1.97</v>
      </c>
      <c r="R84" s="685">
        <v>0.46089999999999998</v>
      </c>
      <c r="S84" s="499">
        <v>0</v>
      </c>
      <c r="T84" s="486">
        <v>0</v>
      </c>
      <c r="U84" s="486">
        <v>0</v>
      </c>
      <c r="V84" s="486">
        <f t="shared" ref="V84:V89" si="177">SUM(S84:U84)</f>
        <v>0</v>
      </c>
      <c r="W84" s="486">
        <v>0</v>
      </c>
      <c r="X84" s="486">
        <v>0</v>
      </c>
      <c r="Y84" s="486">
        <f t="shared" ref="Y84:Y89" si="178">SUM(W84:X84)</f>
        <v>0</v>
      </c>
      <c r="Z84" s="486">
        <f t="shared" ref="Z84:Z89" si="179">V84+Y84</f>
        <v>0</v>
      </c>
      <c r="AA84" s="178">
        <f t="shared" ref="AA84:AA89" si="180">ROUND((V84+W84)*33.8%,0)</f>
        <v>0</v>
      </c>
      <c r="AB84" s="178">
        <f t="shared" ref="AB84:AB89" si="181">ROUND(V84*2%,0)</f>
        <v>0</v>
      </c>
      <c r="AC84" s="486">
        <v>0</v>
      </c>
      <c r="AD84" s="486">
        <v>0</v>
      </c>
      <c r="AE84" s="486">
        <f t="shared" ref="AE84:AE89" si="182">SUM(AC84:AD84)</f>
        <v>0</v>
      </c>
      <c r="AF84" s="486">
        <f t="shared" ref="AF84:AF89" si="183">Z84+AA84+AB84+AE84</f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ref="AL84:AL89" si="184">AG84+AI84+AJ84</f>
        <v>0</v>
      </c>
      <c r="AM84" s="501">
        <f t="shared" ref="AM84:AM89" si="185">AH84+AK84</f>
        <v>0</v>
      </c>
      <c r="AN84" s="502">
        <f t="shared" ref="AN84:AN89" si="186">SUM(AL84:AM84)</f>
        <v>0</v>
      </c>
      <c r="AO84" s="499">
        <f t="shared" ref="AO84:AO89" si="187">I84+AF84</f>
        <v>1450264</v>
      </c>
      <c r="AP84" s="486">
        <f t="shared" ref="AP84:AP89" si="188">J84+V84</f>
        <v>1046051</v>
      </c>
      <c r="AQ84" s="480">
        <f t="shared" ref="AQ84:AQ89" si="189">K84+Y84</f>
        <v>12800</v>
      </c>
      <c r="AR84" s="480">
        <f t="shared" ref="AR84:AR89" si="190">L84</f>
        <v>0</v>
      </c>
      <c r="AS84" s="486">
        <f t="shared" ref="AS84:AT89" si="191">M84+AA84</f>
        <v>357892</v>
      </c>
      <c r="AT84" s="486">
        <f t="shared" si="191"/>
        <v>20921</v>
      </c>
      <c r="AU84" s="486">
        <f t="shared" ref="AU84:AU89" si="192">O84+AE84</f>
        <v>12600</v>
      </c>
      <c r="AV84" s="501">
        <f t="shared" ref="AV84:AV89" si="193">P84+AN84</f>
        <v>2.4308999999999998</v>
      </c>
      <c r="AW84" s="501">
        <f t="shared" ref="AW84:AX89" si="194">Q84+AL84</f>
        <v>1.97</v>
      </c>
      <c r="AX84" s="502">
        <f t="shared" si="194"/>
        <v>0.46089999999999998</v>
      </c>
    </row>
    <row r="85" spans="1:50" s="210" customFormat="1" ht="14.1" customHeight="1" x14ac:dyDescent="0.2">
      <c r="A85" s="620">
        <v>12</v>
      </c>
      <c r="B85" s="217">
        <v>2467</v>
      </c>
      <c r="C85" s="621">
        <v>600079708</v>
      </c>
      <c r="D85" s="208">
        <v>71012303</v>
      </c>
      <c r="E85" s="217" t="s">
        <v>771</v>
      </c>
      <c r="F85" s="218">
        <v>3117</v>
      </c>
      <c r="G85" s="217" t="s">
        <v>335</v>
      </c>
      <c r="H85" s="622" t="s">
        <v>283</v>
      </c>
      <c r="I85" s="495">
        <v>2346367</v>
      </c>
      <c r="J85" s="328">
        <v>1695357</v>
      </c>
      <c r="K85" s="328">
        <v>2072</v>
      </c>
      <c r="L85" s="328">
        <v>2072</v>
      </c>
      <c r="M85" s="496">
        <v>573030</v>
      </c>
      <c r="N85" s="496">
        <v>33908</v>
      </c>
      <c r="O85" s="328">
        <v>42000</v>
      </c>
      <c r="P85" s="412">
        <v>3.9481999999999999</v>
      </c>
      <c r="Q85" s="329">
        <v>2.4544999999999999</v>
      </c>
      <c r="R85" s="330">
        <v>1.4937</v>
      </c>
      <c r="S85" s="499">
        <v>0</v>
      </c>
      <c r="T85" s="486">
        <v>0</v>
      </c>
      <c r="U85" s="486">
        <v>0</v>
      </c>
      <c r="V85" s="486">
        <f t="shared" si="177"/>
        <v>0</v>
      </c>
      <c r="W85" s="486">
        <v>0</v>
      </c>
      <c r="X85" s="486">
        <v>0</v>
      </c>
      <c r="Y85" s="486">
        <f t="shared" si="178"/>
        <v>0</v>
      </c>
      <c r="Z85" s="486">
        <f t="shared" si="179"/>
        <v>0</v>
      </c>
      <c r="AA85" s="178">
        <f t="shared" si="180"/>
        <v>0</v>
      </c>
      <c r="AB85" s="178">
        <f t="shared" si="181"/>
        <v>0</v>
      </c>
      <c r="AC85" s="486">
        <v>0</v>
      </c>
      <c r="AD85" s="486">
        <v>0</v>
      </c>
      <c r="AE85" s="486">
        <f t="shared" si="182"/>
        <v>0</v>
      </c>
      <c r="AF85" s="486">
        <f t="shared" si="183"/>
        <v>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184"/>
        <v>0</v>
      </c>
      <c r="AM85" s="501">
        <f t="shared" si="185"/>
        <v>0</v>
      </c>
      <c r="AN85" s="502">
        <f t="shared" si="186"/>
        <v>0</v>
      </c>
      <c r="AO85" s="499">
        <f t="shared" si="187"/>
        <v>2346367</v>
      </c>
      <c r="AP85" s="486">
        <f t="shared" si="188"/>
        <v>1695357</v>
      </c>
      <c r="AQ85" s="480">
        <f t="shared" si="189"/>
        <v>2072</v>
      </c>
      <c r="AR85" s="480">
        <f t="shared" si="190"/>
        <v>2072</v>
      </c>
      <c r="AS85" s="486">
        <f t="shared" si="191"/>
        <v>573030</v>
      </c>
      <c r="AT85" s="486">
        <f t="shared" si="191"/>
        <v>33908</v>
      </c>
      <c r="AU85" s="486">
        <f t="shared" si="192"/>
        <v>42000</v>
      </c>
      <c r="AV85" s="501">
        <f t="shared" si="193"/>
        <v>3.9481999999999999</v>
      </c>
      <c r="AW85" s="501">
        <f t="shared" si="194"/>
        <v>2.4544999999999999</v>
      </c>
      <c r="AX85" s="502">
        <f t="shared" si="194"/>
        <v>1.4937</v>
      </c>
    </row>
    <row r="86" spans="1:50" s="210" customFormat="1" ht="14.1" customHeight="1" x14ac:dyDescent="0.2">
      <c r="A86" s="620">
        <v>12</v>
      </c>
      <c r="B86" s="215">
        <v>2467</v>
      </c>
      <c r="C86" s="621">
        <v>600079708</v>
      </c>
      <c r="D86" s="208">
        <v>71012303</v>
      </c>
      <c r="E86" s="215" t="s">
        <v>771</v>
      </c>
      <c r="F86" s="209">
        <v>3117</v>
      </c>
      <c r="G86" s="208" t="s">
        <v>318</v>
      </c>
      <c r="H86" s="622" t="s">
        <v>284</v>
      </c>
      <c r="I86" s="495">
        <v>15900</v>
      </c>
      <c r="J86" s="623">
        <v>11340</v>
      </c>
      <c r="K86" s="623">
        <v>0</v>
      </c>
      <c r="L86" s="623">
        <v>0</v>
      </c>
      <c r="M86" s="496">
        <v>3833</v>
      </c>
      <c r="N86" s="496">
        <v>227</v>
      </c>
      <c r="O86" s="623">
        <v>500</v>
      </c>
      <c r="P86" s="412">
        <v>0.03</v>
      </c>
      <c r="Q86" s="497">
        <v>0.03</v>
      </c>
      <c r="R86" s="686">
        <v>0</v>
      </c>
      <c r="S86" s="499">
        <v>0</v>
      </c>
      <c r="T86" s="486">
        <v>0</v>
      </c>
      <c r="U86" s="486">
        <v>0</v>
      </c>
      <c r="V86" s="486">
        <f t="shared" si="177"/>
        <v>0</v>
      </c>
      <c r="W86" s="486">
        <v>0</v>
      </c>
      <c r="X86" s="486">
        <v>0</v>
      </c>
      <c r="Y86" s="486">
        <f t="shared" si="178"/>
        <v>0</v>
      </c>
      <c r="Z86" s="486">
        <f t="shared" si="179"/>
        <v>0</v>
      </c>
      <c r="AA86" s="178">
        <f t="shared" si="180"/>
        <v>0</v>
      </c>
      <c r="AB86" s="178">
        <f t="shared" si="181"/>
        <v>0</v>
      </c>
      <c r="AC86" s="486">
        <v>0</v>
      </c>
      <c r="AD86" s="486">
        <v>0</v>
      </c>
      <c r="AE86" s="486">
        <f t="shared" si="182"/>
        <v>0</v>
      </c>
      <c r="AF86" s="486">
        <f t="shared" si="183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184"/>
        <v>0</v>
      </c>
      <c r="AM86" s="501">
        <f t="shared" si="185"/>
        <v>0</v>
      </c>
      <c r="AN86" s="502">
        <f t="shared" si="186"/>
        <v>0</v>
      </c>
      <c r="AO86" s="499">
        <f t="shared" si="187"/>
        <v>15900</v>
      </c>
      <c r="AP86" s="486">
        <f t="shared" si="188"/>
        <v>11340</v>
      </c>
      <c r="AQ86" s="480">
        <f t="shared" si="189"/>
        <v>0</v>
      </c>
      <c r="AR86" s="480">
        <f t="shared" si="190"/>
        <v>0</v>
      </c>
      <c r="AS86" s="486">
        <f t="shared" si="191"/>
        <v>3833</v>
      </c>
      <c r="AT86" s="486">
        <f t="shared" si="191"/>
        <v>227</v>
      </c>
      <c r="AU86" s="486">
        <f t="shared" si="192"/>
        <v>500</v>
      </c>
      <c r="AV86" s="501">
        <f t="shared" si="193"/>
        <v>0.03</v>
      </c>
      <c r="AW86" s="501">
        <f t="shared" si="194"/>
        <v>0.03</v>
      </c>
      <c r="AX86" s="502">
        <f t="shared" si="194"/>
        <v>0</v>
      </c>
    </row>
    <row r="87" spans="1:50" s="210" customFormat="1" ht="14.1" customHeight="1" x14ac:dyDescent="0.2">
      <c r="A87" s="620">
        <v>12</v>
      </c>
      <c r="B87" s="208">
        <v>2467</v>
      </c>
      <c r="C87" s="621">
        <v>600079708</v>
      </c>
      <c r="D87" s="208">
        <v>71012303</v>
      </c>
      <c r="E87" s="208" t="s">
        <v>771</v>
      </c>
      <c r="F87" s="209">
        <v>3141</v>
      </c>
      <c r="G87" s="208" t="s">
        <v>321</v>
      </c>
      <c r="H87" s="622" t="s">
        <v>284</v>
      </c>
      <c r="I87" s="495">
        <v>473855</v>
      </c>
      <c r="J87" s="623">
        <v>347569</v>
      </c>
      <c r="K87" s="623">
        <v>0</v>
      </c>
      <c r="L87" s="623">
        <v>0</v>
      </c>
      <c r="M87" s="496">
        <v>117478</v>
      </c>
      <c r="N87" s="496">
        <v>6952</v>
      </c>
      <c r="O87" s="623">
        <v>1856</v>
      </c>
      <c r="P87" s="412">
        <v>1.18</v>
      </c>
      <c r="Q87" s="497">
        <v>0</v>
      </c>
      <c r="R87" s="686">
        <v>1.18</v>
      </c>
      <c r="S87" s="499">
        <v>0</v>
      </c>
      <c r="T87" s="486">
        <v>0</v>
      </c>
      <c r="U87" s="486">
        <v>0</v>
      </c>
      <c r="V87" s="486">
        <f t="shared" si="177"/>
        <v>0</v>
      </c>
      <c r="W87" s="486">
        <v>0</v>
      </c>
      <c r="X87" s="486">
        <v>0</v>
      </c>
      <c r="Y87" s="486">
        <f t="shared" si="178"/>
        <v>0</v>
      </c>
      <c r="Z87" s="486">
        <f t="shared" si="179"/>
        <v>0</v>
      </c>
      <c r="AA87" s="178">
        <f t="shared" si="180"/>
        <v>0</v>
      </c>
      <c r="AB87" s="178">
        <f t="shared" si="181"/>
        <v>0</v>
      </c>
      <c r="AC87" s="486">
        <v>0</v>
      </c>
      <c r="AD87" s="486">
        <v>0</v>
      </c>
      <c r="AE87" s="486">
        <f t="shared" si="182"/>
        <v>0</v>
      </c>
      <c r="AF87" s="486">
        <f t="shared" si="183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84"/>
        <v>0</v>
      </c>
      <c r="AM87" s="501">
        <f t="shared" si="185"/>
        <v>0</v>
      </c>
      <c r="AN87" s="502">
        <f t="shared" si="186"/>
        <v>0</v>
      </c>
      <c r="AO87" s="499">
        <f t="shared" si="187"/>
        <v>473855</v>
      </c>
      <c r="AP87" s="486">
        <f t="shared" si="188"/>
        <v>347569</v>
      </c>
      <c r="AQ87" s="480">
        <f t="shared" si="189"/>
        <v>0</v>
      </c>
      <c r="AR87" s="480">
        <f t="shared" si="190"/>
        <v>0</v>
      </c>
      <c r="AS87" s="486">
        <f t="shared" si="191"/>
        <v>117478</v>
      </c>
      <c r="AT87" s="486">
        <f t="shared" si="191"/>
        <v>6952</v>
      </c>
      <c r="AU87" s="486">
        <f t="shared" si="192"/>
        <v>1856</v>
      </c>
      <c r="AV87" s="501">
        <f t="shared" si="193"/>
        <v>1.18</v>
      </c>
      <c r="AW87" s="501">
        <f t="shared" si="194"/>
        <v>0</v>
      </c>
      <c r="AX87" s="502">
        <f t="shared" si="194"/>
        <v>1.18</v>
      </c>
    </row>
    <row r="88" spans="1:50" s="210" customFormat="1" ht="14.1" customHeight="1" x14ac:dyDescent="0.2">
      <c r="A88" s="620">
        <v>12</v>
      </c>
      <c r="B88" s="215">
        <v>2467</v>
      </c>
      <c r="C88" s="621">
        <v>600079708</v>
      </c>
      <c r="D88" s="208">
        <v>71012303</v>
      </c>
      <c r="E88" s="215" t="s">
        <v>771</v>
      </c>
      <c r="F88" s="209">
        <v>3143</v>
      </c>
      <c r="G88" s="208" t="s">
        <v>634</v>
      </c>
      <c r="H88" s="216" t="s">
        <v>283</v>
      </c>
      <c r="I88" s="495">
        <v>337358</v>
      </c>
      <c r="J88" s="411">
        <v>248423</v>
      </c>
      <c r="K88" s="411">
        <v>0</v>
      </c>
      <c r="L88" s="411">
        <v>0</v>
      </c>
      <c r="M88" s="496">
        <v>83967</v>
      </c>
      <c r="N88" s="496">
        <v>4968</v>
      </c>
      <c r="O88" s="623">
        <v>0</v>
      </c>
      <c r="P88" s="412">
        <v>0.6</v>
      </c>
      <c r="Q88" s="415">
        <v>0.6</v>
      </c>
      <c r="R88" s="686">
        <v>0</v>
      </c>
      <c r="S88" s="499">
        <v>0</v>
      </c>
      <c r="T88" s="486">
        <v>0</v>
      </c>
      <c r="U88" s="486">
        <v>0</v>
      </c>
      <c r="V88" s="486">
        <f t="shared" si="177"/>
        <v>0</v>
      </c>
      <c r="W88" s="486">
        <v>0</v>
      </c>
      <c r="X88" s="486">
        <v>0</v>
      </c>
      <c r="Y88" s="486">
        <f t="shared" si="178"/>
        <v>0</v>
      </c>
      <c r="Z88" s="486">
        <f t="shared" si="179"/>
        <v>0</v>
      </c>
      <c r="AA88" s="178">
        <f t="shared" si="180"/>
        <v>0</v>
      </c>
      <c r="AB88" s="178">
        <f t="shared" si="181"/>
        <v>0</v>
      </c>
      <c r="AC88" s="486">
        <v>0</v>
      </c>
      <c r="AD88" s="486">
        <v>0</v>
      </c>
      <c r="AE88" s="486">
        <f t="shared" si="182"/>
        <v>0</v>
      </c>
      <c r="AF88" s="486">
        <f t="shared" si="183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84"/>
        <v>0</v>
      </c>
      <c r="AM88" s="501">
        <f t="shared" si="185"/>
        <v>0</v>
      </c>
      <c r="AN88" s="502">
        <f t="shared" si="186"/>
        <v>0</v>
      </c>
      <c r="AO88" s="499">
        <f t="shared" si="187"/>
        <v>337358</v>
      </c>
      <c r="AP88" s="486">
        <f t="shared" si="188"/>
        <v>248423</v>
      </c>
      <c r="AQ88" s="480">
        <f t="shared" si="189"/>
        <v>0</v>
      </c>
      <c r="AR88" s="480">
        <f t="shared" si="190"/>
        <v>0</v>
      </c>
      <c r="AS88" s="486">
        <f t="shared" si="191"/>
        <v>83967</v>
      </c>
      <c r="AT88" s="486">
        <f t="shared" si="191"/>
        <v>4968</v>
      </c>
      <c r="AU88" s="486">
        <f t="shared" si="192"/>
        <v>0</v>
      </c>
      <c r="AV88" s="501">
        <f t="shared" si="193"/>
        <v>0.6</v>
      </c>
      <c r="AW88" s="501">
        <f t="shared" si="194"/>
        <v>0.6</v>
      </c>
      <c r="AX88" s="502">
        <f t="shared" si="194"/>
        <v>0</v>
      </c>
    </row>
    <row r="89" spans="1:50" s="210" customFormat="1" ht="14.1" customHeight="1" x14ac:dyDescent="0.2">
      <c r="A89" s="620">
        <v>12</v>
      </c>
      <c r="B89" s="215">
        <v>2467</v>
      </c>
      <c r="C89" s="621">
        <v>600079708</v>
      </c>
      <c r="D89" s="208">
        <v>71012303</v>
      </c>
      <c r="E89" s="215" t="s">
        <v>771</v>
      </c>
      <c r="F89" s="209">
        <v>3143</v>
      </c>
      <c r="G89" s="208" t="s">
        <v>635</v>
      </c>
      <c r="H89" s="216" t="s">
        <v>284</v>
      </c>
      <c r="I89" s="495">
        <v>9831</v>
      </c>
      <c r="J89" s="623">
        <v>6930</v>
      </c>
      <c r="K89" s="623">
        <v>0</v>
      </c>
      <c r="L89" s="623">
        <v>0</v>
      </c>
      <c r="M89" s="496">
        <v>2342</v>
      </c>
      <c r="N89" s="496">
        <v>139</v>
      </c>
      <c r="O89" s="623">
        <v>420</v>
      </c>
      <c r="P89" s="412">
        <v>0.03</v>
      </c>
      <c r="Q89" s="497">
        <v>0</v>
      </c>
      <c r="R89" s="686">
        <v>0.03</v>
      </c>
      <c r="S89" s="499">
        <v>0</v>
      </c>
      <c r="T89" s="486">
        <v>0</v>
      </c>
      <c r="U89" s="486">
        <v>0</v>
      </c>
      <c r="V89" s="486">
        <f t="shared" si="177"/>
        <v>0</v>
      </c>
      <c r="W89" s="486">
        <v>0</v>
      </c>
      <c r="X89" s="486">
        <v>0</v>
      </c>
      <c r="Y89" s="486">
        <f t="shared" si="178"/>
        <v>0</v>
      </c>
      <c r="Z89" s="486">
        <f t="shared" si="179"/>
        <v>0</v>
      </c>
      <c r="AA89" s="178">
        <f t="shared" si="180"/>
        <v>0</v>
      </c>
      <c r="AB89" s="178">
        <f t="shared" si="181"/>
        <v>0</v>
      </c>
      <c r="AC89" s="486">
        <v>0</v>
      </c>
      <c r="AD89" s="486">
        <v>0</v>
      </c>
      <c r="AE89" s="486">
        <f t="shared" si="182"/>
        <v>0</v>
      </c>
      <c r="AF89" s="486">
        <f t="shared" si="183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si="184"/>
        <v>0</v>
      </c>
      <c r="AM89" s="501">
        <f t="shared" si="185"/>
        <v>0</v>
      </c>
      <c r="AN89" s="502">
        <f t="shared" si="186"/>
        <v>0</v>
      </c>
      <c r="AO89" s="499">
        <f t="shared" si="187"/>
        <v>9831</v>
      </c>
      <c r="AP89" s="486">
        <f t="shared" si="188"/>
        <v>6930</v>
      </c>
      <c r="AQ89" s="480">
        <f t="shared" si="189"/>
        <v>0</v>
      </c>
      <c r="AR89" s="480">
        <f t="shared" si="190"/>
        <v>0</v>
      </c>
      <c r="AS89" s="486">
        <f t="shared" si="191"/>
        <v>2342</v>
      </c>
      <c r="AT89" s="486">
        <f t="shared" si="191"/>
        <v>139</v>
      </c>
      <c r="AU89" s="486">
        <f t="shared" si="192"/>
        <v>420</v>
      </c>
      <c r="AV89" s="501">
        <f t="shared" si="193"/>
        <v>0.03</v>
      </c>
      <c r="AW89" s="501">
        <f t="shared" si="194"/>
        <v>0</v>
      </c>
      <c r="AX89" s="502">
        <f t="shared" si="194"/>
        <v>0.03</v>
      </c>
    </row>
    <row r="90" spans="1:50" s="210" customFormat="1" ht="14.1" customHeight="1" x14ac:dyDescent="0.2">
      <c r="A90" s="235">
        <v>12</v>
      </c>
      <c r="B90" s="211">
        <v>2467</v>
      </c>
      <c r="C90" s="613">
        <v>600079708</v>
      </c>
      <c r="D90" s="211">
        <v>71012303</v>
      </c>
      <c r="E90" s="211" t="s">
        <v>772</v>
      </c>
      <c r="F90" s="219"/>
      <c r="G90" s="213"/>
      <c r="H90" s="214"/>
      <c r="I90" s="614">
        <v>4633575</v>
      </c>
      <c r="J90" s="615">
        <v>3355670</v>
      </c>
      <c r="K90" s="615">
        <v>14872</v>
      </c>
      <c r="L90" s="615">
        <v>2072</v>
      </c>
      <c r="M90" s="615">
        <v>1138542</v>
      </c>
      <c r="N90" s="615">
        <v>67115</v>
      </c>
      <c r="O90" s="615">
        <v>57376</v>
      </c>
      <c r="P90" s="616">
        <v>8.2190999999999992</v>
      </c>
      <c r="Q90" s="616">
        <v>5.0545</v>
      </c>
      <c r="R90" s="619">
        <v>3.1645999999999996</v>
      </c>
      <c r="S90" s="615">
        <f t="shared" ref="S90:AX90" si="195">SUM(S84:S89)</f>
        <v>0</v>
      </c>
      <c r="T90" s="617">
        <f t="shared" si="195"/>
        <v>0</v>
      </c>
      <c r="U90" s="617">
        <f t="shared" si="195"/>
        <v>0</v>
      </c>
      <c r="V90" s="617">
        <f t="shared" si="195"/>
        <v>0</v>
      </c>
      <c r="W90" s="617">
        <f t="shared" si="195"/>
        <v>0</v>
      </c>
      <c r="X90" s="617">
        <f t="shared" si="195"/>
        <v>0</v>
      </c>
      <c r="Y90" s="617">
        <f t="shared" si="195"/>
        <v>0</v>
      </c>
      <c r="Z90" s="617">
        <f t="shared" si="195"/>
        <v>0</v>
      </c>
      <c r="AA90" s="617">
        <f t="shared" si="195"/>
        <v>0</v>
      </c>
      <c r="AB90" s="617">
        <f t="shared" si="195"/>
        <v>0</v>
      </c>
      <c r="AC90" s="617">
        <f t="shared" si="195"/>
        <v>0</v>
      </c>
      <c r="AD90" s="617">
        <f t="shared" si="195"/>
        <v>0</v>
      </c>
      <c r="AE90" s="617">
        <f t="shared" si="195"/>
        <v>0</v>
      </c>
      <c r="AF90" s="617">
        <f t="shared" si="195"/>
        <v>0</v>
      </c>
      <c r="AG90" s="618">
        <f t="shared" si="195"/>
        <v>0</v>
      </c>
      <c r="AH90" s="618">
        <f t="shared" si="195"/>
        <v>0</v>
      </c>
      <c r="AI90" s="618">
        <f t="shared" si="195"/>
        <v>0</v>
      </c>
      <c r="AJ90" s="618">
        <f t="shared" si="195"/>
        <v>0</v>
      </c>
      <c r="AK90" s="618">
        <f t="shared" si="195"/>
        <v>0</v>
      </c>
      <c r="AL90" s="618">
        <f t="shared" si="195"/>
        <v>0</v>
      </c>
      <c r="AM90" s="618">
        <f t="shared" si="195"/>
        <v>0</v>
      </c>
      <c r="AN90" s="619">
        <f t="shared" si="195"/>
        <v>0</v>
      </c>
      <c r="AO90" s="615">
        <f t="shared" si="195"/>
        <v>4633575</v>
      </c>
      <c r="AP90" s="617">
        <f t="shared" si="195"/>
        <v>3355670</v>
      </c>
      <c r="AQ90" s="617">
        <f t="shared" si="195"/>
        <v>14872</v>
      </c>
      <c r="AR90" s="617">
        <f t="shared" si="195"/>
        <v>2072</v>
      </c>
      <c r="AS90" s="617">
        <f t="shared" si="195"/>
        <v>1138542</v>
      </c>
      <c r="AT90" s="617">
        <f t="shared" si="195"/>
        <v>67115</v>
      </c>
      <c r="AU90" s="617">
        <f t="shared" si="195"/>
        <v>57376</v>
      </c>
      <c r="AV90" s="618">
        <f t="shared" si="195"/>
        <v>8.2190999999999992</v>
      </c>
      <c r="AW90" s="618">
        <f t="shared" si="195"/>
        <v>5.0545</v>
      </c>
      <c r="AX90" s="619">
        <f t="shared" si="195"/>
        <v>3.1645999999999996</v>
      </c>
    </row>
    <row r="91" spans="1:50" s="210" customFormat="1" ht="14.1" customHeight="1" x14ac:dyDescent="0.2">
      <c r="A91" s="620">
        <v>13</v>
      </c>
      <c r="B91" s="215">
        <v>2408</v>
      </c>
      <c r="C91" s="621">
        <v>600079058</v>
      </c>
      <c r="D91" s="208">
        <v>72741511</v>
      </c>
      <c r="E91" s="208" t="s">
        <v>773</v>
      </c>
      <c r="F91" s="209">
        <v>3111</v>
      </c>
      <c r="G91" s="208" t="s">
        <v>317</v>
      </c>
      <c r="H91" s="622" t="s">
        <v>283</v>
      </c>
      <c r="I91" s="495">
        <v>1978024</v>
      </c>
      <c r="J91" s="411">
        <v>1433029</v>
      </c>
      <c r="K91" s="411">
        <v>15000</v>
      </c>
      <c r="L91" s="411">
        <v>0</v>
      </c>
      <c r="M91" s="496">
        <v>489434</v>
      </c>
      <c r="N91" s="496">
        <v>28661</v>
      </c>
      <c r="O91" s="623">
        <v>11900</v>
      </c>
      <c r="P91" s="412">
        <v>3.0758999999999999</v>
      </c>
      <c r="Q91" s="415">
        <v>2.371</v>
      </c>
      <c r="R91" s="685">
        <v>0.70489999999999997</v>
      </c>
      <c r="S91" s="499"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178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>SUM(AC91:AD91)</f>
        <v>0</v>
      </c>
      <c r="AF91" s="486">
        <f>Z91+AA91+AB91+AE91</f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ref="AL91:AL93" si="196">AG91+AI91+AJ91</f>
        <v>0</v>
      </c>
      <c r="AM91" s="501">
        <f t="shared" ref="AM91:AM93" si="197">AH91+AK91</f>
        <v>0</v>
      </c>
      <c r="AN91" s="502">
        <f>SUM(AL91:AM91)</f>
        <v>0</v>
      </c>
      <c r="AO91" s="499">
        <f>I91+AF91</f>
        <v>1978024</v>
      </c>
      <c r="AP91" s="486">
        <f>J91+V91</f>
        <v>1433029</v>
      </c>
      <c r="AQ91" s="480">
        <f>K91+Y91</f>
        <v>15000</v>
      </c>
      <c r="AR91" s="480">
        <f>L91</f>
        <v>0</v>
      </c>
      <c r="AS91" s="486">
        <f t="shared" ref="AS91:AT93" si="198">M91+AA91</f>
        <v>489434</v>
      </c>
      <c r="AT91" s="486">
        <f t="shared" si="198"/>
        <v>28661</v>
      </c>
      <c r="AU91" s="486">
        <f>O91+AE91</f>
        <v>11900</v>
      </c>
      <c r="AV91" s="501">
        <f>P91+AN91</f>
        <v>3.0758999999999999</v>
      </c>
      <c r="AW91" s="501">
        <f t="shared" ref="AW91:AX93" si="199">Q91+AL91</f>
        <v>2.371</v>
      </c>
      <c r="AX91" s="502">
        <f t="shared" si="199"/>
        <v>0.70489999999999997</v>
      </c>
    </row>
    <row r="92" spans="1:50" s="210" customFormat="1" ht="14.1" customHeight="1" x14ac:dyDescent="0.2">
      <c r="A92" s="620">
        <v>13</v>
      </c>
      <c r="B92" s="208">
        <v>2408</v>
      </c>
      <c r="C92" s="621">
        <v>600079058</v>
      </c>
      <c r="D92" s="208">
        <v>72741511</v>
      </c>
      <c r="E92" s="208" t="s">
        <v>773</v>
      </c>
      <c r="F92" s="209">
        <v>3111</v>
      </c>
      <c r="G92" s="208" t="s">
        <v>318</v>
      </c>
      <c r="H92" s="622" t="s">
        <v>284</v>
      </c>
      <c r="I92" s="495">
        <v>426748</v>
      </c>
      <c r="J92" s="623">
        <v>311302</v>
      </c>
      <c r="K92" s="623">
        <v>0</v>
      </c>
      <c r="L92" s="623">
        <v>0</v>
      </c>
      <c r="M92" s="496">
        <v>105220</v>
      </c>
      <c r="N92" s="496">
        <v>6226</v>
      </c>
      <c r="O92" s="623">
        <v>4000</v>
      </c>
      <c r="P92" s="412">
        <v>0.92</v>
      </c>
      <c r="Q92" s="497">
        <v>0.92</v>
      </c>
      <c r="R92" s="686">
        <v>0</v>
      </c>
      <c r="S92" s="499"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178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>SUM(AC92:AD92)</f>
        <v>0</v>
      </c>
      <c r="AF92" s="486">
        <f>Z92+AA92+AB92+AE92</f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96"/>
        <v>0</v>
      </c>
      <c r="AM92" s="501">
        <f t="shared" si="197"/>
        <v>0</v>
      </c>
      <c r="AN92" s="502">
        <f>SUM(AL92:AM92)</f>
        <v>0</v>
      </c>
      <c r="AO92" s="499">
        <f>I92+AF92</f>
        <v>426748</v>
      </c>
      <c r="AP92" s="486">
        <f>J92+V92</f>
        <v>311302</v>
      </c>
      <c r="AQ92" s="480">
        <f>K92+Y92</f>
        <v>0</v>
      </c>
      <c r="AR92" s="480">
        <f>L92</f>
        <v>0</v>
      </c>
      <c r="AS92" s="486">
        <f t="shared" si="198"/>
        <v>105220</v>
      </c>
      <c r="AT92" s="486">
        <f t="shared" si="198"/>
        <v>6226</v>
      </c>
      <c r="AU92" s="486">
        <f>O92+AE92</f>
        <v>4000</v>
      </c>
      <c r="AV92" s="501">
        <f>P92+AN92</f>
        <v>0.92</v>
      </c>
      <c r="AW92" s="501">
        <f t="shared" si="199"/>
        <v>0.92</v>
      </c>
      <c r="AX92" s="502">
        <f t="shared" si="199"/>
        <v>0</v>
      </c>
    </row>
    <row r="93" spans="1:50" s="210" customFormat="1" ht="14.1" customHeight="1" x14ac:dyDescent="0.2">
      <c r="A93" s="620">
        <v>13</v>
      </c>
      <c r="B93" s="208">
        <v>2408</v>
      </c>
      <c r="C93" s="621">
        <v>600079058</v>
      </c>
      <c r="D93" s="208">
        <v>72741511</v>
      </c>
      <c r="E93" s="208" t="s">
        <v>773</v>
      </c>
      <c r="F93" s="209">
        <v>3141</v>
      </c>
      <c r="G93" s="208" t="s">
        <v>321</v>
      </c>
      <c r="H93" s="622" t="s">
        <v>284</v>
      </c>
      <c r="I93" s="495">
        <v>519077</v>
      </c>
      <c r="J93" s="623">
        <v>380656</v>
      </c>
      <c r="K93" s="623">
        <v>0</v>
      </c>
      <c r="L93" s="623">
        <v>0</v>
      </c>
      <c r="M93" s="496">
        <v>128662</v>
      </c>
      <c r="N93" s="496">
        <v>7613</v>
      </c>
      <c r="O93" s="623">
        <v>2146</v>
      </c>
      <c r="P93" s="412">
        <v>1.3</v>
      </c>
      <c r="Q93" s="497">
        <v>0</v>
      </c>
      <c r="R93" s="686">
        <v>1.3</v>
      </c>
      <c r="S93" s="499">
        <v>0</v>
      </c>
      <c r="T93" s="486">
        <v>0</v>
      </c>
      <c r="U93" s="486">
        <v>0</v>
      </c>
      <c r="V93" s="486">
        <f>SUM(S93:U93)</f>
        <v>0</v>
      </c>
      <c r="W93" s="486">
        <v>0</v>
      </c>
      <c r="X93" s="486">
        <v>0</v>
      </c>
      <c r="Y93" s="486">
        <f>SUM(W93:X93)</f>
        <v>0</v>
      </c>
      <c r="Z93" s="486">
        <f>V93+Y93</f>
        <v>0</v>
      </c>
      <c r="AA93" s="178">
        <f>ROUND((V93+W93)*33.8%,0)</f>
        <v>0</v>
      </c>
      <c r="AB93" s="178">
        <f>ROUND(V93*2%,0)</f>
        <v>0</v>
      </c>
      <c r="AC93" s="486">
        <v>0</v>
      </c>
      <c r="AD93" s="486">
        <v>0</v>
      </c>
      <c r="AE93" s="486">
        <f>SUM(AC93:AD93)</f>
        <v>0</v>
      </c>
      <c r="AF93" s="486">
        <f>Z93+AA93+AB93+AE93</f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96"/>
        <v>0</v>
      </c>
      <c r="AM93" s="501">
        <f t="shared" si="197"/>
        <v>0</v>
      </c>
      <c r="AN93" s="502">
        <f>SUM(AL93:AM93)</f>
        <v>0</v>
      </c>
      <c r="AO93" s="499">
        <f>I93+AF93</f>
        <v>519077</v>
      </c>
      <c r="AP93" s="486">
        <f>J93+V93</f>
        <v>380656</v>
      </c>
      <c r="AQ93" s="480">
        <f>K93+Y93</f>
        <v>0</v>
      </c>
      <c r="AR93" s="480">
        <f>L93</f>
        <v>0</v>
      </c>
      <c r="AS93" s="486">
        <f t="shared" si="198"/>
        <v>128662</v>
      </c>
      <c r="AT93" s="486">
        <f t="shared" si="198"/>
        <v>7613</v>
      </c>
      <c r="AU93" s="486">
        <f>O93+AE93</f>
        <v>2146</v>
      </c>
      <c r="AV93" s="501">
        <f>P93+AN93</f>
        <v>1.3</v>
      </c>
      <c r="AW93" s="501">
        <f t="shared" si="199"/>
        <v>0</v>
      </c>
      <c r="AX93" s="502">
        <f t="shared" si="199"/>
        <v>1.3</v>
      </c>
    </row>
    <row r="94" spans="1:50" s="210" customFormat="1" ht="14.1" customHeight="1" x14ac:dyDescent="0.2">
      <c r="A94" s="235">
        <v>13</v>
      </c>
      <c r="B94" s="211">
        <v>2408</v>
      </c>
      <c r="C94" s="613">
        <v>600079058</v>
      </c>
      <c r="D94" s="211">
        <v>72741511</v>
      </c>
      <c r="E94" s="211" t="s">
        <v>774</v>
      </c>
      <c r="F94" s="212"/>
      <c r="G94" s="213"/>
      <c r="H94" s="214"/>
      <c r="I94" s="614">
        <v>2923849</v>
      </c>
      <c r="J94" s="615">
        <v>2124987</v>
      </c>
      <c r="K94" s="615">
        <v>15000</v>
      </c>
      <c r="L94" s="615">
        <v>0</v>
      </c>
      <c r="M94" s="615">
        <v>723316</v>
      </c>
      <c r="N94" s="615">
        <v>42500</v>
      </c>
      <c r="O94" s="615">
        <v>18046</v>
      </c>
      <c r="P94" s="616">
        <v>5.2958999999999996</v>
      </c>
      <c r="Q94" s="616">
        <v>3.2909999999999999</v>
      </c>
      <c r="R94" s="619">
        <v>2.0049000000000001</v>
      </c>
      <c r="S94" s="615">
        <f t="shared" ref="S94:AX94" si="200">SUM(S91:S93)</f>
        <v>0</v>
      </c>
      <c r="T94" s="617">
        <f t="shared" si="200"/>
        <v>0</v>
      </c>
      <c r="U94" s="617">
        <f t="shared" si="200"/>
        <v>0</v>
      </c>
      <c r="V94" s="617">
        <f t="shared" si="200"/>
        <v>0</v>
      </c>
      <c r="W94" s="617">
        <f t="shared" si="200"/>
        <v>0</v>
      </c>
      <c r="X94" s="617">
        <f t="shared" si="200"/>
        <v>0</v>
      </c>
      <c r="Y94" s="617">
        <f t="shared" si="200"/>
        <v>0</v>
      </c>
      <c r="Z94" s="617">
        <f t="shared" si="200"/>
        <v>0</v>
      </c>
      <c r="AA94" s="617">
        <f t="shared" si="200"/>
        <v>0</v>
      </c>
      <c r="AB94" s="617">
        <f t="shared" si="200"/>
        <v>0</v>
      </c>
      <c r="AC94" s="617">
        <f t="shared" si="200"/>
        <v>0</v>
      </c>
      <c r="AD94" s="617">
        <f t="shared" si="200"/>
        <v>0</v>
      </c>
      <c r="AE94" s="617">
        <f t="shared" si="200"/>
        <v>0</v>
      </c>
      <c r="AF94" s="617">
        <f t="shared" si="200"/>
        <v>0</v>
      </c>
      <c r="AG94" s="618">
        <f t="shared" si="200"/>
        <v>0</v>
      </c>
      <c r="AH94" s="618">
        <f t="shared" si="200"/>
        <v>0</v>
      </c>
      <c r="AI94" s="618">
        <f t="shared" si="200"/>
        <v>0</v>
      </c>
      <c r="AJ94" s="618">
        <f t="shared" si="200"/>
        <v>0</v>
      </c>
      <c r="AK94" s="618">
        <f t="shared" si="200"/>
        <v>0</v>
      </c>
      <c r="AL94" s="618">
        <f t="shared" si="200"/>
        <v>0</v>
      </c>
      <c r="AM94" s="618">
        <f t="shared" si="200"/>
        <v>0</v>
      </c>
      <c r="AN94" s="619">
        <f t="shared" si="200"/>
        <v>0</v>
      </c>
      <c r="AO94" s="615">
        <f t="shared" si="200"/>
        <v>2923849</v>
      </c>
      <c r="AP94" s="617">
        <f t="shared" si="200"/>
        <v>2124987</v>
      </c>
      <c r="AQ94" s="617">
        <f t="shared" si="200"/>
        <v>15000</v>
      </c>
      <c r="AR94" s="617">
        <f t="shared" si="200"/>
        <v>0</v>
      </c>
      <c r="AS94" s="617">
        <f t="shared" si="200"/>
        <v>723316</v>
      </c>
      <c r="AT94" s="617">
        <f t="shared" si="200"/>
        <v>42500</v>
      </c>
      <c r="AU94" s="617">
        <f t="shared" si="200"/>
        <v>18046</v>
      </c>
      <c r="AV94" s="618">
        <f t="shared" si="200"/>
        <v>5.2958999999999996</v>
      </c>
      <c r="AW94" s="618">
        <f t="shared" si="200"/>
        <v>3.2909999999999999</v>
      </c>
      <c r="AX94" s="619">
        <f t="shared" si="200"/>
        <v>2.0049000000000001</v>
      </c>
    </row>
    <row r="95" spans="1:50" s="210" customFormat="1" ht="14.1" customHeight="1" x14ac:dyDescent="0.2">
      <c r="A95" s="620">
        <v>14</v>
      </c>
      <c r="B95" s="208">
        <v>2304</v>
      </c>
      <c r="C95" s="621">
        <v>600080382</v>
      </c>
      <c r="D95" s="208">
        <v>72743417</v>
      </c>
      <c r="E95" s="208" t="s">
        <v>775</v>
      </c>
      <c r="F95" s="209">
        <v>3113</v>
      </c>
      <c r="G95" s="208" t="s">
        <v>320</v>
      </c>
      <c r="H95" s="622" t="s">
        <v>283</v>
      </c>
      <c r="I95" s="495">
        <v>4428809</v>
      </c>
      <c r="J95" s="328">
        <v>3195248</v>
      </c>
      <c r="K95" s="328">
        <v>16162</v>
      </c>
      <c r="L95" s="328">
        <v>16162</v>
      </c>
      <c r="M95" s="496">
        <v>1079994</v>
      </c>
      <c r="N95" s="496">
        <v>63905</v>
      </c>
      <c r="O95" s="328">
        <v>73500</v>
      </c>
      <c r="P95" s="412">
        <v>6.4465000000000003</v>
      </c>
      <c r="Q95" s="329">
        <v>4.8182</v>
      </c>
      <c r="R95" s="330">
        <v>1.6282999999999999</v>
      </c>
      <c r="S95" s="499">
        <v>0</v>
      </c>
      <c r="T95" s="486">
        <v>0</v>
      </c>
      <c r="U95" s="486">
        <v>0</v>
      </c>
      <c r="V95" s="486">
        <f>SUM(S95:U95)</f>
        <v>0</v>
      </c>
      <c r="W95" s="486">
        <v>0</v>
      </c>
      <c r="X95" s="486">
        <v>0</v>
      </c>
      <c r="Y95" s="486">
        <f>SUM(W95:X95)</f>
        <v>0</v>
      </c>
      <c r="Z95" s="486">
        <f>V95+Y95</f>
        <v>0</v>
      </c>
      <c r="AA95" s="178">
        <f>ROUND((V95+W95)*33.8%,0)</f>
        <v>0</v>
      </c>
      <c r="AB95" s="178">
        <f>ROUND(V95*2%,0)</f>
        <v>0</v>
      </c>
      <c r="AC95" s="486">
        <v>0</v>
      </c>
      <c r="AD95" s="486">
        <v>0</v>
      </c>
      <c r="AE95" s="486">
        <f>SUM(AC95:AD95)</f>
        <v>0</v>
      </c>
      <c r="AF95" s="486">
        <f>Z95+AA95+AB95+AE95</f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ref="AL95:AL99" si="201">AG95+AI95+AJ95</f>
        <v>0</v>
      </c>
      <c r="AM95" s="501">
        <f t="shared" ref="AM95:AM99" si="202">AH95+AK95</f>
        <v>0</v>
      </c>
      <c r="AN95" s="502">
        <f>SUM(AL95:AM95)</f>
        <v>0</v>
      </c>
      <c r="AO95" s="499">
        <f>I95+AF95</f>
        <v>4428809</v>
      </c>
      <c r="AP95" s="486">
        <f>J95+V95</f>
        <v>3195248</v>
      </c>
      <c r="AQ95" s="480">
        <f>K95+Y95</f>
        <v>16162</v>
      </c>
      <c r="AR95" s="480">
        <f>L95</f>
        <v>16162</v>
      </c>
      <c r="AS95" s="486">
        <f t="shared" ref="AS95:AT99" si="203">M95+AA95</f>
        <v>1079994</v>
      </c>
      <c r="AT95" s="486">
        <f t="shared" si="203"/>
        <v>63905</v>
      </c>
      <c r="AU95" s="486">
        <f>O95+AE95</f>
        <v>73500</v>
      </c>
      <c r="AV95" s="501">
        <f>P95+AN95</f>
        <v>6.4465000000000003</v>
      </c>
      <c r="AW95" s="501">
        <f t="shared" ref="AW95:AX99" si="204">Q95+AL95</f>
        <v>4.8182</v>
      </c>
      <c r="AX95" s="502">
        <f t="shared" si="204"/>
        <v>1.6282999999999999</v>
      </c>
    </row>
    <row r="96" spans="1:50" s="210" customFormat="1" ht="14.1" customHeight="1" x14ac:dyDescent="0.2">
      <c r="A96" s="620">
        <v>14</v>
      </c>
      <c r="B96" s="208">
        <v>2304</v>
      </c>
      <c r="C96" s="621">
        <v>600080382</v>
      </c>
      <c r="D96" s="208">
        <v>72743417</v>
      </c>
      <c r="E96" s="208" t="s">
        <v>775</v>
      </c>
      <c r="F96" s="209">
        <v>3113</v>
      </c>
      <c r="G96" s="503" t="s">
        <v>319</v>
      </c>
      <c r="H96" s="622" t="s">
        <v>283</v>
      </c>
      <c r="I96" s="495">
        <v>832431</v>
      </c>
      <c r="J96" s="411">
        <v>612983</v>
      </c>
      <c r="K96" s="411">
        <v>0</v>
      </c>
      <c r="L96" s="411">
        <v>0</v>
      </c>
      <c r="M96" s="496">
        <v>207188</v>
      </c>
      <c r="N96" s="496">
        <v>12260</v>
      </c>
      <c r="O96" s="623">
        <v>0</v>
      </c>
      <c r="P96" s="412">
        <v>1.7222</v>
      </c>
      <c r="Q96" s="415">
        <v>1.7222</v>
      </c>
      <c r="R96" s="686">
        <v>0</v>
      </c>
      <c r="S96" s="499"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178">
        <f>ROUND((V96+W96)*33.8%,0)</f>
        <v>0</v>
      </c>
      <c r="AB96" s="178">
        <f>ROUND(V96*2%,0)</f>
        <v>0</v>
      </c>
      <c r="AC96" s="486">
        <v>0</v>
      </c>
      <c r="AD96" s="486">
        <v>0</v>
      </c>
      <c r="AE96" s="486">
        <f>SUM(AC96:AD96)</f>
        <v>0</v>
      </c>
      <c r="AF96" s="486">
        <f>Z96+AA96+AB96+AE96</f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201"/>
        <v>0</v>
      </c>
      <c r="AM96" s="501">
        <f t="shared" si="202"/>
        <v>0</v>
      </c>
      <c r="AN96" s="502">
        <f>SUM(AL96:AM96)</f>
        <v>0</v>
      </c>
      <c r="AO96" s="499">
        <f>I96+AF96</f>
        <v>832431</v>
      </c>
      <c r="AP96" s="486">
        <f>J96+V96</f>
        <v>612983</v>
      </c>
      <c r="AQ96" s="480">
        <f>K96+Y96</f>
        <v>0</v>
      </c>
      <c r="AR96" s="480">
        <f>L96</f>
        <v>0</v>
      </c>
      <c r="AS96" s="486">
        <f t="shared" si="203"/>
        <v>207188</v>
      </c>
      <c r="AT96" s="486">
        <f t="shared" si="203"/>
        <v>12260</v>
      </c>
      <c r="AU96" s="486">
        <f>O96+AE96</f>
        <v>0</v>
      </c>
      <c r="AV96" s="501">
        <f>P96+AN96</f>
        <v>1.7222</v>
      </c>
      <c r="AW96" s="501">
        <f t="shared" si="204"/>
        <v>1.7222</v>
      </c>
      <c r="AX96" s="502">
        <f t="shared" si="204"/>
        <v>0</v>
      </c>
    </row>
    <row r="97" spans="1:50" s="210" customFormat="1" ht="14.1" customHeight="1" x14ac:dyDescent="0.2">
      <c r="A97" s="620">
        <v>14</v>
      </c>
      <c r="B97" s="208">
        <v>2304</v>
      </c>
      <c r="C97" s="621">
        <v>600080382</v>
      </c>
      <c r="D97" s="208">
        <v>72743417</v>
      </c>
      <c r="E97" s="208" t="s">
        <v>775</v>
      </c>
      <c r="F97" s="209">
        <v>3113</v>
      </c>
      <c r="G97" s="208" t="s">
        <v>318</v>
      </c>
      <c r="H97" s="622" t="s">
        <v>284</v>
      </c>
      <c r="I97" s="495">
        <v>551720</v>
      </c>
      <c r="J97" s="623">
        <v>403145</v>
      </c>
      <c r="K97" s="623">
        <v>0</v>
      </c>
      <c r="L97" s="623">
        <v>0</v>
      </c>
      <c r="M97" s="496">
        <v>136263</v>
      </c>
      <c r="N97" s="496">
        <v>8062</v>
      </c>
      <c r="O97" s="623">
        <v>4250</v>
      </c>
      <c r="P97" s="412">
        <v>1.18</v>
      </c>
      <c r="Q97" s="497">
        <v>1.18</v>
      </c>
      <c r="R97" s="686">
        <v>0</v>
      </c>
      <c r="S97" s="499">
        <v>0</v>
      </c>
      <c r="T97" s="486">
        <v>0</v>
      </c>
      <c r="U97" s="486">
        <v>0</v>
      </c>
      <c r="V97" s="486">
        <f>SUM(S97:U97)</f>
        <v>0</v>
      </c>
      <c r="W97" s="486">
        <v>0</v>
      </c>
      <c r="X97" s="486">
        <v>0</v>
      </c>
      <c r="Y97" s="486">
        <f>SUM(W97:X97)</f>
        <v>0</v>
      </c>
      <c r="Z97" s="486">
        <f>V97+Y97</f>
        <v>0</v>
      </c>
      <c r="AA97" s="178">
        <f>ROUND((V97+W97)*33.8%,0)</f>
        <v>0</v>
      </c>
      <c r="AB97" s="178">
        <f>ROUND(V97*2%,0)</f>
        <v>0</v>
      </c>
      <c r="AC97" s="486">
        <v>0</v>
      </c>
      <c r="AD97" s="486">
        <v>0</v>
      </c>
      <c r="AE97" s="486">
        <f>SUM(AC97:AD97)</f>
        <v>0</v>
      </c>
      <c r="AF97" s="486">
        <f>Z97+AA97+AB97+AE97</f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201"/>
        <v>0</v>
      </c>
      <c r="AM97" s="501">
        <f t="shared" si="202"/>
        <v>0</v>
      </c>
      <c r="AN97" s="502">
        <f>SUM(AL97:AM97)</f>
        <v>0</v>
      </c>
      <c r="AO97" s="499">
        <f>I97+AF97</f>
        <v>551720</v>
      </c>
      <c r="AP97" s="486">
        <f>J97+V97</f>
        <v>403145</v>
      </c>
      <c r="AQ97" s="480">
        <f>K97+Y97</f>
        <v>0</v>
      </c>
      <c r="AR97" s="480">
        <f>L97</f>
        <v>0</v>
      </c>
      <c r="AS97" s="486">
        <f t="shared" si="203"/>
        <v>136263</v>
      </c>
      <c r="AT97" s="486">
        <f t="shared" si="203"/>
        <v>8062</v>
      </c>
      <c r="AU97" s="486">
        <f>O97+AE97</f>
        <v>4250</v>
      </c>
      <c r="AV97" s="501">
        <f>P97+AN97</f>
        <v>1.18</v>
      </c>
      <c r="AW97" s="501">
        <f t="shared" si="204"/>
        <v>1.18</v>
      </c>
      <c r="AX97" s="502">
        <f t="shared" si="204"/>
        <v>0</v>
      </c>
    </row>
    <row r="98" spans="1:50" s="210" customFormat="1" ht="14.1" customHeight="1" x14ac:dyDescent="0.2">
      <c r="A98" s="620">
        <v>14</v>
      </c>
      <c r="B98" s="208">
        <v>2304</v>
      </c>
      <c r="C98" s="621">
        <v>600080382</v>
      </c>
      <c r="D98" s="208">
        <v>72743417</v>
      </c>
      <c r="E98" s="208" t="s">
        <v>775</v>
      </c>
      <c r="F98" s="209">
        <v>3143</v>
      </c>
      <c r="G98" s="208" t="s">
        <v>634</v>
      </c>
      <c r="H98" s="622" t="s">
        <v>283</v>
      </c>
      <c r="I98" s="495">
        <v>274877</v>
      </c>
      <c r="J98" s="411">
        <v>202413</v>
      </c>
      <c r="K98" s="411">
        <v>0</v>
      </c>
      <c r="L98" s="411">
        <v>0</v>
      </c>
      <c r="M98" s="496">
        <v>68416</v>
      </c>
      <c r="N98" s="496">
        <v>4048</v>
      </c>
      <c r="O98" s="623">
        <v>0</v>
      </c>
      <c r="P98" s="412">
        <v>0.5</v>
      </c>
      <c r="Q98" s="415">
        <v>0.5</v>
      </c>
      <c r="R98" s="686">
        <v>0</v>
      </c>
      <c r="S98" s="499">
        <v>0</v>
      </c>
      <c r="T98" s="486">
        <v>0</v>
      </c>
      <c r="U98" s="486">
        <v>0</v>
      </c>
      <c r="V98" s="486">
        <f>SUM(S98:U98)</f>
        <v>0</v>
      </c>
      <c r="W98" s="486">
        <v>0</v>
      </c>
      <c r="X98" s="486">
        <v>0</v>
      </c>
      <c r="Y98" s="486">
        <f>SUM(W98:X98)</f>
        <v>0</v>
      </c>
      <c r="Z98" s="486">
        <f>V98+Y98</f>
        <v>0</v>
      </c>
      <c r="AA98" s="178">
        <f>ROUND((V98+W98)*33.8%,0)</f>
        <v>0</v>
      </c>
      <c r="AB98" s="178">
        <f>ROUND(V98*2%,0)</f>
        <v>0</v>
      </c>
      <c r="AC98" s="486">
        <v>0</v>
      </c>
      <c r="AD98" s="486">
        <v>0</v>
      </c>
      <c r="AE98" s="486">
        <f>SUM(AC98:AD98)</f>
        <v>0</v>
      </c>
      <c r="AF98" s="486">
        <f>Z98+AA98+AB98+AE98</f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si="201"/>
        <v>0</v>
      </c>
      <c r="AM98" s="501">
        <f t="shared" si="202"/>
        <v>0</v>
      </c>
      <c r="AN98" s="502">
        <f>SUM(AL98:AM98)</f>
        <v>0</v>
      </c>
      <c r="AO98" s="499">
        <f>I98+AF98</f>
        <v>274877</v>
      </c>
      <c r="AP98" s="486">
        <f>J98+V98</f>
        <v>202413</v>
      </c>
      <c r="AQ98" s="480">
        <f>K98+Y98</f>
        <v>0</v>
      </c>
      <c r="AR98" s="480">
        <f>L98</f>
        <v>0</v>
      </c>
      <c r="AS98" s="486">
        <f t="shared" si="203"/>
        <v>68416</v>
      </c>
      <c r="AT98" s="486">
        <f t="shared" si="203"/>
        <v>4048</v>
      </c>
      <c r="AU98" s="486">
        <f>O98+AE98</f>
        <v>0</v>
      </c>
      <c r="AV98" s="501">
        <f>P98+AN98</f>
        <v>0.5</v>
      </c>
      <c r="AW98" s="501">
        <f t="shared" si="204"/>
        <v>0.5</v>
      </c>
      <c r="AX98" s="502">
        <f t="shared" si="204"/>
        <v>0</v>
      </c>
    </row>
    <row r="99" spans="1:50" s="210" customFormat="1" ht="14.1" customHeight="1" x14ac:dyDescent="0.2">
      <c r="A99" s="620">
        <v>14</v>
      </c>
      <c r="B99" s="208">
        <v>2304</v>
      </c>
      <c r="C99" s="621">
        <v>600080382</v>
      </c>
      <c r="D99" s="208">
        <v>72743417</v>
      </c>
      <c r="E99" s="208" t="s">
        <v>775</v>
      </c>
      <c r="F99" s="209">
        <v>3143</v>
      </c>
      <c r="G99" s="208" t="s">
        <v>635</v>
      </c>
      <c r="H99" s="216" t="s">
        <v>284</v>
      </c>
      <c r="I99" s="495">
        <v>7022</v>
      </c>
      <c r="J99" s="411">
        <v>4950</v>
      </c>
      <c r="K99" s="411">
        <v>0</v>
      </c>
      <c r="L99" s="411">
        <v>0</v>
      </c>
      <c r="M99" s="496">
        <v>1673</v>
      </c>
      <c r="N99" s="496">
        <v>99</v>
      </c>
      <c r="O99" s="623">
        <v>300</v>
      </c>
      <c r="P99" s="412">
        <v>0.02</v>
      </c>
      <c r="Q99" s="415">
        <v>0</v>
      </c>
      <c r="R99" s="686">
        <v>0.02</v>
      </c>
      <c r="S99" s="499">
        <v>0</v>
      </c>
      <c r="T99" s="486">
        <v>0</v>
      </c>
      <c r="U99" s="486">
        <v>0</v>
      </c>
      <c r="V99" s="486">
        <f>SUM(S99:U99)</f>
        <v>0</v>
      </c>
      <c r="W99" s="486">
        <v>0</v>
      </c>
      <c r="X99" s="486">
        <v>0</v>
      </c>
      <c r="Y99" s="486">
        <f>SUM(W99:X99)</f>
        <v>0</v>
      </c>
      <c r="Z99" s="486">
        <f>V99+Y99</f>
        <v>0</v>
      </c>
      <c r="AA99" s="178">
        <f>ROUND((V99+W99)*33.8%,0)</f>
        <v>0</v>
      </c>
      <c r="AB99" s="178">
        <f>ROUND(V99*2%,0)</f>
        <v>0</v>
      </c>
      <c r="AC99" s="486">
        <v>0</v>
      </c>
      <c r="AD99" s="486">
        <v>0</v>
      </c>
      <c r="AE99" s="486">
        <f>SUM(AC99:AD99)</f>
        <v>0</v>
      </c>
      <c r="AF99" s="486">
        <f>Z99+AA99+AB99+AE99</f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si="201"/>
        <v>0</v>
      </c>
      <c r="AM99" s="501">
        <f t="shared" si="202"/>
        <v>0</v>
      </c>
      <c r="AN99" s="502">
        <f>SUM(AL99:AM99)</f>
        <v>0</v>
      </c>
      <c r="AO99" s="499">
        <f>I99+AF99</f>
        <v>7022</v>
      </c>
      <c r="AP99" s="486">
        <f>J99+V99</f>
        <v>4950</v>
      </c>
      <c r="AQ99" s="480">
        <f>K99+Y99</f>
        <v>0</v>
      </c>
      <c r="AR99" s="480">
        <f>L99</f>
        <v>0</v>
      </c>
      <c r="AS99" s="486">
        <f t="shared" si="203"/>
        <v>1673</v>
      </c>
      <c r="AT99" s="486">
        <f t="shared" si="203"/>
        <v>99</v>
      </c>
      <c r="AU99" s="486">
        <f>O99+AE99</f>
        <v>300</v>
      </c>
      <c r="AV99" s="501">
        <f>P99+AN99</f>
        <v>0.02</v>
      </c>
      <c r="AW99" s="501">
        <f t="shared" si="204"/>
        <v>0</v>
      </c>
      <c r="AX99" s="502">
        <f t="shared" si="204"/>
        <v>0.02</v>
      </c>
    </row>
    <row r="100" spans="1:50" s="210" customFormat="1" ht="14.1" customHeight="1" x14ac:dyDescent="0.2">
      <c r="A100" s="235">
        <v>14</v>
      </c>
      <c r="B100" s="211">
        <v>2304</v>
      </c>
      <c r="C100" s="613">
        <v>600080382</v>
      </c>
      <c r="D100" s="211">
        <v>72743417</v>
      </c>
      <c r="E100" s="211" t="s">
        <v>776</v>
      </c>
      <c r="F100" s="212"/>
      <c r="G100" s="213"/>
      <c r="H100" s="214"/>
      <c r="I100" s="614">
        <v>6094859</v>
      </c>
      <c r="J100" s="617">
        <v>4418739</v>
      </c>
      <c r="K100" s="617">
        <v>16162</v>
      </c>
      <c r="L100" s="617">
        <v>16162</v>
      </c>
      <c r="M100" s="617">
        <v>1493534</v>
      </c>
      <c r="N100" s="617">
        <v>88374</v>
      </c>
      <c r="O100" s="617">
        <v>78050</v>
      </c>
      <c r="P100" s="618">
        <v>9.8687000000000005</v>
      </c>
      <c r="Q100" s="618">
        <v>8.2203999999999997</v>
      </c>
      <c r="R100" s="619">
        <v>1.6482999999999999</v>
      </c>
      <c r="S100" s="615">
        <f t="shared" ref="S100:AX100" si="205">SUM(S95:S99)</f>
        <v>0</v>
      </c>
      <c r="T100" s="617">
        <f t="shared" si="205"/>
        <v>0</v>
      </c>
      <c r="U100" s="617">
        <f t="shared" si="205"/>
        <v>0</v>
      </c>
      <c r="V100" s="617">
        <f t="shared" si="205"/>
        <v>0</v>
      </c>
      <c r="W100" s="617">
        <f t="shared" si="205"/>
        <v>0</v>
      </c>
      <c r="X100" s="617">
        <f t="shared" si="205"/>
        <v>0</v>
      </c>
      <c r="Y100" s="617">
        <f t="shared" si="205"/>
        <v>0</v>
      </c>
      <c r="Z100" s="617">
        <f t="shared" si="205"/>
        <v>0</v>
      </c>
      <c r="AA100" s="617">
        <f t="shared" si="205"/>
        <v>0</v>
      </c>
      <c r="AB100" s="617">
        <f t="shared" si="205"/>
        <v>0</v>
      </c>
      <c r="AC100" s="617">
        <f t="shared" si="205"/>
        <v>0</v>
      </c>
      <c r="AD100" s="617">
        <f t="shared" si="205"/>
        <v>0</v>
      </c>
      <c r="AE100" s="617">
        <f t="shared" si="205"/>
        <v>0</v>
      </c>
      <c r="AF100" s="617">
        <f t="shared" si="205"/>
        <v>0</v>
      </c>
      <c r="AG100" s="618">
        <f t="shared" si="205"/>
        <v>0</v>
      </c>
      <c r="AH100" s="618">
        <f t="shared" si="205"/>
        <v>0</v>
      </c>
      <c r="AI100" s="618">
        <f t="shared" si="205"/>
        <v>0</v>
      </c>
      <c r="AJ100" s="618">
        <f t="shared" si="205"/>
        <v>0</v>
      </c>
      <c r="AK100" s="618">
        <f t="shared" si="205"/>
        <v>0</v>
      </c>
      <c r="AL100" s="618">
        <f t="shared" si="205"/>
        <v>0</v>
      </c>
      <c r="AM100" s="618">
        <f t="shared" si="205"/>
        <v>0</v>
      </c>
      <c r="AN100" s="619">
        <f t="shared" si="205"/>
        <v>0</v>
      </c>
      <c r="AO100" s="615">
        <f t="shared" si="205"/>
        <v>6094859</v>
      </c>
      <c r="AP100" s="617">
        <f t="shared" si="205"/>
        <v>4418739</v>
      </c>
      <c r="AQ100" s="617">
        <f t="shared" si="205"/>
        <v>16162</v>
      </c>
      <c r="AR100" s="617">
        <f t="shared" si="205"/>
        <v>16162</v>
      </c>
      <c r="AS100" s="617">
        <f t="shared" si="205"/>
        <v>1493534</v>
      </c>
      <c r="AT100" s="617">
        <f t="shared" si="205"/>
        <v>88374</v>
      </c>
      <c r="AU100" s="617">
        <f t="shared" si="205"/>
        <v>78050</v>
      </c>
      <c r="AV100" s="618">
        <f t="shared" si="205"/>
        <v>9.8687000000000005</v>
      </c>
      <c r="AW100" s="618">
        <f t="shared" si="205"/>
        <v>8.2203999999999997</v>
      </c>
      <c r="AX100" s="619">
        <f t="shared" si="205"/>
        <v>1.6482999999999999</v>
      </c>
    </row>
    <row r="101" spans="1:50" s="210" customFormat="1" ht="14.1" customHeight="1" x14ac:dyDescent="0.2">
      <c r="A101" s="620">
        <v>15</v>
      </c>
      <c r="B101" s="215">
        <v>2438</v>
      </c>
      <c r="C101" s="621">
        <v>600079384</v>
      </c>
      <c r="D101" s="208">
        <v>72741911</v>
      </c>
      <c r="E101" s="208" t="s">
        <v>777</v>
      </c>
      <c r="F101" s="209">
        <v>3111</v>
      </c>
      <c r="G101" s="208" t="s">
        <v>317</v>
      </c>
      <c r="H101" s="622" t="s">
        <v>283</v>
      </c>
      <c r="I101" s="495">
        <v>7752295</v>
      </c>
      <c r="J101" s="411">
        <v>5461829</v>
      </c>
      <c r="K101" s="411">
        <v>85000</v>
      </c>
      <c r="L101" s="411">
        <v>0</v>
      </c>
      <c r="M101" s="496">
        <v>1874829</v>
      </c>
      <c r="N101" s="496">
        <v>109237</v>
      </c>
      <c r="O101" s="623">
        <v>221400</v>
      </c>
      <c r="P101" s="412">
        <v>13.587100000000001</v>
      </c>
      <c r="Q101" s="415">
        <v>10.354900000000001</v>
      </c>
      <c r="R101" s="685">
        <v>3.2322000000000002</v>
      </c>
      <c r="S101" s="499">
        <v>0</v>
      </c>
      <c r="T101" s="486">
        <v>0</v>
      </c>
      <c r="U101" s="486">
        <v>0</v>
      </c>
      <c r="V101" s="486">
        <f>SUM(S101:U101)</f>
        <v>0</v>
      </c>
      <c r="W101" s="486">
        <v>0</v>
      </c>
      <c r="X101" s="486">
        <v>0</v>
      </c>
      <c r="Y101" s="486">
        <f>SUM(W101:X101)</f>
        <v>0</v>
      </c>
      <c r="Z101" s="486">
        <f>V101+Y101</f>
        <v>0</v>
      </c>
      <c r="AA101" s="178">
        <f>ROUND((V101+W101)*33.8%,0)</f>
        <v>0</v>
      </c>
      <c r="AB101" s="178">
        <f>ROUND(V101*2%,0)</f>
        <v>0</v>
      </c>
      <c r="AC101" s="486">
        <v>0</v>
      </c>
      <c r="AD101" s="486">
        <v>0</v>
      </c>
      <c r="AE101" s="486">
        <f>SUM(AC101:AD101)</f>
        <v>0</v>
      </c>
      <c r="AF101" s="486">
        <f>Z101+AA101+AB101+AE101</f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ref="AL101:AL103" si="206">AG101+AI101+AJ101</f>
        <v>0</v>
      </c>
      <c r="AM101" s="501">
        <f t="shared" ref="AM101:AM103" si="207">AH101+AK101</f>
        <v>0</v>
      </c>
      <c r="AN101" s="502">
        <f>SUM(AL101:AM101)</f>
        <v>0</v>
      </c>
      <c r="AO101" s="499">
        <f>I101+AF101</f>
        <v>7752295</v>
      </c>
      <c r="AP101" s="486">
        <f>J101+V101</f>
        <v>5461829</v>
      </c>
      <c r="AQ101" s="480">
        <f>K101+Y101</f>
        <v>85000</v>
      </c>
      <c r="AR101" s="480">
        <f>L101</f>
        <v>0</v>
      </c>
      <c r="AS101" s="486">
        <f t="shared" ref="AS101:AT103" si="208">M101+AA101</f>
        <v>1874829</v>
      </c>
      <c r="AT101" s="486">
        <f t="shared" si="208"/>
        <v>109237</v>
      </c>
      <c r="AU101" s="486">
        <f>O101+AE101</f>
        <v>221400</v>
      </c>
      <c r="AV101" s="501">
        <f>P101+AN101</f>
        <v>13.587100000000001</v>
      </c>
      <c r="AW101" s="501">
        <f t="shared" ref="AW101:AX103" si="209">Q101+AL101</f>
        <v>10.354900000000001</v>
      </c>
      <c r="AX101" s="502">
        <f t="shared" si="209"/>
        <v>3.2322000000000002</v>
      </c>
    </row>
    <row r="102" spans="1:50" s="210" customFormat="1" ht="14.1" customHeight="1" x14ac:dyDescent="0.2">
      <c r="A102" s="620">
        <v>15</v>
      </c>
      <c r="B102" s="208">
        <v>2438</v>
      </c>
      <c r="C102" s="621">
        <v>600079384</v>
      </c>
      <c r="D102" s="208">
        <v>72741911</v>
      </c>
      <c r="E102" s="208" t="s">
        <v>777</v>
      </c>
      <c r="F102" s="209">
        <v>3111</v>
      </c>
      <c r="G102" s="208" t="s">
        <v>318</v>
      </c>
      <c r="H102" s="622" t="s">
        <v>284</v>
      </c>
      <c r="I102" s="495">
        <v>1889943</v>
      </c>
      <c r="J102" s="623">
        <v>1391710</v>
      </c>
      <c r="K102" s="623">
        <v>0</v>
      </c>
      <c r="L102" s="623">
        <v>0</v>
      </c>
      <c r="M102" s="496">
        <v>470398</v>
      </c>
      <c r="N102" s="496">
        <v>27835</v>
      </c>
      <c r="O102" s="623">
        <v>0</v>
      </c>
      <c r="P102" s="412">
        <v>4.3499999999999996</v>
      </c>
      <c r="Q102" s="497">
        <v>4.3499999999999996</v>
      </c>
      <c r="R102" s="686">
        <v>0</v>
      </c>
      <c r="S102" s="499">
        <v>0</v>
      </c>
      <c r="T102" s="486">
        <v>0</v>
      </c>
      <c r="U102" s="486">
        <v>0</v>
      </c>
      <c r="V102" s="486">
        <f>SUM(S102:U102)</f>
        <v>0</v>
      </c>
      <c r="W102" s="486">
        <v>0</v>
      </c>
      <c r="X102" s="486">
        <v>0</v>
      </c>
      <c r="Y102" s="486">
        <f>SUM(W102:X102)</f>
        <v>0</v>
      </c>
      <c r="Z102" s="486">
        <f>V102+Y102</f>
        <v>0</v>
      </c>
      <c r="AA102" s="178">
        <f>ROUND((V102+W102)*33.8%,0)</f>
        <v>0</v>
      </c>
      <c r="AB102" s="178">
        <f>ROUND(V102*2%,0)</f>
        <v>0</v>
      </c>
      <c r="AC102" s="486">
        <v>0</v>
      </c>
      <c r="AD102" s="486">
        <v>0</v>
      </c>
      <c r="AE102" s="486">
        <f>SUM(AC102:AD102)</f>
        <v>0</v>
      </c>
      <c r="AF102" s="486">
        <f>Z102+AA102+AB102+AE102</f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206"/>
        <v>0</v>
      </c>
      <c r="AM102" s="501">
        <f t="shared" si="207"/>
        <v>0</v>
      </c>
      <c r="AN102" s="502">
        <f>SUM(AL102:AM102)</f>
        <v>0</v>
      </c>
      <c r="AO102" s="499">
        <f>I102+AF102</f>
        <v>1889943</v>
      </c>
      <c r="AP102" s="486">
        <f>J102+V102</f>
        <v>1391710</v>
      </c>
      <c r="AQ102" s="480">
        <f>K102+Y102</f>
        <v>0</v>
      </c>
      <c r="AR102" s="480">
        <f>L102</f>
        <v>0</v>
      </c>
      <c r="AS102" s="486">
        <f t="shared" si="208"/>
        <v>470398</v>
      </c>
      <c r="AT102" s="486">
        <f t="shared" si="208"/>
        <v>27835</v>
      </c>
      <c r="AU102" s="486">
        <f>O102+AE102</f>
        <v>0</v>
      </c>
      <c r="AV102" s="501">
        <f>P102+AN102</f>
        <v>4.3499999999999996</v>
      </c>
      <c r="AW102" s="501">
        <f t="shared" si="209"/>
        <v>4.3499999999999996</v>
      </c>
      <c r="AX102" s="502">
        <f t="shared" si="209"/>
        <v>0</v>
      </c>
    </row>
    <row r="103" spans="1:50" s="210" customFormat="1" ht="14.1" customHeight="1" x14ac:dyDescent="0.2">
      <c r="A103" s="620">
        <v>15</v>
      </c>
      <c r="B103" s="208">
        <v>2438</v>
      </c>
      <c r="C103" s="621">
        <v>600079384</v>
      </c>
      <c r="D103" s="208">
        <v>72741911</v>
      </c>
      <c r="E103" s="208" t="s">
        <v>777</v>
      </c>
      <c r="F103" s="209">
        <v>3141</v>
      </c>
      <c r="G103" s="208" t="s">
        <v>321</v>
      </c>
      <c r="H103" s="622" t="s">
        <v>284</v>
      </c>
      <c r="I103" s="495">
        <v>2354577</v>
      </c>
      <c r="J103" s="623">
        <v>1721514</v>
      </c>
      <c r="K103" s="623">
        <v>0</v>
      </c>
      <c r="L103" s="623">
        <v>0</v>
      </c>
      <c r="M103" s="496">
        <v>581871</v>
      </c>
      <c r="N103" s="496">
        <v>34430</v>
      </c>
      <c r="O103" s="623">
        <v>16762</v>
      </c>
      <c r="P103" s="412">
        <v>5.8599999999999994</v>
      </c>
      <c r="Q103" s="497">
        <v>0</v>
      </c>
      <c r="R103" s="686">
        <v>5.8599999999999994</v>
      </c>
      <c r="S103" s="499">
        <v>0</v>
      </c>
      <c r="T103" s="486">
        <v>0</v>
      </c>
      <c r="U103" s="486">
        <v>0</v>
      </c>
      <c r="V103" s="486">
        <f>SUM(S103:U103)</f>
        <v>0</v>
      </c>
      <c r="W103" s="486">
        <v>0</v>
      </c>
      <c r="X103" s="486">
        <v>0</v>
      </c>
      <c r="Y103" s="486">
        <f>SUM(W103:X103)</f>
        <v>0</v>
      </c>
      <c r="Z103" s="486">
        <f>V103+Y103</f>
        <v>0</v>
      </c>
      <c r="AA103" s="178">
        <f>ROUND((V103+W103)*33.8%,0)</f>
        <v>0</v>
      </c>
      <c r="AB103" s="178">
        <f>ROUND(V103*2%,0)</f>
        <v>0</v>
      </c>
      <c r="AC103" s="486">
        <v>0</v>
      </c>
      <c r="AD103" s="486">
        <v>0</v>
      </c>
      <c r="AE103" s="486">
        <f>SUM(AC103:AD103)</f>
        <v>0</v>
      </c>
      <c r="AF103" s="486">
        <f>Z103+AA103+AB103+AE103</f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206"/>
        <v>0</v>
      </c>
      <c r="AM103" s="501">
        <f t="shared" si="207"/>
        <v>0</v>
      </c>
      <c r="AN103" s="502">
        <f>SUM(AL103:AM103)</f>
        <v>0</v>
      </c>
      <c r="AO103" s="499">
        <f>I103+AF103</f>
        <v>2354577</v>
      </c>
      <c r="AP103" s="486">
        <f>J103+V103</f>
        <v>1721514</v>
      </c>
      <c r="AQ103" s="480">
        <f>K103+Y103</f>
        <v>0</v>
      </c>
      <c r="AR103" s="480">
        <f>L103</f>
        <v>0</v>
      </c>
      <c r="AS103" s="486">
        <f t="shared" si="208"/>
        <v>581871</v>
      </c>
      <c r="AT103" s="486">
        <f t="shared" si="208"/>
        <v>34430</v>
      </c>
      <c r="AU103" s="486">
        <f>O103+AE103</f>
        <v>16762</v>
      </c>
      <c r="AV103" s="501">
        <f>P103+AN103</f>
        <v>5.8599999999999994</v>
      </c>
      <c r="AW103" s="501">
        <f t="shared" si="209"/>
        <v>0</v>
      </c>
      <c r="AX103" s="502">
        <f t="shared" si="209"/>
        <v>5.8599999999999994</v>
      </c>
    </row>
    <row r="104" spans="1:50" s="210" customFormat="1" ht="14.1" customHeight="1" x14ac:dyDescent="0.2">
      <c r="A104" s="235">
        <v>15</v>
      </c>
      <c r="B104" s="211">
        <v>2438</v>
      </c>
      <c r="C104" s="613">
        <v>600079384</v>
      </c>
      <c r="D104" s="211">
        <v>72741911</v>
      </c>
      <c r="E104" s="211" t="s">
        <v>778</v>
      </c>
      <c r="F104" s="212"/>
      <c r="G104" s="213"/>
      <c r="H104" s="214"/>
      <c r="I104" s="614">
        <v>11996815</v>
      </c>
      <c r="J104" s="615">
        <v>8575053</v>
      </c>
      <c r="K104" s="615">
        <v>85000</v>
      </c>
      <c r="L104" s="615">
        <v>0</v>
      </c>
      <c r="M104" s="615">
        <v>2927098</v>
      </c>
      <c r="N104" s="615">
        <v>171502</v>
      </c>
      <c r="O104" s="615">
        <v>238162</v>
      </c>
      <c r="P104" s="616">
        <v>23.7971</v>
      </c>
      <c r="Q104" s="616">
        <v>14.7049</v>
      </c>
      <c r="R104" s="619">
        <v>9.0922000000000001</v>
      </c>
      <c r="S104" s="615">
        <f t="shared" ref="S104:AX104" si="210">SUM(S101:S103)</f>
        <v>0</v>
      </c>
      <c r="T104" s="617">
        <f t="shared" si="210"/>
        <v>0</v>
      </c>
      <c r="U104" s="617">
        <f t="shared" si="210"/>
        <v>0</v>
      </c>
      <c r="V104" s="617">
        <f t="shared" si="210"/>
        <v>0</v>
      </c>
      <c r="W104" s="617">
        <f t="shared" si="210"/>
        <v>0</v>
      </c>
      <c r="X104" s="617">
        <f t="shared" si="210"/>
        <v>0</v>
      </c>
      <c r="Y104" s="617">
        <f t="shared" si="210"/>
        <v>0</v>
      </c>
      <c r="Z104" s="617">
        <f t="shared" si="210"/>
        <v>0</v>
      </c>
      <c r="AA104" s="617">
        <f t="shared" si="210"/>
        <v>0</v>
      </c>
      <c r="AB104" s="617">
        <f t="shared" si="210"/>
        <v>0</v>
      </c>
      <c r="AC104" s="617">
        <f t="shared" si="210"/>
        <v>0</v>
      </c>
      <c r="AD104" s="617">
        <f t="shared" si="210"/>
        <v>0</v>
      </c>
      <c r="AE104" s="617">
        <f t="shared" si="210"/>
        <v>0</v>
      </c>
      <c r="AF104" s="617">
        <f t="shared" si="210"/>
        <v>0</v>
      </c>
      <c r="AG104" s="618">
        <f t="shared" si="210"/>
        <v>0</v>
      </c>
      <c r="AH104" s="618">
        <f t="shared" si="210"/>
        <v>0</v>
      </c>
      <c r="AI104" s="618">
        <f t="shared" si="210"/>
        <v>0</v>
      </c>
      <c r="AJ104" s="618">
        <f t="shared" si="210"/>
        <v>0</v>
      </c>
      <c r="AK104" s="618">
        <f t="shared" si="210"/>
        <v>0</v>
      </c>
      <c r="AL104" s="618">
        <f t="shared" si="210"/>
        <v>0</v>
      </c>
      <c r="AM104" s="618">
        <f t="shared" si="210"/>
        <v>0</v>
      </c>
      <c r="AN104" s="619">
        <f t="shared" si="210"/>
        <v>0</v>
      </c>
      <c r="AO104" s="615">
        <f t="shared" si="210"/>
        <v>11996815</v>
      </c>
      <c r="AP104" s="617">
        <f t="shared" si="210"/>
        <v>8575053</v>
      </c>
      <c r="AQ104" s="617">
        <f t="shared" si="210"/>
        <v>85000</v>
      </c>
      <c r="AR104" s="617">
        <f t="shared" si="210"/>
        <v>0</v>
      </c>
      <c r="AS104" s="617">
        <f t="shared" si="210"/>
        <v>2927098</v>
      </c>
      <c r="AT104" s="617">
        <f t="shared" si="210"/>
        <v>171502</v>
      </c>
      <c r="AU104" s="617">
        <f t="shared" si="210"/>
        <v>238162</v>
      </c>
      <c r="AV104" s="618">
        <f t="shared" si="210"/>
        <v>23.7971</v>
      </c>
      <c r="AW104" s="618">
        <f t="shared" si="210"/>
        <v>14.7049</v>
      </c>
      <c r="AX104" s="619">
        <f t="shared" si="210"/>
        <v>9.0922000000000001</v>
      </c>
    </row>
    <row r="105" spans="1:50" s="210" customFormat="1" ht="14.1" customHeight="1" x14ac:dyDescent="0.2">
      <c r="A105" s="620">
        <v>16</v>
      </c>
      <c r="B105" s="208">
        <v>2315</v>
      </c>
      <c r="C105" s="621">
        <v>600080447</v>
      </c>
      <c r="D105" s="208">
        <v>46744819</v>
      </c>
      <c r="E105" s="208" t="s">
        <v>779</v>
      </c>
      <c r="F105" s="209">
        <v>3233</v>
      </c>
      <c r="G105" s="208" t="s">
        <v>324</v>
      </c>
      <c r="H105" s="622" t="s">
        <v>284</v>
      </c>
      <c r="I105" s="495">
        <v>2102878</v>
      </c>
      <c r="J105" s="623">
        <v>1446809</v>
      </c>
      <c r="K105" s="623">
        <v>100000</v>
      </c>
      <c r="L105" s="623">
        <v>0</v>
      </c>
      <c r="M105" s="496">
        <v>522821</v>
      </c>
      <c r="N105" s="496">
        <v>28936</v>
      </c>
      <c r="O105" s="623">
        <v>4312</v>
      </c>
      <c r="P105" s="412">
        <v>3.36</v>
      </c>
      <c r="Q105" s="497">
        <v>2.42</v>
      </c>
      <c r="R105" s="686">
        <v>0.94</v>
      </c>
      <c r="S105" s="499">
        <v>0</v>
      </c>
      <c r="T105" s="486">
        <v>0</v>
      </c>
      <c r="U105" s="486">
        <v>0</v>
      </c>
      <c r="V105" s="486">
        <f>SUM(S105:U105)</f>
        <v>0</v>
      </c>
      <c r="W105" s="486">
        <v>0</v>
      </c>
      <c r="X105" s="486">
        <v>0</v>
      </c>
      <c r="Y105" s="486">
        <f>SUM(W105:X105)</f>
        <v>0</v>
      </c>
      <c r="Z105" s="486">
        <f>V105+Y105</f>
        <v>0</v>
      </c>
      <c r="AA105" s="178">
        <f>ROUND((V105+W105)*33.8%,0)</f>
        <v>0</v>
      </c>
      <c r="AB105" s="178">
        <f>ROUND(V105*2%,0)</f>
        <v>0</v>
      </c>
      <c r="AC105" s="486">
        <v>0</v>
      </c>
      <c r="AD105" s="486">
        <v>0</v>
      </c>
      <c r="AE105" s="486">
        <f>SUM(AC105:AD105)</f>
        <v>0</v>
      </c>
      <c r="AF105" s="486">
        <f>Z105+AA105+AB105+AE105</f>
        <v>0</v>
      </c>
      <c r="AG105" s="501">
        <v>0</v>
      </c>
      <c r="AH105" s="501">
        <v>0</v>
      </c>
      <c r="AI105" s="501">
        <v>0</v>
      </c>
      <c r="AJ105" s="501">
        <v>0</v>
      </c>
      <c r="AK105" s="501">
        <v>0</v>
      </c>
      <c r="AL105" s="501">
        <f>AG105+AI105+AJ105</f>
        <v>0</v>
      </c>
      <c r="AM105" s="501">
        <f>AH105+AK105</f>
        <v>0</v>
      </c>
      <c r="AN105" s="502">
        <f>SUM(AL105:AM105)</f>
        <v>0</v>
      </c>
      <c r="AO105" s="499">
        <f>I105+AF105</f>
        <v>2102878</v>
      </c>
      <c r="AP105" s="486">
        <f>J105+V105</f>
        <v>1446809</v>
      </c>
      <c r="AQ105" s="480">
        <f>K105+Y105</f>
        <v>100000</v>
      </c>
      <c r="AR105" s="480">
        <f>L105</f>
        <v>0</v>
      </c>
      <c r="AS105" s="486">
        <f>M105+AA105</f>
        <v>522821</v>
      </c>
      <c r="AT105" s="486">
        <f>N105+AB105</f>
        <v>28936</v>
      </c>
      <c r="AU105" s="486">
        <f>O105+AE105</f>
        <v>4312</v>
      </c>
      <c r="AV105" s="501">
        <f>P105+AN105</f>
        <v>3.36</v>
      </c>
      <c r="AW105" s="501">
        <f>Q105+AL105</f>
        <v>2.42</v>
      </c>
      <c r="AX105" s="502">
        <f>R105+AM105</f>
        <v>0.94</v>
      </c>
    </row>
    <row r="106" spans="1:50" s="210" customFormat="1" ht="14.1" customHeight="1" x14ac:dyDescent="0.2">
      <c r="A106" s="235">
        <v>16</v>
      </c>
      <c r="B106" s="211">
        <v>2315</v>
      </c>
      <c r="C106" s="613">
        <v>600080447</v>
      </c>
      <c r="D106" s="211">
        <v>46744819</v>
      </c>
      <c r="E106" s="211" t="s">
        <v>780</v>
      </c>
      <c r="F106" s="212"/>
      <c r="G106" s="213"/>
      <c r="H106" s="214"/>
      <c r="I106" s="614">
        <v>2102878</v>
      </c>
      <c r="J106" s="615">
        <v>1446809</v>
      </c>
      <c r="K106" s="615">
        <v>100000</v>
      </c>
      <c r="L106" s="615">
        <v>0</v>
      </c>
      <c r="M106" s="615">
        <v>522821</v>
      </c>
      <c r="N106" s="615">
        <v>28936</v>
      </c>
      <c r="O106" s="615">
        <v>4312</v>
      </c>
      <c r="P106" s="616">
        <v>3.36</v>
      </c>
      <c r="Q106" s="616">
        <v>2.42</v>
      </c>
      <c r="R106" s="619">
        <v>0.94</v>
      </c>
      <c r="S106" s="615">
        <f t="shared" ref="S106:AX106" si="211">SUM(S105:S105)</f>
        <v>0</v>
      </c>
      <c r="T106" s="617">
        <f t="shared" si="211"/>
        <v>0</v>
      </c>
      <c r="U106" s="617">
        <f t="shared" si="211"/>
        <v>0</v>
      </c>
      <c r="V106" s="617">
        <f t="shared" si="211"/>
        <v>0</v>
      </c>
      <c r="W106" s="617">
        <f t="shared" si="211"/>
        <v>0</v>
      </c>
      <c r="X106" s="617">
        <f t="shared" si="211"/>
        <v>0</v>
      </c>
      <c r="Y106" s="617">
        <f t="shared" si="211"/>
        <v>0</v>
      </c>
      <c r="Z106" s="617">
        <f t="shared" si="211"/>
        <v>0</v>
      </c>
      <c r="AA106" s="617">
        <f t="shared" si="211"/>
        <v>0</v>
      </c>
      <c r="AB106" s="617">
        <f t="shared" si="211"/>
        <v>0</v>
      </c>
      <c r="AC106" s="617">
        <f t="shared" si="211"/>
        <v>0</v>
      </c>
      <c r="AD106" s="617">
        <f t="shared" si="211"/>
        <v>0</v>
      </c>
      <c r="AE106" s="617">
        <f t="shared" si="211"/>
        <v>0</v>
      </c>
      <c r="AF106" s="617">
        <f t="shared" si="211"/>
        <v>0</v>
      </c>
      <c r="AG106" s="618">
        <f t="shared" si="211"/>
        <v>0</v>
      </c>
      <c r="AH106" s="618">
        <f t="shared" si="211"/>
        <v>0</v>
      </c>
      <c r="AI106" s="618">
        <f t="shared" si="211"/>
        <v>0</v>
      </c>
      <c r="AJ106" s="618">
        <f t="shared" si="211"/>
        <v>0</v>
      </c>
      <c r="AK106" s="618">
        <f t="shared" si="211"/>
        <v>0</v>
      </c>
      <c r="AL106" s="618">
        <f t="shared" si="211"/>
        <v>0</v>
      </c>
      <c r="AM106" s="618">
        <f t="shared" si="211"/>
        <v>0</v>
      </c>
      <c r="AN106" s="619">
        <f t="shared" si="211"/>
        <v>0</v>
      </c>
      <c r="AO106" s="615">
        <f t="shared" si="211"/>
        <v>2102878</v>
      </c>
      <c r="AP106" s="617">
        <f t="shared" si="211"/>
        <v>1446809</v>
      </c>
      <c r="AQ106" s="617">
        <f t="shared" si="211"/>
        <v>100000</v>
      </c>
      <c r="AR106" s="617">
        <f t="shared" si="211"/>
        <v>0</v>
      </c>
      <c r="AS106" s="617">
        <f t="shared" si="211"/>
        <v>522821</v>
      </c>
      <c r="AT106" s="617">
        <f t="shared" si="211"/>
        <v>28936</v>
      </c>
      <c r="AU106" s="617">
        <f t="shared" si="211"/>
        <v>4312</v>
      </c>
      <c r="AV106" s="618">
        <f t="shared" si="211"/>
        <v>3.36</v>
      </c>
      <c r="AW106" s="618">
        <f t="shared" si="211"/>
        <v>2.42</v>
      </c>
      <c r="AX106" s="619">
        <f t="shared" si="211"/>
        <v>0.94</v>
      </c>
    </row>
    <row r="107" spans="1:50" s="210" customFormat="1" ht="14.1" customHeight="1" x14ac:dyDescent="0.2">
      <c r="A107" s="620">
        <v>17</v>
      </c>
      <c r="B107" s="208">
        <v>2494</v>
      </c>
      <c r="C107" s="621">
        <v>600080315</v>
      </c>
      <c r="D107" s="208">
        <v>72741996</v>
      </c>
      <c r="E107" s="208" t="s">
        <v>781</v>
      </c>
      <c r="F107" s="209">
        <v>3113</v>
      </c>
      <c r="G107" s="208" t="s">
        <v>320</v>
      </c>
      <c r="H107" s="622" t="s">
        <v>283</v>
      </c>
      <c r="I107" s="495">
        <v>24568187</v>
      </c>
      <c r="J107" s="328">
        <v>17205984</v>
      </c>
      <c r="K107" s="328">
        <v>354560</v>
      </c>
      <c r="L107" s="328">
        <v>254560</v>
      </c>
      <c r="M107" s="496">
        <v>5849422</v>
      </c>
      <c r="N107" s="496">
        <v>344121</v>
      </c>
      <c r="O107" s="328">
        <v>814100</v>
      </c>
      <c r="P107" s="412">
        <v>33.857500000000002</v>
      </c>
      <c r="Q107" s="329">
        <v>25.728100000000001</v>
      </c>
      <c r="R107" s="330">
        <v>8.1293999999999986</v>
      </c>
      <c r="S107" s="499">
        <v>20350</v>
      </c>
      <c r="T107" s="486">
        <v>0</v>
      </c>
      <c r="U107" s="486">
        <v>0</v>
      </c>
      <c r="V107" s="486">
        <f>SUM(S107:U107)</f>
        <v>20350</v>
      </c>
      <c r="W107" s="486">
        <v>-20350</v>
      </c>
      <c r="X107" s="486">
        <v>0</v>
      </c>
      <c r="Y107" s="486">
        <f>SUM(W107:X107)</f>
        <v>-20350</v>
      </c>
      <c r="Z107" s="486">
        <f>V107+Y107</f>
        <v>0</v>
      </c>
      <c r="AA107" s="178">
        <f>ROUND((V107+W107)*33.8%,0)</f>
        <v>0</v>
      </c>
      <c r="AB107" s="178">
        <f>ROUND(V107*2%,0)</f>
        <v>407</v>
      </c>
      <c r="AC107" s="486">
        <v>0</v>
      </c>
      <c r="AD107" s="486">
        <v>0</v>
      </c>
      <c r="AE107" s="486">
        <f>SUM(AC107:AD107)</f>
        <v>0</v>
      </c>
      <c r="AF107" s="486">
        <f>Z107+AA107+AB107+AE107</f>
        <v>407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ref="AL107:AL111" si="212">AG107+AI107+AJ107</f>
        <v>0</v>
      </c>
      <c r="AM107" s="501">
        <f t="shared" ref="AM107:AM111" si="213">AH107+AK107</f>
        <v>0</v>
      </c>
      <c r="AN107" s="502">
        <f>SUM(AL107:AM107)</f>
        <v>0</v>
      </c>
      <c r="AO107" s="499">
        <f>I107+AF107</f>
        <v>24568594</v>
      </c>
      <c r="AP107" s="486">
        <f>J107+V107</f>
        <v>17226334</v>
      </c>
      <c r="AQ107" s="480">
        <f>K107+Y107</f>
        <v>334210</v>
      </c>
      <c r="AR107" s="480">
        <f>L107</f>
        <v>254560</v>
      </c>
      <c r="AS107" s="486">
        <f t="shared" ref="AS107:AT111" si="214">M107+AA107</f>
        <v>5849422</v>
      </c>
      <c r="AT107" s="486">
        <f t="shared" si="214"/>
        <v>344528</v>
      </c>
      <c r="AU107" s="486">
        <f>O107+AE107</f>
        <v>814100</v>
      </c>
      <c r="AV107" s="501">
        <f>P107+AN107</f>
        <v>33.857500000000002</v>
      </c>
      <c r="AW107" s="501">
        <f t="shared" ref="AW107:AX111" si="215">Q107+AL107</f>
        <v>25.728100000000001</v>
      </c>
      <c r="AX107" s="502">
        <f t="shared" si="215"/>
        <v>8.1293999999999986</v>
      </c>
    </row>
    <row r="108" spans="1:50" s="210" customFormat="1" ht="14.1" customHeight="1" x14ac:dyDescent="0.2">
      <c r="A108" s="620">
        <v>17</v>
      </c>
      <c r="B108" s="208">
        <v>2494</v>
      </c>
      <c r="C108" s="621">
        <v>600080315</v>
      </c>
      <c r="D108" s="208">
        <v>72741996</v>
      </c>
      <c r="E108" s="208" t="s">
        <v>781</v>
      </c>
      <c r="F108" s="209">
        <v>3113</v>
      </c>
      <c r="G108" s="503" t="s">
        <v>319</v>
      </c>
      <c r="H108" s="622" t="s">
        <v>283</v>
      </c>
      <c r="I108" s="495">
        <v>526698</v>
      </c>
      <c r="J108" s="623">
        <v>387848</v>
      </c>
      <c r="K108" s="623">
        <v>0</v>
      </c>
      <c r="L108" s="623">
        <v>0</v>
      </c>
      <c r="M108" s="496">
        <v>131093</v>
      </c>
      <c r="N108" s="496">
        <v>7757</v>
      </c>
      <c r="O108" s="623">
        <v>0</v>
      </c>
      <c r="P108" s="412">
        <v>1.01</v>
      </c>
      <c r="Q108" s="497">
        <v>1.01</v>
      </c>
      <c r="R108" s="686">
        <v>0</v>
      </c>
      <c r="S108" s="499">
        <v>0</v>
      </c>
      <c r="T108" s="486">
        <v>0</v>
      </c>
      <c r="U108" s="486">
        <v>0</v>
      </c>
      <c r="V108" s="486">
        <f>SUM(S108:U108)</f>
        <v>0</v>
      </c>
      <c r="W108" s="486">
        <v>0</v>
      </c>
      <c r="X108" s="486">
        <v>0</v>
      </c>
      <c r="Y108" s="486">
        <f>SUM(W108:X108)</f>
        <v>0</v>
      </c>
      <c r="Z108" s="486">
        <f>V108+Y108</f>
        <v>0</v>
      </c>
      <c r="AA108" s="178">
        <f>ROUND((V108+W108)*33.8%,0)</f>
        <v>0</v>
      </c>
      <c r="AB108" s="178">
        <f>ROUND(V108*2%,0)</f>
        <v>0</v>
      </c>
      <c r="AC108" s="486">
        <v>0</v>
      </c>
      <c r="AD108" s="486">
        <v>0</v>
      </c>
      <c r="AE108" s="486">
        <f>SUM(AC108:AD108)</f>
        <v>0</v>
      </c>
      <c r="AF108" s="486">
        <f>Z108+AA108+AB108+AE108</f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212"/>
        <v>0</v>
      </c>
      <c r="AM108" s="501">
        <f t="shared" si="213"/>
        <v>0</v>
      </c>
      <c r="AN108" s="502">
        <f>SUM(AL108:AM108)</f>
        <v>0</v>
      </c>
      <c r="AO108" s="499">
        <f>I108+AF108</f>
        <v>526698</v>
      </c>
      <c r="AP108" s="486">
        <f>J108+V108</f>
        <v>387848</v>
      </c>
      <c r="AQ108" s="480">
        <f>K108+Y108</f>
        <v>0</v>
      </c>
      <c r="AR108" s="480">
        <f>L108</f>
        <v>0</v>
      </c>
      <c r="AS108" s="486">
        <f t="shared" si="214"/>
        <v>131093</v>
      </c>
      <c r="AT108" s="486">
        <f t="shared" si="214"/>
        <v>7757</v>
      </c>
      <c r="AU108" s="486">
        <f>O108+AE108</f>
        <v>0</v>
      </c>
      <c r="AV108" s="501">
        <f>P108+AN108</f>
        <v>1.01</v>
      </c>
      <c r="AW108" s="501">
        <f t="shared" si="215"/>
        <v>1.01</v>
      </c>
      <c r="AX108" s="502">
        <f t="shared" si="215"/>
        <v>0</v>
      </c>
    </row>
    <row r="109" spans="1:50" s="210" customFormat="1" ht="14.1" customHeight="1" x14ac:dyDescent="0.2">
      <c r="A109" s="620">
        <v>17</v>
      </c>
      <c r="B109" s="215">
        <v>2494</v>
      </c>
      <c r="C109" s="621">
        <v>600080315</v>
      </c>
      <c r="D109" s="208">
        <v>72741996</v>
      </c>
      <c r="E109" s="215" t="s">
        <v>781</v>
      </c>
      <c r="F109" s="209">
        <v>3113</v>
      </c>
      <c r="G109" s="208" t="s">
        <v>318</v>
      </c>
      <c r="H109" s="622" t="s">
        <v>284</v>
      </c>
      <c r="I109" s="495">
        <v>2582601</v>
      </c>
      <c r="J109" s="623">
        <v>1877099</v>
      </c>
      <c r="K109" s="623">
        <v>0</v>
      </c>
      <c r="L109" s="623">
        <v>0</v>
      </c>
      <c r="M109" s="496">
        <v>634460</v>
      </c>
      <c r="N109" s="496">
        <v>37542</v>
      </c>
      <c r="O109" s="623">
        <v>33500</v>
      </c>
      <c r="P109" s="412">
        <v>5.4700000000000006</v>
      </c>
      <c r="Q109" s="497">
        <v>5.4700000000000006</v>
      </c>
      <c r="R109" s="686">
        <v>0</v>
      </c>
      <c r="S109" s="499">
        <v>0</v>
      </c>
      <c r="T109" s="486">
        <v>0</v>
      </c>
      <c r="U109" s="486">
        <v>0</v>
      </c>
      <c r="V109" s="486">
        <f>SUM(S109:U109)</f>
        <v>0</v>
      </c>
      <c r="W109" s="486">
        <v>0</v>
      </c>
      <c r="X109" s="486">
        <v>0</v>
      </c>
      <c r="Y109" s="486">
        <f>SUM(W109:X109)</f>
        <v>0</v>
      </c>
      <c r="Z109" s="486">
        <f>V109+Y109</f>
        <v>0</v>
      </c>
      <c r="AA109" s="178">
        <f>ROUND((V109+W109)*33.8%,0)</f>
        <v>0</v>
      </c>
      <c r="AB109" s="178">
        <f>ROUND(V109*2%,0)</f>
        <v>0</v>
      </c>
      <c r="AC109" s="486">
        <v>0</v>
      </c>
      <c r="AD109" s="486">
        <v>0</v>
      </c>
      <c r="AE109" s="486">
        <f>SUM(AC109:AD109)</f>
        <v>0</v>
      </c>
      <c r="AF109" s="486">
        <f>Z109+AA109+AB109+AE109</f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212"/>
        <v>0</v>
      </c>
      <c r="AM109" s="501">
        <f t="shared" si="213"/>
        <v>0</v>
      </c>
      <c r="AN109" s="502">
        <f>SUM(AL109:AM109)</f>
        <v>0</v>
      </c>
      <c r="AO109" s="499">
        <f>I109+AF109</f>
        <v>2582601</v>
      </c>
      <c r="AP109" s="486">
        <f>J109+V109</f>
        <v>1877099</v>
      </c>
      <c r="AQ109" s="480">
        <f>K109+Y109</f>
        <v>0</v>
      </c>
      <c r="AR109" s="480">
        <f>L109</f>
        <v>0</v>
      </c>
      <c r="AS109" s="486">
        <f t="shared" si="214"/>
        <v>634460</v>
      </c>
      <c r="AT109" s="486">
        <f t="shared" si="214"/>
        <v>37542</v>
      </c>
      <c r="AU109" s="486">
        <f>O109+AE109</f>
        <v>33500</v>
      </c>
      <c r="AV109" s="501">
        <f>P109+AN109</f>
        <v>5.4700000000000006</v>
      </c>
      <c r="AW109" s="501">
        <f t="shared" si="215"/>
        <v>5.4700000000000006</v>
      </c>
      <c r="AX109" s="502">
        <f t="shared" si="215"/>
        <v>0</v>
      </c>
    </row>
    <row r="110" spans="1:50" s="210" customFormat="1" ht="14.1" customHeight="1" x14ac:dyDescent="0.2">
      <c r="A110" s="620">
        <v>17</v>
      </c>
      <c r="B110" s="215">
        <v>2494</v>
      </c>
      <c r="C110" s="621">
        <v>600080315</v>
      </c>
      <c r="D110" s="208">
        <v>72741996</v>
      </c>
      <c r="E110" s="215" t="s">
        <v>781</v>
      </c>
      <c r="F110" s="209">
        <v>3143</v>
      </c>
      <c r="G110" s="208" t="s">
        <v>634</v>
      </c>
      <c r="H110" s="216" t="s">
        <v>283</v>
      </c>
      <c r="I110" s="495">
        <v>1529021</v>
      </c>
      <c r="J110" s="411">
        <v>1111157</v>
      </c>
      <c r="K110" s="411">
        <v>15000</v>
      </c>
      <c r="L110" s="411">
        <v>0</v>
      </c>
      <c r="M110" s="496">
        <v>380641</v>
      </c>
      <c r="N110" s="496">
        <v>22223</v>
      </c>
      <c r="O110" s="623">
        <v>0</v>
      </c>
      <c r="P110" s="412">
        <v>2.298</v>
      </c>
      <c r="Q110" s="415">
        <v>2.298</v>
      </c>
      <c r="R110" s="686">
        <v>0</v>
      </c>
      <c r="S110" s="499">
        <v>15000</v>
      </c>
      <c r="T110" s="486">
        <v>0</v>
      </c>
      <c r="U110" s="486">
        <v>0</v>
      </c>
      <c r="V110" s="486">
        <f>SUM(S110:U110)</f>
        <v>15000</v>
      </c>
      <c r="W110" s="486">
        <v>-15000</v>
      </c>
      <c r="X110" s="486">
        <v>0</v>
      </c>
      <c r="Y110" s="486">
        <f>SUM(W110:X110)</f>
        <v>-15000</v>
      </c>
      <c r="Z110" s="486">
        <f>V110+Y110</f>
        <v>0</v>
      </c>
      <c r="AA110" s="178">
        <f>ROUND((V110+W110)*33.8%,0)</f>
        <v>0</v>
      </c>
      <c r="AB110" s="178">
        <f>ROUND(V110*2%,0)</f>
        <v>300</v>
      </c>
      <c r="AC110" s="486">
        <v>0</v>
      </c>
      <c r="AD110" s="486">
        <v>0</v>
      </c>
      <c r="AE110" s="486">
        <f>SUM(AC110:AD110)</f>
        <v>0</v>
      </c>
      <c r="AF110" s="486">
        <f>Z110+AA110+AB110+AE110</f>
        <v>300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si="212"/>
        <v>0</v>
      </c>
      <c r="AM110" s="501">
        <f t="shared" si="213"/>
        <v>0</v>
      </c>
      <c r="AN110" s="502">
        <f>SUM(AL110:AM110)</f>
        <v>0</v>
      </c>
      <c r="AO110" s="499">
        <f>I110+AF110</f>
        <v>1529321</v>
      </c>
      <c r="AP110" s="486">
        <f>J110+V110</f>
        <v>1126157</v>
      </c>
      <c r="AQ110" s="480">
        <f>K110+Y110</f>
        <v>0</v>
      </c>
      <c r="AR110" s="480">
        <f>L110</f>
        <v>0</v>
      </c>
      <c r="AS110" s="486">
        <f t="shared" si="214"/>
        <v>380641</v>
      </c>
      <c r="AT110" s="486">
        <f t="shared" si="214"/>
        <v>22523</v>
      </c>
      <c r="AU110" s="486">
        <f>O110+AE110</f>
        <v>0</v>
      </c>
      <c r="AV110" s="501">
        <f>P110+AN110</f>
        <v>2.298</v>
      </c>
      <c r="AW110" s="501">
        <f t="shared" si="215"/>
        <v>2.298</v>
      </c>
      <c r="AX110" s="502">
        <f t="shared" si="215"/>
        <v>0</v>
      </c>
    </row>
    <row r="111" spans="1:50" s="210" customFormat="1" ht="14.1" customHeight="1" x14ac:dyDescent="0.2">
      <c r="A111" s="620">
        <v>17</v>
      </c>
      <c r="B111" s="215">
        <v>2494</v>
      </c>
      <c r="C111" s="621">
        <v>600080315</v>
      </c>
      <c r="D111" s="208">
        <v>72741996</v>
      </c>
      <c r="E111" s="215" t="s">
        <v>781</v>
      </c>
      <c r="F111" s="209">
        <v>3143</v>
      </c>
      <c r="G111" s="208" t="s">
        <v>635</v>
      </c>
      <c r="H111" s="216" t="s">
        <v>284</v>
      </c>
      <c r="I111" s="495">
        <v>60390</v>
      </c>
      <c r="J111" s="623">
        <v>42570</v>
      </c>
      <c r="K111" s="623">
        <v>0</v>
      </c>
      <c r="L111" s="623">
        <v>0</v>
      </c>
      <c r="M111" s="496">
        <v>14389</v>
      </c>
      <c r="N111" s="496">
        <v>851</v>
      </c>
      <c r="O111" s="623">
        <v>2580</v>
      </c>
      <c r="P111" s="412">
        <v>0.18</v>
      </c>
      <c r="Q111" s="497">
        <v>0</v>
      </c>
      <c r="R111" s="686">
        <v>0.18</v>
      </c>
      <c r="S111" s="499">
        <v>0</v>
      </c>
      <c r="T111" s="486">
        <v>0</v>
      </c>
      <c r="U111" s="486">
        <v>0</v>
      </c>
      <c r="V111" s="486">
        <f>SUM(S111:U111)</f>
        <v>0</v>
      </c>
      <c r="W111" s="486">
        <v>0</v>
      </c>
      <c r="X111" s="486">
        <v>0</v>
      </c>
      <c r="Y111" s="486">
        <f>SUM(W111:X111)</f>
        <v>0</v>
      </c>
      <c r="Z111" s="486">
        <f>V111+Y111</f>
        <v>0</v>
      </c>
      <c r="AA111" s="178">
        <f>ROUND((V111+W111)*33.8%,0)</f>
        <v>0</v>
      </c>
      <c r="AB111" s="178">
        <f>ROUND(V111*2%,0)</f>
        <v>0</v>
      </c>
      <c r="AC111" s="486">
        <v>0</v>
      </c>
      <c r="AD111" s="486">
        <v>0</v>
      </c>
      <c r="AE111" s="486">
        <f>SUM(AC111:AD111)</f>
        <v>0</v>
      </c>
      <c r="AF111" s="486">
        <f>Z111+AA111+AB111+AE111</f>
        <v>0</v>
      </c>
      <c r="AG111" s="501">
        <v>0</v>
      </c>
      <c r="AH111" s="501">
        <v>0</v>
      </c>
      <c r="AI111" s="501">
        <v>0</v>
      </c>
      <c r="AJ111" s="501">
        <v>0</v>
      </c>
      <c r="AK111" s="501">
        <v>0</v>
      </c>
      <c r="AL111" s="501">
        <f t="shared" si="212"/>
        <v>0</v>
      </c>
      <c r="AM111" s="501">
        <f t="shared" si="213"/>
        <v>0</v>
      </c>
      <c r="AN111" s="502">
        <f>SUM(AL111:AM111)</f>
        <v>0</v>
      </c>
      <c r="AO111" s="499">
        <f>I111+AF111</f>
        <v>60390</v>
      </c>
      <c r="AP111" s="486">
        <f>J111+V111</f>
        <v>42570</v>
      </c>
      <c r="AQ111" s="480">
        <f>K111+Y111</f>
        <v>0</v>
      </c>
      <c r="AR111" s="480">
        <f>L111</f>
        <v>0</v>
      </c>
      <c r="AS111" s="486">
        <f t="shared" si="214"/>
        <v>14389</v>
      </c>
      <c r="AT111" s="486">
        <f t="shared" si="214"/>
        <v>851</v>
      </c>
      <c r="AU111" s="486">
        <f>O111+AE111</f>
        <v>2580</v>
      </c>
      <c r="AV111" s="501">
        <f>P111+AN111</f>
        <v>0.18</v>
      </c>
      <c r="AW111" s="501">
        <f t="shared" si="215"/>
        <v>0</v>
      </c>
      <c r="AX111" s="502">
        <f t="shared" si="215"/>
        <v>0.18</v>
      </c>
    </row>
    <row r="112" spans="1:50" s="210" customFormat="1" ht="14.1" customHeight="1" x14ac:dyDescent="0.2">
      <c r="A112" s="235">
        <v>17</v>
      </c>
      <c r="B112" s="211">
        <v>2494</v>
      </c>
      <c r="C112" s="613">
        <v>600080315</v>
      </c>
      <c r="D112" s="211">
        <v>72741996</v>
      </c>
      <c r="E112" s="211" t="s">
        <v>782</v>
      </c>
      <c r="F112" s="212"/>
      <c r="G112" s="213"/>
      <c r="H112" s="214"/>
      <c r="I112" s="614">
        <v>29266897</v>
      </c>
      <c r="J112" s="615">
        <v>20624658</v>
      </c>
      <c r="K112" s="615">
        <v>369560</v>
      </c>
      <c r="L112" s="615">
        <v>254560</v>
      </c>
      <c r="M112" s="615">
        <v>7010005</v>
      </c>
      <c r="N112" s="615">
        <v>412494</v>
      </c>
      <c r="O112" s="615">
        <v>850180</v>
      </c>
      <c r="P112" s="616">
        <v>42.8155</v>
      </c>
      <c r="Q112" s="616">
        <v>34.506100000000004</v>
      </c>
      <c r="R112" s="619">
        <v>8.3093999999999983</v>
      </c>
      <c r="S112" s="615">
        <f t="shared" ref="S112:AX112" si="216">SUM(S107:S111)</f>
        <v>35350</v>
      </c>
      <c r="T112" s="617">
        <f t="shared" si="216"/>
        <v>0</v>
      </c>
      <c r="U112" s="617">
        <f t="shared" si="216"/>
        <v>0</v>
      </c>
      <c r="V112" s="617">
        <f t="shared" si="216"/>
        <v>35350</v>
      </c>
      <c r="W112" s="617">
        <f t="shared" si="216"/>
        <v>-35350</v>
      </c>
      <c r="X112" s="617">
        <f t="shared" si="216"/>
        <v>0</v>
      </c>
      <c r="Y112" s="617">
        <f t="shared" si="216"/>
        <v>-35350</v>
      </c>
      <c r="Z112" s="617">
        <f t="shared" si="216"/>
        <v>0</v>
      </c>
      <c r="AA112" s="617">
        <f t="shared" si="216"/>
        <v>0</v>
      </c>
      <c r="AB112" s="617">
        <f t="shared" si="216"/>
        <v>707</v>
      </c>
      <c r="AC112" s="617">
        <f t="shared" si="216"/>
        <v>0</v>
      </c>
      <c r="AD112" s="617">
        <f t="shared" si="216"/>
        <v>0</v>
      </c>
      <c r="AE112" s="617">
        <f t="shared" si="216"/>
        <v>0</v>
      </c>
      <c r="AF112" s="617">
        <f t="shared" si="216"/>
        <v>707</v>
      </c>
      <c r="AG112" s="618">
        <f t="shared" si="216"/>
        <v>0</v>
      </c>
      <c r="AH112" s="618">
        <f t="shared" si="216"/>
        <v>0</v>
      </c>
      <c r="AI112" s="618">
        <f t="shared" si="216"/>
        <v>0</v>
      </c>
      <c r="AJ112" s="618">
        <f t="shared" si="216"/>
        <v>0</v>
      </c>
      <c r="AK112" s="618">
        <f t="shared" si="216"/>
        <v>0</v>
      </c>
      <c r="AL112" s="618">
        <f t="shared" si="216"/>
        <v>0</v>
      </c>
      <c r="AM112" s="618">
        <f t="shared" si="216"/>
        <v>0</v>
      </c>
      <c r="AN112" s="619">
        <f t="shared" si="216"/>
        <v>0</v>
      </c>
      <c r="AO112" s="615">
        <f t="shared" si="216"/>
        <v>29267604</v>
      </c>
      <c r="AP112" s="617">
        <f t="shared" si="216"/>
        <v>20660008</v>
      </c>
      <c r="AQ112" s="617">
        <f t="shared" si="216"/>
        <v>334210</v>
      </c>
      <c r="AR112" s="617">
        <f t="shared" si="216"/>
        <v>254560</v>
      </c>
      <c r="AS112" s="617">
        <f t="shared" si="216"/>
        <v>7010005</v>
      </c>
      <c r="AT112" s="617">
        <f t="shared" si="216"/>
        <v>413201</v>
      </c>
      <c r="AU112" s="617">
        <f t="shared" si="216"/>
        <v>850180</v>
      </c>
      <c r="AV112" s="618">
        <f t="shared" si="216"/>
        <v>42.8155</v>
      </c>
      <c r="AW112" s="618">
        <f t="shared" si="216"/>
        <v>34.506100000000004</v>
      </c>
      <c r="AX112" s="619">
        <f t="shared" si="216"/>
        <v>8.3093999999999983</v>
      </c>
    </row>
    <row r="113" spans="1:50" s="210" customFormat="1" ht="14.1" customHeight="1" x14ac:dyDescent="0.2">
      <c r="A113" s="620">
        <v>18</v>
      </c>
      <c r="B113" s="208">
        <v>2301</v>
      </c>
      <c r="C113" s="621">
        <v>600080226</v>
      </c>
      <c r="D113" s="208">
        <v>72741830</v>
      </c>
      <c r="E113" s="208" t="s">
        <v>783</v>
      </c>
      <c r="F113" s="209">
        <v>3231</v>
      </c>
      <c r="G113" s="208" t="s">
        <v>322</v>
      </c>
      <c r="H113" s="622" t="s">
        <v>283</v>
      </c>
      <c r="I113" s="495">
        <v>3813586</v>
      </c>
      <c r="J113" s="328">
        <v>2787704</v>
      </c>
      <c r="K113" s="328">
        <v>0</v>
      </c>
      <c r="L113" s="328">
        <v>0</v>
      </c>
      <c r="M113" s="496">
        <v>942244</v>
      </c>
      <c r="N113" s="496">
        <v>55753</v>
      </c>
      <c r="O113" s="328">
        <v>27885</v>
      </c>
      <c r="P113" s="412">
        <v>5.5127999999999995</v>
      </c>
      <c r="Q113" s="329">
        <v>4.8666999999999998</v>
      </c>
      <c r="R113" s="330">
        <v>0.64610000000000001</v>
      </c>
      <c r="S113" s="499">
        <v>0</v>
      </c>
      <c r="T113" s="486">
        <v>0</v>
      </c>
      <c r="U113" s="486">
        <v>0</v>
      </c>
      <c r="V113" s="486">
        <f>SUM(S113:U113)</f>
        <v>0</v>
      </c>
      <c r="W113" s="486">
        <v>0</v>
      </c>
      <c r="X113" s="486">
        <v>0</v>
      </c>
      <c r="Y113" s="486">
        <f>SUM(W113:X113)</f>
        <v>0</v>
      </c>
      <c r="Z113" s="486">
        <f>V113+Y113</f>
        <v>0</v>
      </c>
      <c r="AA113" s="178">
        <f>ROUND((V113+W113)*33.8%,0)</f>
        <v>0</v>
      </c>
      <c r="AB113" s="178">
        <f>ROUND(V113*2%,0)</f>
        <v>0</v>
      </c>
      <c r="AC113" s="486">
        <v>0</v>
      </c>
      <c r="AD113" s="486">
        <v>0</v>
      </c>
      <c r="AE113" s="486">
        <f>SUM(AC113:AD113)</f>
        <v>0</v>
      </c>
      <c r="AF113" s="486">
        <f>Z113+AA113+AB113+AE113</f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>AG113+AI113+AJ113</f>
        <v>0</v>
      </c>
      <c r="AM113" s="501">
        <f>AH113+AK113</f>
        <v>0</v>
      </c>
      <c r="AN113" s="502">
        <f>SUM(AL113:AM113)</f>
        <v>0</v>
      </c>
      <c r="AO113" s="499">
        <f>I113+AF113</f>
        <v>3813586</v>
      </c>
      <c r="AP113" s="486">
        <f>J113+V113</f>
        <v>2787704</v>
      </c>
      <c r="AQ113" s="480">
        <f>K113+Y113</f>
        <v>0</v>
      </c>
      <c r="AR113" s="480">
        <f>L113</f>
        <v>0</v>
      </c>
      <c r="AS113" s="486">
        <f>M113+AA113</f>
        <v>942244</v>
      </c>
      <c r="AT113" s="486">
        <f>N113+AB113</f>
        <v>55753</v>
      </c>
      <c r="AU113" s="486">
        <f>O113+AE113</f>
        <v>27885</v>
      </c>
      <c r="AV113" s="501">
        <f>P113+AN113</f>
        <v>5.5127999999999995</v>
      </c>
      <c r="AW113" s="501">
        <f>Q113+AL113</f>
        <v>4.8666999999999998</v>
      </c>
      <c r="AX113" s="502">
        <f>R113+AM113</f>
        <v>0.64610000000000001</v>
      </c>
    </row>
    <row r="114" spans="1:50" s="210" customFormat="1" ht="14.1" customHeight="1" x14ac:dyDescent="0.2">
      <c r="A114" s="235">
        <v>18</v>
      </c>
      <c r="B114" s="211">
        <v>2301</v>
      </c>
      <c r="C114" s="613">
        <v>600080226</v>
      </c>
      <c r="D114" s="211">
        <v>72741830</v>
      </c>
      <c r="E114" s="211" t="s">
        <v>784</v>
      </c>
      <c r="F114" s="212"/>
      <c r="G114" s="213"/>
      <c r="H114" s="214"/>
      <c r="I114" s="220">
        <v>3813586</v>
      </c>
      <c r="J114" s="349">
        <v>2787704</v>
      </c>
      <c r="K114" s="349">
        <v>0</v>
      </c>
      <c r="L114" s="349">
        <v>0</v>
      </c>
      <c r="M114" s="349">
        <v>942244</v>
      </c>
      <c r="N114" s="349">
        <v>55753</v>
      </c>
      <c r="O114" s="349">
        <v>27885</v>
      </c>
      <c r="P114" s="416">
        <v>5.5127999999999995</v>
      </c>
      <c r="Q114" s="416">
        <v>4.8666999999999998</v>
      </c>
      <c r="R114" s="223">
        <v>0.64610000000000001</v>
      </c>
      <c r="S114" s="349">
        <f t="shared" ref="S114:AX114" si="217">SUM(S113)</f>
        <v>0</v>
      </c>
      <c r="T114" s="221">
        <f t="shared" si="217"/>
        <v>0</v>
      </c>
      <c r="U114" s="221">
        <f t="shared" si="217"/>
        <v>0</v>
      </c>
      <c r="V114" s="221">
        <f t="shared" si="217"/>
        <v>0</v>
      </c>
      <c r="W114" s="221">
        <f t="shared" si="217"/>
        <v>0</v>
      </c>
      <c r="X114" s="221">
        <f t="shared" si="217"/>
        <v>0</v>
      </c>
      <c r="Y114" s="221">
        <f t="shared" si="217"/>
        <v>0</v>
      </c>
      <c r="Z114" s="221">
        <f t="shared" si="217"/>
        <v>0</v>
      </c>
      <c r="AA114" s="221">
        <f t="shared" si="217"/>
        <v>0</v>
      </c>
      <c r="AB114" s="221">
        <f t="shared" si="217"/>
        <v>0</v>
      </c>
      <c r="AC114" s="221">
        <f t="shared" si="217"/>
        <v>0</v>
      </c>
      <c r="AD114" s="221">
        <f t="shared" si="217"/>
        <v>0</v>
      </c>
      <c r="AE114" s="221">
        <f t="shared" si="217"/>
        <v>0</v>
      </c>
      <c r="AF114" s="221">
        <f t="shared" si="217"/>
        <v>0</v>
      </c>
      <c r="AG114" s="222">
        <f t="shared" si="217"/>
        <v>0</v>
      </c>
      <c r="AH114" s="222">
        <f t="shared" si="217"/>
        <v>0</v>
      </c>
      <c r="AI114" s="222">
        <f t="shared" si="217"/>
        <v>0</v>
      </c>
      <c r="AJ114" s="222">
        <f t="shared" si="217"/>
        <v>0</v>
      </c>
      <c r="AK114" s="222">
        <f t="shared" si="217"/>
        <v>0</v>
      </c>
      <c r="AL114" s="222">
        <f t="shared" si="217"/>
        <v>0</v>
      </c>
      <c r="AM114" s="222">
        <f t="shared" si="217"/>
        <v>0</v>
      </c>
      <c r="AN114" s="223">
        <f t="shared" si="217"/>
        <v>0</v>
      </c>
      <c r="AO114" s="349">
        <f t="shared" si="217"/>
        <v>3813586</v>
      </c>
      <c r="AP114" s="221">
        <f t="shared" si="217"/>
        <v>2787704</v>
      </c>
      <c r="AQ114" s="221">
        <f t="shared" si="217"/>
        <v>0</v>
      </c>
      <c r="AR114" s="221">
        <f t="shared" si="217"/>
        <v>0</v>
      </c>
      <c r="AS114" s="221">
        <f t="shared" si="217"/>
        <v>942244</v>
      </c>
      <c r="AT114" s="221">
        <f t="shared" si="217"/>
        <v>55753</v>
      </c>
      <c r="AU114" s="221">
        <f t="shared" si="217"/>
        <v>27885</v>
      </c>
      <c r="AV114" s="222">
        <f t="shared" si="217"/>
        <v>5.5127999999999995</v>
      </c>
      <c r="AW114" s="222">
        <f t="shared" si="217"/>
        <v>4.8666999999999998</v>
      </c>
      <c r="AX114" s="223">
        <f t="shared" si="217"/>
        <v>0.64610000000000001</v>
      </c>
    </row>
    <row r="115" spans="1:50" s="210" customFormat="1" ht="14.1" customHeight="1" x14ac:dyDescent="0.2">
      <c r="A115" s="620">
        <v>19</v>
      </c>
      <c r="B115" s="215">
        <v>2497</v>
      </c>
      <c r="C115" s="621">
        <v>600080064</v>
      </c>
      <c r="D115" s="208">
        <v>72744189</v>
      </c>
      <c r="E115" s="208" t="s">
        <v>785</v>
      </c>
      <c r="F115" s="209">
        <v>3111</v>
      </c>
      <c r="G115" s="208" t="s">
        <v>317</v>
      </c>
      <c r="H115" s="622" t="s">
        <v>283</v>
      </c>
      <c r="I115" s="495">
        <v>5996924</v>
      </c>
      <c r="J115" s="411">
        <v>4353417</v>
      </c>
      <c r="K115" s="411">
        <v>18000</v>
      </c>
      <c r="L115" s="411">
        <v>0</v>
      </c>
      <c r="M115" s="496">
        <v>1477539</v>
      </c>
      <c r="N115" s="496">
        <v>87068</v>
      </c>
      <c r="O115" s="623">
        <v>60900</v>
      </c>
      <c r="P115" s="412">
        <v>10.043699999999999</v>
      </c>
      <c r="Q115" s="415">
        <v>8</v>
      </c>
      <c r="R115" s="685">
        <v>2.0436999999999999</v>
      </c>
      <c r="S115" s="499">
        <v>0</v>
      </c>
      <c r="T115" s="486">
        <v>0</v>
      </c>
      <c r="U115" s="486">
        <v>0</v>
      </c>
      <c r="V115" s="486">
        <f t="shared" ref="V115:V122" si="218">SUM(S115:U115)</f>
        <v>0</v>
      </c>
      <c r="W115" s="486">
        <v>0</v>
      </c>
      <c r="X115" s="486">
        <v>0</v>
      </c>
      <c r="Y115" s="486">
        <f t="shared" ref="Y115:Y122" si="219">SUM(W115:X115)</f>
        <v>0</v>
      </c>
      <c r="Z115" s="486">
        <f t="shared" ref="Z115:Z122" si="220">V115+Y115</f>
        <v>0</v>
      </c>
      <c r="AA115" s="178">
        <f t="shared" ref="AA115:AA122" si="221">ROUND((V115+W115)*33.8%,0)</f>
        <v>0</v>
      </c>
      <c r="AB115" s="178">
        <f t="shared" ref="AB115:AB122" si="222">ROUND(V115*2%,0)</f>
        <v>0</v>
      </c>
      <c r="AC115" s="486">
        <v>0</v>
      </c>
      <c r="AD115" s="486">
        <v>0</v>
      </c>
      <c r="AE115" s="486">
        <f t="shared" ref="AE115:AE122" si="223">SUM(AC115:AD115)</f>
        <v>0</v>
      </c>
      <c r="AF115" s="486">
        <f t="shared" ref="AF115:AF122" si="224">Z115+AA115+AB115+AE115</f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ref="AL115:AL122" si="225">AG115+AI115+AJ115</f>
        <v>0</v>
      </c>
      <c r="AM115" s="501">
        <f t="shared" ref="AM115:AM122" si="226">AH115+AK115</f>
        <v>0</v>
      </c>
      <c r="AN115" s="502">
        <f t="shared" ref="AN115:AN122" si="227">SUM(AL115:AM115)</f>
        <v>0</v>
      </c>
      <c r="AO115" s="499">
        <f t="shared" ref="AO115:AO122" si="228">I115+AF115</f>
        <v>5996924</v>
      </c>
      <c r="AP115" s="486">
        <f t="shared" ref="AP115:AP122" si="229">J115+V115</f>
        <v>4353417</v>
      </c>
      <c r="AQ115" s="480">
        <f t="shared" ref="AQ115:AQ122" si="230">K115+Y115</f>
        <v>18000</v>
      </c>
      <c r="AR115" s="480">
        <f t="shared" ref="AR115:AR122" si="231">L115</f>
        <v>0</v>
      </c>
      <c r="AS115" s="486">
        <f t="shared" ref="AS115:AT122" si="232">M115+AA115</f>
        <v>1477539</v>
      </c>
      <c r="AT115" s="486">
        <f t="shared" si="232"/>
        <v>87068</v>
      </c>
      <c r="AU115" s="486">
        <f t="shared" ref="AU115:AU122" si="233">O115+AE115</f>
        <v>60900</v>
      </c>
      <c r="AV115" s="501">
        <f t="shared" ref="AV115:AV122" si="234">P115+AN115</f>
        <v>10.043699999999999</v>
      </c>
      <c r="AW115" s="501">
        <f t="shared" ref="AW115:AX122" si="235">Q115+AL115</f>
        <v>8</v>
      </c>
      <c r="AX115" s="502">
        <f t="shared" si="235"/>
        <v>2.0436999999999999</v>
      </c>
    </row>
    <row r="116" spans="1:50" s="210" customFormat="1" ht="14.1" customHeight="1" x14ac:dyDescent="0.2">
      <c r="A116" s="620">
        <v>19</v>
      </c>
      <c r="B116" s="208">
        <v>2497</v>
      </c>
      <c r="C116" s="621">
        <v>600080064</v>
      </c>
      <c r="D116" s="208">
        <v>72744189</v>
      </c>
      <c r="E116" s="208" t="s">
        <v>785</v>
      </c>
      <c r="F116" s="209">
        <v>3113</v>
      </c>
      <c r="G116" s="208" t="s">
        <v>320</v>
      </c>
      <c r="H116" s="622" t="s">
        <v>283</v>
      </c>
      <c r="I116" s="495">
        <v>19421530</v>
      </c>
      <c r="J116" s="328">
        <v>13790860</v>
      </c>
      <c r="K116" s="328">
        <v>134562</v>
      </c>
      <c r="L116" s="328">
        <v>74562</v>
      </c>
      <c r="M116" s="496">
        <v>4681591</v>
      </c>
      <c r="N116" s="496">
        <v>275817</v>
      </c>
      <c r="O116" s="328">
        <v>538700</v>
      </c>
      <c r="P116" s="412">
        <v>27.8444</v>
      </c>
      <c r="Q116" s="329">
        <v>20.184799999999999</v>
      </c>
      <c r="R116" s="330">
        <v>7.6595999999999993</v>
      </c>
      <c r="S116" s="499">
        <v>0</v>
      </c>
      <c r="T116" s="486">
        <v>0</v>
      </c>
      <c r="U116" s="486">
        <v>0</v>
      </c>
      <c r="V116" s="486">
        <f t="shared" si="218"/>
        <v>0</v>
      </c>
      <c r="W116" s="486">
        <v>0</v>
      </c>
      <c r="X116" s="486">
        <v>0</v>
      </c>
      <c r="Y116" s="486">
        <f t="shared" si="219"/>
        <v>0</v>
      </c>
      <c r="Z116" s="486">
        <f t="shared" si="220"/>
        <v>0</v>
      </c>
      <c r="AA116" s="178">
        <f t="shared" si="221"/>
        <v>0</v>
      </c>
      <c r="AB116" s="178">
        <f t="shared" si="222"/>
        <v>0</v>
      </c>
      <c r="AC116" s="486">
        <v>0</v>
      </c>
      <c r="AD116" s="486">
        <v>0</v>
      </c>
      <c r="AE116" s="486">
        <f t="shared" si="223"/>
        <v>0</v>
      </c>
      <c r="AF116" s="486">
        <f t="shared" si="224"/>
        <v>0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si="225"/>
        <v>0</v>
      </c>
      <c r="AM116" s="501">
        <f t="shared" si="226"/>
        <v>0</v>
      </c>
      <c r="AN116" s="502">
        <f t="shared" si="227"/>
        <v>0</v>
      </c>
      <c r="AO116" s="499">
        <f t="shared" si="228"/>
        <v>19421530</v>
      </c>
      <c r="AP116" s="486">
        <f t="shared" si="229"/>
        <v>13790860</v>
      </c>
      <c r="AQ116" s="480">
        <f t="shared" si="230"/>
        <v>134562</v>
      </c>
      <c r="AR116" s="480">
        <f t="shared" si="231"/>
        <v>74562</v>
      </c>
      <c r="AS116" s="486">
        <f t="shared" si="232"/>
        <v>4681591</v>
      </c>
      <c r="AT116" s="486">
        <f t="shared" si="232"/>
        <v>275817</v>
      </c>
      <c r="AU116" s="486">
        <f t="shared" si="233"/>
        <v>538700</v>
      </c>
      <c r="AV116" s="501">
        <f t="shared" si="234"/>
        <v>27.8444</v>
      </c>
      <c r="AW116" s="501">
        <f t="shared" si="235"/>
        <v>20.184799999999999</v>
      </c>
      <c r="AX116" s="502">
        <f t="shared" si="235"/>
        <v>7.6595999999999993</v>
      </c>
    </row>
    <row r="117" spans="1:50" s="210" customFormat="1" ht="14.1" customHeight="1" x14ac:dyDescent="0.2">
      <c r="A117" s="620">
        <v>19</v>
      </c>
      <c r="B117" s="208">
        <v>2497</v>
      </c>
      <c r="C117" s="621">
        <v>600080064</v>
      </c>
      <c r="D117" s="208">
        <v>72744189</v>
      </c>
      <c r="E117" s="208" t="s">
        <v>785</v>
      </c>
      <c r="F117" s="209">
        <v>3113</v>
      </c>
      <c r="G117" s="503" t="s">
        <v>319</v>
      </c>
      <c r="H117" s="622" t="s">
        <v>283</v>
      </c>
      <c r="I117" s="495">
        <v>1573211</v>
      </c>
      <c r="J117" s="411">
        <v>1158476</v>
      </c>
      <c r="K117" s="411">
        <v>0</v>
      </c>
      <c r="L117" s="411">
        <v>0</v>
      </c>
      <c r="M117" s="496">
        <v>391565</v>
      </c>
      <c r="N117" s="496">
        <v>23170</v>
      </c>
      <c r="O117" s="623">
        <v>0</v>
      </c>
      <c r="P117" s="412">
        <v>2.9445999999999999</v>
      </c>
      <c r="Q117" s="415">
        <v>2.9445999999999999</v>
      </c>
      <c r="R117" s="686">
        <v>0</v>
      </c>
      <c r="S117" s="499">
        <v>0</v>
      </c>
      <c r="T117" s="486">
        <v>0</v>
      </c>
      <c r="U117" s="486">
        <v>0</v>
      </c>
      <c r="V117" s="486">
        <f t="shared" si="218"/>
        <v>0</v>
      </c>
      <c r="W117" s="486">
        <v>0</v>
      </c>
      <c r="X117" s="486">
        <v>0</v>
      </c>
      <c r="Y117" s="486">
        <f t="shared" si="219"/>
        <v>0</v>
      </c>
      <c r="Z117" s="486">
        <f t="shared" si="220"/>
        <v>0</v>
      </c>
      <c r="AA117" s="178">
        <f t="shared" si="221"/>
        <v>0</v>
      </c>
      <c r="AB117" s="178">
        <f t="shared" si="222"/>
        <v>0</v>
      </c>
      <c r="AC117" s="486">
        <v>0</v>
      </c>
      <c r="AD117" s="486">
        <v>0</v>
      </c>
      <c r="AE117" s="486">
        <f t="shared" si="223"/>
        <v>0</v>
      </c>
      <c r="AF117" s="486">
        <f t="shared" si="224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si="225"/>
        <v>0</v>
      </c>
      <c r="AM117" s="501">
        <f t="shared" si="226"/>
        <v>0</v>
      </c>
      <c r="AN117" s="502">
        <f t="shared" si="227"/>
        <v>0</v>
      </c>
      <c r="AO117" s="499">
        <f t="shared" si="228"/>
        <v>1573211</v>
      </c>
      <c r="AP117" s="486">
        <f t="shared" si="229"/>
        <v>1158476</v>
      </c>
      <c r="AQ117" s="480">
        <f t="shared" si="230"/>
        <v>0</v>
      </c>
      <c r="AR117" s="480">
        <f t="shared" si="231"/>
        <v>0</v>
      </c>
      <c r="AS117" s="486">
        <f t="shared" si="232"/>
        <v>391565</v>
      </c>
      <c r="AT117" s="486">
        <f t="shared" si="232"/>
        <v>23170</v>
      </c>
      <c r="AU117" s="486">
        <f t="shared" si="233"/>
        <v>0</v>
      </c>
      <c r="AV117" s="501">
        <f t="shared" si="234"/>
        <v>2.9445999999999999</v>
      </c>
      <c r="AW117" s="501">
        <f t="shared" si="235"/>
        <v>2.9445999999999999</v>
      </c>
      <c r="AX117" s="502">
        <f t="shared" si="235"/>
        <v>0</v>
      </c>
    </row>
    <row r="118" spans="1:50" s="210" customFormat="1" ht="14.1" customHeight="1" x14ac:dyDescent="0.2">
      <c r="A118" s="620">
        <v>19</v>
      </c>
      <c r="B118" s="215">
        <v>2497</v>
      </c>
      <c r="C118" s="621">
        <v>600080064</v>
      </c>
      <c r="D118" s="208">
        <v>72744189</v>
      </c>
      <c r="E118" s="215" t="s">
        <v>785</v>
      </c>
      <c r="F118" s="209">
        <v>3113</v>
      </c>
      <c r="G118" s="208" t="s">
        <v>318</v>
      </c>
      <c r="H118" s="622" t="s">
        <v>284</v>
      </c>
      <c r="I118" s="495">
        <v>4366423</v>
      </c>
      <c r="J118" s="623">
        <v>3207786</v>
      </c>
      <c r="K118" s="623">
        <v>0</v>
      </c>
      <c r="L118" s="623">
        <v>0</v>
      </c>
      <c r="M118" s="496">
        <v>1084232</v>
      </c>
      <c r="N118" s="496">
        <v>64155</v>
      </c>
      <c r="O118" s="623">
        <v>10250</v>
      </c>
      <c r="P118" s="412">
        <v>9.370000000000001</v>
      </c>
      <c r="Q118" s="497">
        <v>9.370000000000001</v>
      </c>
      <c r="R118" s="686">
        <v>0</v>
      </c>
      <c r="S118" s="499">
        <v>0</v>
      </c>
      <c r="T118" s="486">
        <v>1890</v>
      </c>
      <c r="U118" s="486">
        <v>0</v>
      </c>
      <c r="V118" s="486">
        <f t="shared" si="218"/>
        <v>1890</v>
      </c>
      <c r="W118" s="486">
        <v>0</v>
      </c>
      <c r="X118" s="486">
        <v>0</v>
      </c>
      <c r="Y118" s="486">
        <f t="shared" si="219"/>
        <v>0</v>
      </c>
      <c r="Z118" s="486">
        <f t="shared" si="220"/>
        <v>1890</v>
      </c>
      <c r="AA118" s="178">
        <f t="shared" si="221"/>
        <v>639</v>
      </c>
      <c r="AB118" s="178">
        <f t="shared" si="222"/>
        <v>38</v>
      </c>
      <c r="AC118" s="486">
        <v>500</v>
      </c>
      <c r="AD118" s="486">
        <v>0</v>
      </c>
      <c r="AE118" s="486">
        <f t="shared" si="223"/>
        <v>500</v>
      </c>
      <c r="AF118" s="486">
        <f t="shared" si="224"/>
        <v>3067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si="225"/>
        <v>0</v>
      </c>
      <c r="AM118" s="501">
        <f t="shared" si="226"/>
        <v>0</v>
      </c>
      <c r="AN118" s="502">
        <f t="shared" si="227"/>
        <v>0</v>
      </c>
      <c r="AO118" s="499">
        <f t="shared" si="228"/>
        <v>4369490</v>
      </c>
      <c r="AP118" s="486">
        <f t="shared" si="229"/>
        <v>3209676</v>
      </c>
      <c r="AQ118" s="480">
        <f t="shared" si="230"/>
        <v>0</v>
      </c>
      <c r="AR118" s="480">
        <f t="shared" si="231"/>
        <v>0</v>
      </c>
      <c r="AS118" s="486">
        <f t="shared" si="232"/>
        <v>1084871</v>
      </c>
      <c r="AT118" s="486">
        <f t="shared" si="232"/>
        <v>64193</v>
      </c>
      <c r="AU118" s="486">
        <f t="shared" si="233"/>
        <v>10750</v>
      </c>
      <c r="AV118" s="501">
        <f t="shared" si="234"/>
        <v>9.370000000000001</v>
      </c>
      <c r="AW118" s="501">
        <f t="shared" si="235"/>
        <v>9.370000000000001</v>
      </c>
      <c r="AX118" s="502">
        <f t="shared" si="235"/>
        <v>0</v>
      </c>
    </row>
    <row r="119" spans="1:50" s="210" customFormat="1" ht="14.1" customHeight="1" x14ac:dyDescent="0.2">
      <c r="A119" s="620">
        <v>19</v>
      </c>
      <c r="B119" s="208">
        <v>2497</v>
      </c>
      <c r="C119" s="621">
        <v>600080064</v>
      </c>
      <c r="D119" s="208">
        <v>72744189</v>
      </c>
      <c r="E119" s="208" t="s">
        <v>785</v>
      </c>
      <c r="F119" s="209">
        <v>3141</v>
      </c>
      <c r="G119" s="208" t="s">
        <v>321</v>
      </c>
      <c r="H119" s="622" t="s">
        <v>284</v>
      </c>
      <c r="I119" s="495">
        <v>1917807</v>
      </c>
      <c r="J119" s="623">
        <v>1366697</v>
      </c>
      <c r="K119" s="623">
        <v>35000</v>
      </c>
      <c r="L119" s="623">
        <v>0</v>
      </c>
      <c r="M119" s="496">
        <v>473774</v>
      </c>
      <c r="N119" s="496">
        <v>27334</v>
      </c>
      <c r="O119" s="623">
        <v>15002</v>
      </c>
      <c r="P119" s="412">
        <v>4.7699999999999996</v>
      </c>
      <c r="Q119" s="497">
        <v>0</v>
      </c>
      <c r="R119" s="686">
        <v>4.7699999999999996</v>
      </c>
      <c r="S119" s="499">
        <v>0</v>
      </c>
      <c r="T119" s="486">
        <v>0</v>
      </c>
      <c r="U119" s="486">
        <v>0</v>
      </c>
      <c r="V119" s="486">
        <f t="shared" si="218"/>
        <v>0</v>
      </c>
      <c r="W119" s="486">
        <v>0</v>
      </c>
      <c r="X119" s="486">
        <v>0</v>
      </c>
      <c r="Y119" s="486">
        <f t="shared" si="219"/>
        <v>0</v>
      </c>
      <c r="Z119" s="486">
        <f t="shared" si="220"/>
        <v>0</v>
      </c>
      <c r="AA119" s="178">
        <f t="shared" si="221"/>
        <v>0</v>
      </c>
      <c r="AB119" s="178">
        <f t="shared" si="222"/>
        <v>0</v>
      </c>
      <c r="AC119" s="486">
        <v>0</v>
      </c>
      <c r="AD119" s="486">
        <v>0</v>
      </c>
      <c r="AE119" s="486">
        <f t="shared" si="223"/>
        <v>0</v>
      </c>
      <c r="AF119" s="486">
        <f t="shared" si="224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225"/>
        <v>0</v>
      </c>
      <c r="AM119" s="501">
        <f t="shared" si="226"/>
        <v>0</v>
      </c>
      <c r="AN119" s="502">
        <f t="shared" si="227"/>
        <v>0</v>
      </c>
      <c r="AO119" s="499">
        <f t="shared" si="228"/>
        <v>1917807</v>
      </c>
      <c r="AP119" s="486">
        <f t="shared" si="229"/>
        <v>1366697</v>
      </c>
      <c r="AQ119" s="480">
        <f t="shared" si="230"/>
        <v>35000</v>
      </c>
      <c r="AR119" s="480">
        <f t="shared" si="231"/>
        <v>0</v>
      </c>
      <c r="AS119" s="486">
        <f t="shared" si="232"/>
        <v>473774</v>
      </c>
      <c r="AT119" s="486">
        <f t="shared" si="232"/>
        <v>27334</v>
      </c>
      <c r="AU119" s="486">
        <f t="shared" si="233"/>
        <v>15002</v>
      </c>
      <c r="AV119" s="501">
        <f t="shared" si="234"/>
        <v>4.7699999999999996</v>
      </c>
      <c r="AW119" s="501">
        <f t="shared" si="235"/>
        <v>0</v>
      </c>
      <c r="AX119" s="502">
        <f t="shared" si="235"/>
        <v>4.7699999999999996</v>
      </c>
    </row>
    <row r="120" spans="1:50" s="210" customFormat="1" ht="14.1" customHeight="1" x14ac:dyDescent="0.2">
      <c r="A120" s="620">
        <v>19</v>
      </c>
      <c r="B120" s="215">
        <v>2497</v>
      </c>
      <c r="C120" s="621">
        <v>600080064</v>
      </c>
      <c r="D120" s="208">
        <v>72744189</v>
      </c>
      <c r="E120" s="215" t="s">
        <v>785</v>
      </c>
      <c r="F120" s="209">
        <v>3143</v>
      </c>
      <c r="G120" s="208" t="s">
        <v>634</v>
      </c>
      <c r="H120" s="216" t="s">
        <v>283</v>
      </c>
      <c r="I120" s="495">
        <v>996015</v>
      </c>
      <c r="J120" s="411">
        <v>698958</v>
      </c>
      <c r="K120" s="411">
        <v>35000</v>
      </c>
      <c r="L120" s="411">
        <v>0</v>
      </c>
      <c r="M120" s="496">
        <v>248078</v>
      </c>
      <c r="N120" s="496">
        <v>13979</v>
      </c>
      <c r="O120" s="623">
        <v>0</v>
      </c>
      <c r="P120" s="412">
        <v>1.7615999999999998</v>
      </c>
      <c r="Q120" s="415">
        <v>1.7615999999999998</v>
      </c>
      <c r="R120" s="686">
        <v>0</v>
      </c>
      <c r="S120" s="499">
        <v>0</v>
      </c>
      <c r="T120" s="486">
        <v>0</v>
      </c>
      <c r="U120" s="486">
        <v>0</v>
      </c>
      <c r="V120" s="486">
        <f t="shared" si="218"/>
        <v>0</v>
      </c>
      <c r="W120" s="486">
        <v>0</v>
      </c>
      <c r="X120" s="486">
        <v>0</v>
      </c>
      <c r="Y120" s="486">
        <f t="shared" si="219"/>
        <v>0</v>
      </c>
      <c r="Z120" s="486">
        <f t="shared" si="220"/>
        <v>0</v>
      </c>
      <c r="AA120" s="178">
        <f t="shared" si="221"/>
        <v>0</v>
      </c>
      <c r="AB120" s="178">
        <f t="shared" si="222"/>
        <v>0</v>
      </c>
      <c r="AC120" s="486">
        <v>0</v>
      </c>
      <c r="AD120" s="486">
        <v>0</v>
      </c>
      <c r="AE120" s="486">
        <f t="shared" si="223"/>
        <v>0</v>
      </c>
      <c r="AF120" s="486">
        <f t="shared" si="224"/>
        <v>0</v>
      </c>
      <c r="AG120" s="501">
        <v>0</v>
      </c>
      <c r="AH120" s="501">
        <v>0</v>
      </c>
      <c r="AI120" s="501">
        <v>0</v>
      </c>
      <c r="AJ120" s="501">
        <v>0</v>
      </c>
      <c r="AK120" s="501">
        <v>0</v>
      </c>
      <c r="AL120" s="501">
        <f t="shared" si="225"/>
        <v>0</v>
      </c>
      <c r="AM120" s="501">
        <f t="shared" si="226"/>
        <v>0</v>
      </c>
      <c r="AN120" s="502">
        <f t="shared" si="227"/>
        <v>0</v>
      </c>
      <c r="AO120" s="499">
        <f t="shared" si="228"/>
        <v>996015</v>
      </c>
      <c r="AP120" s="486">
        <f t="shared" si="229"/>
        <v>698958</v>
      </c>
      <c r="AQ120" s="480">
        <f t="shared" si="230"/>
        <v>35000</v>
      </c>
      <c r="AR120" s="480">
        <f t="shared" si="231"/>
        <v>0</v>
      </c>
      <c r="AS120" s="486">
        <f t="shared" si="232"/>
        <v>248078</v>
      </c>
      <c r="AT120" s="486">
        <f t="shared" si="232"/>
        <v>13979</v>
      </c>
      <c r="AU120" s="486">
        <f t="shared" si="233"/>
        <v>0</v>
      </c>
      <c r="AV120" s="501">
        <f t="shared" si="234"/>
        <v>1.7615999999999998</v>
      </c>
      <c r="AW120" s="501">
        <f t="shared" si="235"/>
        <v>1.7615999999999998</v>
      </c>
      <c r="AX120" s="502">
        <f t="shared" si="235"/>
        <v>0</v>
      </c>
    </row>
    <row r="121" spans="1:50" s="210" customFormat="1" ht="14.1" customHeight="1" x14ac:dyDescent="0.2">
      <c r="A121" s="620">
        <v>19</v>
      </c>
      <c r="B121" s="215">
        <v>2497</v>
      </c>
      <c r="C121" s="621">
        <v>600080064</v>
      </c>
      <c r="D121" s="208">
        <v>72744189</v>
      </c>
      <c r="E121" s="215" t="s">
        <v>785</v>
      </c>
      <c r="F121" s="209">
        <v>3143</v>
      </c>
      <c r="G121" s="208" t="s">
        <v>635</v>
      </c>
      <c r="H121" s="216" t="s">
        <v>284</v>
      </c>
      <c r="I121" s="495">
        <v>37920</v>
      </c>
      <c r="J121" s="623">
        <v>26730</v>
      </c>
      <c r="K121" s="623">
        <v>0</v>
      </c>
      <c r="L121" s="623">
        <v>0</v>
      </c>
      <c r="M121" s="496">
        <v>9035</v>
      </c>
      <c r="N121" s="496">
        <v>535</v>
      </c>
      <c r="O121" s="623">
        <v>1620</v>
      </c>
      <c r="P121" s="412">
        <v>0.11</v>
      </c>
      <c r="Q121" s="497">
        <v>0</v>
      </c>
      <c r="R121" s="686">
        <v>0.11</v>
      </c>
      <c r="S121" s="499">
        <v>0</v>
      </c>
      <c r="T121" s="486">
        <v>0</v>
      </c>
      <c r="U121" s="486">
        <v>0</v>
      </c>
      <c r="V121" s="486">
        <f t="shared" si="218"/>
        <v>0</v>
      </c>
      <c r="W121" s="486">
        <v>0</v>
      </c>
      <c r="X121" s="486">
        <v>0</v>
      </c>
      <c r="Y121" s="486">
        <f t="shared" si="219"/>
        <v>0</v>
      </c>
      <c r="Z121" s="486">
        <f t="shared" si="220"/>
        <v>0</v>
      </c>
      <c r="AA121" s="178">
        <f t="shared" si="221"/>
        <v>0</v>
      </c>
      <c r="AB121" s="178">
        <f t="shared" si="222"/>
        <v>0</v>
      </c>
      <c r="AC121" s="486">
        <v>0</v>
      </c>
      <c r="AD121" s="486">
        <v>0</v>
      </c>
      <c r="AE121" s="486">
        <f t="shared" si="223"/>
        <v>0</v>
      </c>
      <c r="AF121" s="486">
        <f t="shared" si="224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si="225"/>
        <v>0</v>
      </c>
      <c r="AM121" s="501">
        <f t="shared" si="226"/>
        <v>0</v>
      </c>
      <c r="AN121" s="502">
        <f t="shared" si="227"/>
        <v>0</v>
      </c>
      <c r="AO121" s="499">
        <f t="shared" si="228"/>
        <v>37920</v>
      </c>
      <c r="AP121" s="486">
        <f t="shared" si="229"/>
        <v>26730</v>
      </c>
      <c r="AQ121" s="480">
        <f t="shared" si="230"/>
        <v>0</v>
      </c>
      <c r="AR121" s="480">
        <f t="shared" si="231"/>
        <v>0</v>
      </c>
      <c r="AS121" s="486">
        <f t="shared" si="232"/>
        <v>9035</v>
      </c>
      <c r="AT121" s="486">
        <f t="shared" si="232"/>
        <v>535</v>
      </c>
      <c r="AU121" s="486">
        <f t="shared" si="233"/>
        <v>1620</v>
      </c>
      <c r="AV121" s="501">
        <f t="shared" si="234"/>
        <v>0.11</v>
      </c>
      <c r="AW121" s="501">
        <f t="shared" si="235"/>
        <v>0</v>
      </c>
      <c r="AX121" s="502">
        <f t="shared" si="235"/>
        <v>0.11</v>
      </c>
    </row>
    <row r="122" spans="1:50" s="210" customFormat="1" ht="14.1" customHeight="1" x14ac:dyDescent="0.2">
      <c r="A122" s="620">
        <v>19</v>
      </c>
      <c r="B122" s="215">
        <v>2497</v>
      </c>
      <c r="C122" s="621">
        <v>600080064</v>
      </c>
      <c r="D122" s="208">
        <v>72744189</v>
      </c>
      <c r="E122" s="215" t="s">
        <v>785</v>
      </c>
      <c r="F122" s="209">
        <v>3143</v>
      </c>
      <c r="G122" s="208" t="s">
        <v>323</v>
      </c>
      <c r="H122" s="216" t="s">
        <v>284</v>
      </c>
      <c r="I122" s="495">
        <v>335379</v>
      </c>
      <c r="J122" s="623">
        <v>236450</v>
      </c>
      <c r="K122" s="623">
        <v>10000</v>
      </c>
      <c r="L122" s="623">
        <v>0</v>
      </c>
      <c r="M122" s="496">
        <v>83300</v>
      </c>
      <c r="N122" s="496">
        <v>4729</v>
      </c>
      <c r="O122" s="623">
        <v>900</v>
      </c>
      <c r="P122" s="412">
        <v>0.56000000000000005</v>
      </c>
      <c r="Q122" s="497">
        <v>0.5</v>
      </c>
      <c r="R122" s="686">
        <v>0.06</v>
      </c>
      <c r="S122" s="499">
        <v>0</v>
      </c>
      <c r="T122" s="486">
        <v>0</v>
      </c>
      <c r="U122" s="486">
        <v>0</v>
      </c>
      <c r="V122" s="486">
        <f t="shared" si="218"/>
        <v>0</v>
      </c>
      <c r="W122" s="486">
        <v>0</v>
      </c>
      <c r="X122" s="486">
        <v>0</v>
      </c>
      <c r="Y122" s="486">
        <f t="shared" si="219"/>
        <v>0</v>
      </c>
      <c r="Z122" s="486">
        <f t="shared" si="220"/>
        <v>0</v>
      </c>
      <c r="AA122" s="178">
        <f t="shared" si="221"/>
        <v>0</v>
      </c>
      <c r="AB122" s="178">
        <f t="shared" si="222"/>
        <v>0</v>
      </c>
      <c r="AC122" s="486">
        <v>0</v>
      </c>
      <c r="AD122" s="486">
        <v>0</v>
      </c>
      <c r="AE122" s="486">
        <f t="shared" si="223"/>
        <v>0</v>
      </c>
      <c r="AF122" s="486">
        <f t="shared" si="224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225"/>
        <v>0</v>
      </c>
      <c r="AM122" s="501">
        <f t="shared" si="226"/>
        <v>0</v>
      </c>
      <c r="AN122" s="502">
        <f t="shared" si="227"/>
        <v>0</v>
      </c>
      <c r="AO122" s="499">
        <f t="shared" si="228"/>
        <v>335379</v>
      </c>
      <c r="AP122" s="486">
        <f t="shared" si="229"/>
        <v>236450</v>
      </c>
      <c r="AQ122" s="480">
        <f t="shared" si="230"/>
        <v>10000</v>
      </c>
      <c r="AR122" s="480">
        <f t="shared" si="231"/>
        <v>0</v>
      </c>
      <c r="AS122" s="486">
        <f t="shared" si="232"/>
        <v>83300</v>
      </c>
      <c r="AT122" s="486">
        <f t="shared" si="232"/>
        <v>4729</v>
      </c>
      <c r="AU122" s="486">
        <f t="shared" si="233"/>
        <v>900</v>
      </c>
      <c r="AV122" s="501">
        <f t="shared" si="234"/>
        <v>0.56000000000000005</v>
      </c>
      <c r="AW122" s="501">
        <f t="shared" si="235"/>
        <v>0.5</v>
      </c>
      <c r="AX122" s="502">
        <f t="shared" si="235"/>
        <v>0.06</v>
      </c>
    </row>
    <row r="123" spans="1:50" s="210" customFormat="1" ht="14.1" customHeight="1" x14ac:dyDescent="0.2">
      <c r="A123" s="235">
        <v>19</v>
      </c>
      <c r="B123" s="211">
        <v>2497</v>
      </c>
      <c r="C123" s="613">
        <v>600080064</v>
      </c>
      <c r="D123" s="211">
        <v>72744189</v>
      </c>
      <c r="E123" s="211" t="s">
        <v>786</v>
      </c>
      <c r="F123" s="212"/>
      <c r="G123" s="213"/>
      <c r="H123" s="214"/>
      <c r="I123" s="614">
        <v>34645209</v>
      </c>
      <c r="J123" s="615">
        <v>24839374</v>
      </c>
      <c r="K123" s="615">
        <v>232562</v>
      </c>
      <c r="L123" s="615">
        <v>74562</v>
      </c>
      <c r="M123" s="615">
        <v>8449114</v>
      </c>
      <c r="N123" s="615">
        <v>496787</v>
      </c>
      <c r="O123" s="615">
        <v>627372</v>
      </c>
      <c r="P123" s="616">
        <v>57.404300000000006</v>
      </c>
      <c r="Q123" s="616">
        <v>42.761000000000003</v>
      </c>
      <c r="R123" s="619">
        <v>14.643299999999998</v>
      </c>
      <c r="S123" s="615">
        <f t="shared" ref="S123:AX123" si="236">SUM(S115:S122)</f>
        <v>0</v>
      </c>
      <c r="T123" s="617">
        <f t="shared" si="236"/>
        <v>1890</v>
      </c>
      <c r="U123" s="617">
        <f t="shared" si="236"/>
        <v>0</v>
      </c>
      <c r="V123" s="617">
        <f t="shared" si="236"/>
        <v>1890</v>
      </c>
      <c r="W123" s="617">
        <f t="shared" si="236"/>
        <v>0</v>
      </c>
      <c r="X123" s="617">
        <f t="shared" si="236"/>
        <v>0</v>
      </c>
      <c r="Y123" s="617">
        <f t="shared" si="236"/>
        <v>0</v>
      </c>
      <c r="Z123" s="617">
        <f t="shared" si="236"/>
        <v>1890</v>
      </c>
      <c r="AA123" s="617">
        <f t="shared" si="236"/>
        <v>639</v>
      </c>
      <c r="AB123" s="617">
        <f t="shared" si="236"/>
        <v>38</v>
      </c>
      <c r="AC123" s="617">
        <f t="shared" si="236"/>
        <v>500</v>
      </c>
      <c r="AD123" s="617">
        <f t="shared" si="236"/>
        <v>0</v>
      </c>
      <c r="AE123" s="617">
        <f t="shared" si="236"/>
        <v>500</v>
      </c>
      <c r="AF123" s="617">
        <f t="shared" si="236"/>
        <v>3067</v>
      </c>
      <c r="AG123" s="618">
        <f t="shared" si="236"/>
        <v>0</v>
      </c>
      <c r="AH123" s="618">
        <f t="shared" si="236"/>
        <v>0</v>
      </c>
      <c r="AI123" s="618">
        <f t="shared" si="236"/>
        <v>0</v>
      </c>
      <c r="AJ123" s="618">
        <f t="shared" si="236"/>
        <v>0</v>
      </c>
      <c r="AK123" s="618">
        <f t="shared" si="236"/>
        <v>0</v>
      </c>
      <c r="AL123" s="618">
        <f t="shared" si="236"/>
        <v>0</v>
      </c>
      <c r="AM123" s="618">
        <f t="shared" si="236"/>
        <v>0</v>
      </c>
      <c r="AN123" s="619">
        <f t="shared" si="236"/>
        <v>0</v>
      </c>
      <c r="AO123" s="615">
        <f t="shared" si="236"/>
        <v>34648276</v>
      </c>
      <c r="AP123" s="617">
        <f t="shared" si="236"/>
        <v>24841264</v>
      </c>
      <c r="AQ123" s="617">
        <f t="shared" si="236"/>
        <v>232562</v>
      </c>
      <c r="AR123" s="617">
        <f t="shared" si="236"/>
        <v>74562</v>
      </c>
      <c r="AS123" s="617">
        <f t="shared" si="236"/>
        <v>8449753</v>
      </c>
      <c r="AT123" s="617">
        <f t="shared" si="236"/>
        <v>496825</v>
      </c>
      <c r="AU123" s="617">
        <f t="shared" si="236"/>
        <v>627872</v>
      </c>
      <c r="AV123" s="618">
        <f t="shared" si="236"/>
        <v>57.404300000000006</v>
      </c>
      <c r="AW123" s="618">
        <f t="shared" si="236"/>
        <v>42.761000000000003</v>
      </c>
      <c r="AX123" s="619">
        <f t="shared" si="236"/>
        <v>14.643299999999998</v>
      </c>
    </row>
    <row r="124" spans="1:50" s="210" customFormat="1" ht="14.1" customHeight="1" x14ac:dyDescent="0.2">
      <c r="A124" s="620">
        <v>20</v>
      </c>
      <c r="B124" s="215">
        <v>2446</v>
      </c>
      <c r="C124" s="621">
        <v>600080129</v>
      </c>
      <c r="D124" s="208">
        <v>72743522</v>
      </c>
      <c r="E124" s="208" t="s">
        <v>787</v>
      </c>
      <c r="F124" s="209">
        <v>3111</v>
      </c>
      <c r="G124" s="208" t="s">
        <v>317</v>
      </c>
      <c r="H124" s="622" t="s">
        <v>283</v>
      </c>
      <c r="I124" s="495">
        <v>2110975</v>
      </c>
      <c r="J124" s="411">
        <v>1524002</v>
      </c>
      <c r="K124" s="411">
        <v>10000</v>
      </c>
      <c r="L124" s="411">
        <v>0</v>
      </c>
      <c r="M124" s="496">
        <v>518493</v>
      </c>
      <c r="N124" s="496">
        <v>30480</v>
      </c>
      <c r="O124" s="623">
        <v>28000</v>
      </c>
      <c r="P124" s="412">
        <v>3.9218000000000002</v>
      </c>
      <c r="Q124" s="415">
        <v>3</v>
      </c>
      <c r="R124" s="685">
        <v>0.92179999999999995</v>
      </c>
      <c r="S124" s="499">
        <v>0</v>
      </c>
      <c r="T124" s="486">
        <v>0</v>
      </c>
      <c r="U124" s="486">
        <v>0</v>
      </c>
      <c r="V124" s="486">
        <f>SUM(S124:U124)</f>
        <v>0</v>
      </c>
      <c r="W124" s="486">
        <v>0</v>
      </c>
      <c r="X124" s="486">
        <v>0</v>
      </c>
      <c r="Y124" s="486">
        <f>SUM(W124:X124)</f>
        <v>0</v>
      </c>
      <c r="Z124" s="486">
        <f>V124+Y124</f>
        <v>0</v>
      </c>
      <c r="AA124" s="178">
        <f>ROUND((V124+W124)*33.8%,0)</f>
        <v>0</v>
      </c>
      <c r="AB124" s="178">
        <f>ROUND(V124*2%,0)</f>
        <v>0</v>
      </c>
      <c r="AC124" s="486">
        <v>0</v>
      </c>
      <c r="AD124" s="486">
        <v>0</v>
      </c>
      <c r="AE124" s="486">
        <f>SUM(AC124:AD124)</f>
        <v>0</v>
      </c>
      <c r="AF124" s="486">
        <f>Z124+AA124+AB124+AE124</f>
        <v>0</v>
      </c>
      <c r="AG124" s="501">
        <v>0</v>
      </c>
      <c r="AH124" s="501">
        <v>0</v>
      </c>
      <c r="AI124" s="501">
        <v>0</v>
      </c>
      <c r="AJ124" s="501">
        <v>0</v>
      </c>
      <c r="AK124" s="501">
        <v>0</v>
      </c>
      <c r="AL124" s="501">
        <f t="shared" ref="AL124:AL128" si="237">AG124+AI124+AJ124</f>
        <v>0</v>
      </c>
      <c r="AM124" s="501">
        <f t="shared" ref="AM124:AM128" si="238">AH124+AK124</f>
        <v>0</v>
      </c>
      <c r="AN124" s="502">
        <f>SUM(AL124:AM124)</f>
        <v>0</v>
      </c>
      <c r="AO124" s="499">
        <f>I124+AF124</f>
        <v>2110975</v>
      </c>
      <c r="AP124" s="486">
        <f>J124+V124</f>
        <v>1524002</v>
      </c>
      <c r="AQ124" s="480">
        <f>K124+Y124</f>
        <v>10000</v>
      </c>
      <c r="AR124" s="480">
        <f>L124</f>
        <v>0</v>
      </c>
      <c r="AS124" s="486">
        <f t="shared" ref="AS124:AT128" si="239">M124+AA124</f>
        <v>518493</v>
      </c>
      <c r="AT124" s="486">
        <f t="shared" si="239"/>
        <v>30480</v>
      </c>
      <c r="AU124" s="486">
        <f>O124+AE124</f>
        <v>28000</v>
      </c>
      <c r="AV124" s="501">
        <f>P124+AN124</f>
        <v>3.9218000000000002</v>
      </c>
      <c r="AW124" s="501">
        <f t="shared" ref="AW124:AX128" si="240">Q124+AL124</f>
        <v>3</v>
      </c>
      <c r="AX124" s="502">
        <f t="shared" si="240"/>
        <v>0.92179999999999995</v>
      </c>
    </row>
    <row r="125" spans="1:50" s="210" customFormat="1" ht="14.1" customHeight="1" x14ac:dyDescent="0.2">
      <c r="A125" s="620">
        <v>20</v>
      </c>
      <c r="B125" s="217">
        <v>2446</v>
      </c>
      <c r="C125" s="621">
        <v>600080129</v>
      </c>
      <c r="D125" s="208">
        <v>72743522</v>
      </c>
      <c r="E125" s="217" t="s">
        <v>787</v>
      </c>
      <c r="F125" s="218">
        <v>3117</v>
      </c>
      <c r="G125" s="217" t="s">
        <v>335</v>
      </c>
      <c r="H125" s="622" t="s">
        <v>283</v>
      </c>
      <c r="I125" s="495">
        <v>5812772</v>
      </c>
      <c r="J125" s="328">
        <v>4094640</v>
      </c>
      <c r="K125" s="328">
        <v>43815</v>
      </c>
      <c r="L125" s="328">
        <v>21815</v>
      </c>
      <c r="M125" s="496">
        <v>1391424</v>
      </c>
      <c r="N125" s="496">
        <v>81893</v>
      </c>
      <c r="O125" s="328">
        <v>201000</v>
      </c>
      <c r="P125" s="412">
        <v>8.7024000000000008</v>
      </c>
      <c r="Q125" s="329">
        <v>5.7270000000000003</v>
      </c>
      <c r="R125" s="330">
        <v>2.9754</v>
      </c>
      <c r="S125" s="499">
        <v>0</v>
      </c>
      <c r="T125" s="486">
        <v>0</v>
      </c>
      <c r="U125" s="486">
        <v>0</v>
      </c>
      <c r="V125" s="486">
        <f>SUM(S125:U125)</f>
        <v>0</v>
      </c>
      <c r="W125" s="486">
        <v>0</v>
      </c>
      <c r="X125" s="486">
        <v>0</v>
      </c>
      <c r="Y125" s="486">
        <f>SUM(W125:X125)</f>
        <v>0</v>
      </c>
      <c r="Z125" s="486">
        <f>V125+Y125</f>
        <v>0</v>
      </c>
      <c r="AA125" s="178">
        <f>ROUND((V125+W125)*33.8%,0)</f>
        <v>0</v>
      </c>
      <c r="AB125" s="178">
        <f>ROUND(V125*2%,0)</f>
        <v>0</v>
      </c>
      <c r="AC125" s="486">
        <v>0</v>
      </c>
      <c r="AD125" s="486">
        <v>0</v>
      </c>
      <c r="AE125" s="486">
        <f>SUM(AC125:AD125)</f>
        <v>0</v>
      </c>
      <c r="AF125" s="486">
        <f>Z125+AA125+AB125+AE125</f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si="237"/>
        <v>0</v>
      </c>
      <c r="AM125" s="501">
        <f t="shared" si="238"/>
        <v>0</v>
      </c>
      <c r="AN125" s="502">
        <f>SUM(AL125:AM125)</f>
        <v>0</v>
      </c>
      <c r="AO125" s="499">
        <f>I125+AF125</f>
        <v>5812772</v>
      </c>
      <c r="AP125" s="486">
        <f>J125+V125</f>
        <v>4094640</v>
      </c>
      <c r="AQ125" s="480">
        <f>K125+Y125</f>
        <v>43815</v>
      </c>
      <c r="AR125" s="480">
        <f>L125</f>
        <v>21815</v>
      </c>
      <c r="AS125" s="486">
        <f t="shared" si="239"/>
        <v>1391424</v>
      </c>
      <c r="AT125" s="486">
        <f t="shared" si="239"/>
        <v>81893</v>
      </c>
      <c r="AU125" s="486">
        <f>O125+AE125</f>
        <v>201000</v>
      </c>
      <c r="AV125" s="501">
        <f>P125+AN125</f>
        <v>8.7024000000000008</v>
      </c>
      <c r="AW125" s="501">
        <f t="shared" si="240"/>
        <v>5.7270000000000003</v>
      </c>
      <c r="AX125" s="502">
        <f t="shared" si="240"/>
        <v>2.9754</v>
      </c>
    </row>
    <row r="126" spans="1:50" s="210" customFormat="1" ht="14.1" customHeight="1" x14ac:dyDescent="0.2">
      <c r="A126" s="620">
        <v>20</v>
      </c>
      <c r="B126" s="215">
        <v>2446</v>
      </c>
      <c r="C126" s="621">
        <v>600080129</v>
      </c>
      <c r="D126" s="208">
        <v>72743522</v>
      </c>
      <c r="E126" s="215" t="s">
        <v>787</v>
      </c>
      <c r="F126" s="209">
        <v>3117</v>
      </c>
      <c r="G126" s="208" t="s">
        <v>318</v>
      </c>
      <c r="H126" s="622" t="s">
        <v>284</v>
      </c>
      <c r="I126" s="495">
        <v>1191622</v>
      </c>
      <c r="J126" s="623">
        <v>873617</v>
      </c>
      <c r="K126" s="623">
        <v>0</v>
      </c>
      <c r="L126" s="623">
        <v>0</v>
      </c>
      <c r="M126" s="496">
        <v>295283</v>
      </c>
      <c r="N126" s="496">
        <v>17472</v>
      </c>
      <c r="O126" s="623">
        <v>5250</v>
      </c>
      <c r="P126" s="412">
        <v>2.5499999999999998</v>
      </c>
      <c r="Q126" s="497">
        <v>2.5499999999999998</v>
      </c>
      <c r="R126" s="686">
        <v>0</v>
      </c>
      <c r="S126" s="499">
        <v>0</v>
      </c>
      <c r="T126" s="486">
        <v>0</v>
      </c>
      <c r="U126" s="486">
        <v>0</v>
      </c>
      <c r="V126" s="486">
        <f>SUM(S126:U126)</f>
        <v>0</v>
      </c>
      <c r="W126" s="486">
        <v>0</v>
      </c>
      <c r="X126" s="486">
        <v>0</v>
      </c>
      <c r="Y126" s="486">
        <f>SUM(W126:X126)</f>
        <v>0</v>
      </c>
      <c r="Z126" s="486">
        <f>V126+Y126</f>
        <v>0</v>
      </c>
      <c r="AA126" s="178">
        <f>ROUND((V126+W126)*33.8%,0)</f>
        <v>0</v>
      </c>
      <c r="AB126" s="178">
        <f>ROUND(V126*2%,0)</f>
        <v>0</v>
      </c>
      <c r="AC126" s="486">
        <v>1250</v>
      </c>
      <c r="AD126" s="486">
        <v>0</v>
      </c>
      <c r="AE126" s="486">
        <f>SUM(AC126:AD126)</f>
        <v>1250</v>
      </c>
      <c r="AF126" s="486">
        <f>Z126+AA126+AB126+AE126</f>
        <v>1250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si="237"/>
        <v>0</v>
      </c>
      <c r="AM126" s="501">
        <f t="shared" si="238"/>
        <v>0</v>
      </c>
      <c r="AN126" s="502">
        <f>SUM(AL126:AM126)</f>
        <v>0</v>
      </c>
      <c r="AO126" s="499">
        <f>I126+AF126</f>
        <v>1192872</v>
      </c>
      <c r="AP126" s="486">
        <f>J126+V126</f>
        <v>873617</v>
      </c>
      <c r="AQ126" s="480">
        <f>K126+Y126</f>
        <v>0</v>
      </c>
      <c r="AR126" s="480">
        <f>L126</f>
        <v>0</v>
      </c>
      <c r="AS126" s="486">
        <f t="shared" si="239"/>
        <v>295283</v>
      </c>
      <c r="AT126" s="486">
        <f t="shared" si="239"/>
        <v>17472</v>
      </c>
      <c r="AU126" s="486">
        <f>O126+AE126</f>
        <v>6500</v>
      </c>
      <c r="AV126" s="501">
        <f>P126+AN126</f>
        <v>2.5499999999999998</v>
      </c>
      <c r="AW126" s="501">
        <f t="shared" si="240"/>
        <v>2.5499999999999998</v>
      </c>
      <c r="AX126" s="502">
        <f t="shared" si="240"/>
        <v>0</v>
      </c>
    </row>
    <row r="127" spans="1:50" s="210" customFormat="1" ht="14.1" customHeight="1" x14ac:dyDescent="0.2">
      <c r="A127" s="620">
        <v>20</v>
      </c>
      <c r="B127" s="215">
        <v>2446</v>
      </c>
      <c r="C127" s="621">
        <v>600080129</v>
      </c>
      <c r="D127" s="208">
        <v>72743522</v>
      </c>
      <c r="E127" s="215" t="s">
        <v>787</v>
      </c>
      <c r="F127" s="209">
        <v>3143</v>
      </c>
      <c r="G127" s="208" t="s">
        <v>634</v>
      </c>
      <c r="H127" s="216" t="s">
        <v>283</v>
      </c>
      <c r="I127" s="495">
        <v>853432</v>
      </c>
      <c r="J127" s="411">
        <v>628448</v>
      </c>
      <c r="K127" s="411">
        <v>0</v>
      </c>
      <c r="L127" s="411">
        <v>0</v>
      </c>
      <c r="M127" s="496">
        <v>212415</v>
      </c>
      <c r="N127" s="496">
        <v>12569</v>
      </c>
      <c r="O127" s="623">
        <v>0</v>
      </c>
      <c r="P127" s="412">
        <v>1.448</v>
      </c>
      <c r="Q127" s="415">
        <v>1.448</v>
      </c>
      <c r="R127" s="686">
        <v>0</v>
      </c>
      <c r="S127" s="499"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178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>SUM(AC127:AD127)</f>
        <v>0</v>
      </c>
      <c r="AF127" s="486">
        <f>Z127+AA127+AB127+AE127</f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si="237"/>
        <v>0</v>
      </c>
      <c r="AM127" s="501">
        <f t="shared" si="238"/>
        <v>0</v>
      </c>
      <c r="AN127" s="502">
        <f>SUM(AL127:AM127)</f>
        <v>0</v>
      </c>
      <c r="AO127" s="499">
        <f>I127+AF127</f>
        <v>853432</v>
      </c>
      <c r="AP127" s="486">
        <f>J127+V127</f>
        <v>628448</v>
      </c>
      <c r="AQ127" s="480">
        <f>K127+Y127</f>
        <v>0</v>
      </c>
      <c r="AR127" s="480">
        <f>L127</f>
        <v>0</v>
      </c>
      <c r="AS127" s="486">
        <f t="shared" si="239"/>
        <v>212415</v>
      </c>
      <c r="AT127" s="486">
        <f t="shared" si="239"/>
        <v>12569</v>
      </c>
      <c r="AU127" s="486">
        <f>O127+AE127</f>
        <v>0</v>
      </c>
      <c r="AV127" s="501">
        <f>P127+AN127</f>
        <v>1.448</v>
      </c>
      <c r="AW127" s="501">
        <f t="shared" si="240"/>
        <v>1.448</v>
      </c>
      <c r="AX127" s="502">
        <f t="shared" si="240"/>
        <v>0</v>
      </c>
    </row>
    <row r="128" spans="1:50" s="210" customFormat="1" ht="14.1" customHeight="1" x14ac:dyDescent="0.2">
      <c r="A128" s="620">
        <v>20</v>
      </c>
      <c r="B128" s="215">
        <v>2446</v>
      </c>
      <c r="C128" s="621">
        <v>600080129</v>
      </c>
      <c r="D128" s="208">
        <v>72743522</v>
      </c>
      <c r="E128" s="215" t="s">
        <v>787</v>
      </c>
      <c r="F128" s="209">
        <v>3143</v>
      </c>
      <c r="G128" s="208" t="s">
        <v>635</v>
      </c>
      <c r="H128" s="216" t="s">
        <v>284</v>
      </c>
      <c r="I128" s="495">
        <v>22471</v>
      </c>
      <c r="J128" s="623">
        <v>15840</v>
      </c>
      <c r="K128" s="623">
        <v>0</v>
      </c>
      <c r="L128" s="623">
        <v>0</v>
      </c>
      <c r="M128" s="496">
        <v>5354</v>
      </c>
      <c r="N128" s="496">
        <v>317</v>
      </c>
      <c r="O128" s="623">
        <v>960</v>
      </c>
      <c r="P128" s="412">
        <v>7.0000000000000007E-2</v>
      </c>
      <c r="Q128" s="497">
        <v>0</v>
      </c>
      <c r="R128" s="686">
        <v>7.0000000000000007E-2</v>
      </c>
      <c r="S128" s="499">
        <v>0</v>
      </c>
      <c r="T128" s="486">
        <v>0</v>
      </c>
      <c r="U128" s="486">
        <v>0</v>
      </c>
      <c r="V128" s="486">
        <f>SUM(S128:U128)</f>
        <v>0</v>
      </c>
      <c r="W128" s="486">
        <v>0</v>
      </c>
      <c r="X128" s="486">
        <v>0</v>
      </c>
      <c r="Y128" s="486">
        <f>SUM(W128:X128)</f>
        <v>0</v>
      </c>
      <c r="Z128" s="486">
        <f>V128+Y128</f>
        <v>0</v>
      </c>
      <c r="AA128" s="178">
        <f>ROUND((V128+W128)*33.8%,0)</f>
        <v>0</v>
      </c>
      <c r="AB128" s="178">
        <f>ROUND(V128*2%,0)</f>
        <v>0</v>
      </c>
      <c r="AC128" s="486">
        <v>0</v>
      </c>
      <c r="AD128" s="486">
        <v>0</v>
      </c>
      <c r="AE128" s="486">
        <f>SUM(AC128:AD128)</f>
        <v>0</v>
      </c>
      <c r="AF128" s="486">
        <f>Z128+AA128+AB128+AE128</f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si="237"/>
        <v>0</v>
      </c>
      <c r="AM128" s="501">
        <f t="shared" si="238"/>
        <v>0</v>
      </c>
      <c r="AN128" s="502">
        <f>SUM(AL128:AM128)</f>
        <v>0</v>
      </c>
      <c r="AO128" s="499">
        <f>I128+AF128</f>
        <v>22471</v>
      </c>
      <c r="AP128" s="486">
        <f>J128+V128</f>
        <v>15840</v>
      </c>
      <c r="AQ128" s="480">
        <f>K128+Y128</f>
        <v>0</v>
      </c>
      <c r="AR128" s="480">
        <f>L128</f>
        <v>0</v>
      </c>
      <c r="AS128" s="486">
        <f t="shared" si="239"/>
        <v>5354</v>
      </c>
      <c r="AT128" s="486">
        <f t="shared" si="239"/>
        <v>317</v>
      </c>
      <c r="AU128" s="486">
        <f>O128+AE128</f>
        <v>960</v>
      </c>
      <c r="AV128" s="501">
        <f>P128+AN128</f>
        <v>7.0000000000000007E-2</v>
      </c>
      <c r="AW128" s="501">
        <f t="shared" si="240"/>
        <v>0</v>
      </c>
      <c r="AX128" s="502">
        <f t="shared" si="240"/>
        <v>7.0000000000000007E-2</v>
      </c>
    </row>
    <row r="129" spans="1:54" s="210" customFormat="1" ht="14.1" customHeight="1" thickBot="1" x14ac:dyDescent="0.25">
      <c r="A129" s="236">
        <v>20</v>
      </c>
      <c r="B129" s="224">
        <v>2446</v>
      </c>
      <c r="C129" s="624">
        <v>600080129</v>
      </c>
      <c r="D129" s="224">
        <v>72743522</v>
      </c>
      <c r="E129" s="224" t="s">
        <v>788</v>
      </c>
      <c r="F129" s="225"/>
      <c r="G129" s="226"/>
      <c r="H129" s="227"/>
      <c r="I129" s="625">
        <v>9991272</v>
      </c>
      <c r="J129" s="626">
        <v>7136547</v>
      </c>
      <c r="K129" s="626">
        <v>53815</v>
      </c>
      <c r="L129" s="626">
        <v>21815</v>
      </c>
      <c r="M129" s="626">
        <v>2422969</v>
      </c>
      <c r="N129" s="626">
        <v>142731</v>
      </c>
      <c r="O129" s="626">
        <v>235210</v>
      </c>
      <c r="P129" s="627">
        <v>16.692200000000003</v>
      </c>
      <c r="Q129" s="627">
        <v>12.725000000000001</v>
      </c>
      <c r="R129" s="630">
        <v>3.9671999999999996</v>
      </c>
      <c r="S129" s="684">
        <f t="shared" ref="S129:AX129" si="241">SUM(S124:S128)</f>
        <v>0</v>
      </c>
      <c r="T129" s="678">
        <f t="shared" si="241"/>
        <v>0</v>
      </c>
      <c r="U129" s="678">
        <f t="shared" si="241"/>
        <v>0</v>
      </c>
      <c r="V129" s="678">
        <f t="shared" si="241"/>
        <v>0</v>
      </c>
      <c r="W129" s="678">
        <f t="shared" si="241"/>
        <v>0</v>
      </c>
      <c r="X129" s="678">
        <f t="shared" si="241"/>
        <v>0</v>
      </c>
      <c r="Y129" s="678">
        <f t="shared" si="241"/>
        <v>0</v>
      </c>
      <c r="Z129" s="678">
        <f t="shared" si="241"/>
        <v>0</v>
      </c>
      <c r="AA129" s="678">
        <f t="shared" si="241"/>
        <v>0</v>
      </c>
      <c r="AB129" s="678">
        <f t="shared" si="241"/>
        <v>0</v>
      </c>
      <c r="AC129" s="678">
        <f t="shared" si="241"/>
        <v>1250</v>
      </c>
      <c r="AD129" s="678">
        <f t="shared" si="241"/>
        <v>0</v>
      </c>
      <c r="AE129" s="678">
        <f t="shared" si="241"/>
        <v>1250</v>
      </c>
      <c r="AF129" s="678">
        <f t="shared" si="241"/>
        <v>1250</v>
      </c>
      <c r="AG129" s="679">
        <f t="shared" si="241"/>
        <v>0</v>
      </c>
      <c r="AH129" s="679">
        <f t="shared" si="241"/>
        <v>0</v>
      </c>
      <c r="AI129" s="679">
        <f t="shared" si="241"/>
        <v>0</v>
      </c>
      <c r="AJ129" s="679">
        <f t="shared" si="241"/>
        <v>0</v>
      </c>
      <c r="AK129" s="679">
        <f t="shared" si="241"/>
        <v>0</v>
      </c>
      <c r="AL129" s="679">
        <f t="shared" si="241"/>
        <v>0</v>
      </c>
      <c r="AM129" s="679">
        <f t="shared" si="241"/>
        <v>0</v>
      </c>
      <c r="AN129" s="680">
        <f t="shared" si="241"/>
        <v>0</v>
      </c>
      <c r="AO129" s="626">
        <f t="shared" si="241"/>
        <v>9992522</v>
      </c>
      <c r="AP129" s="628">
        <f t="shared" si="241"/>
        <v>7136547</v>
      </c>
      <c r="AQ129" s="628">
        <f t="shared" si="241"/>
        <v>53815</v>
      </c>
      <c r="AR129" s="628">
        <f t="shared" si="241"/>
        <v>21815</v>
      </c>
      <c r="AS129" s="628">
        <f t="shared" si="241"/>
        <v>2422969</v>
      </c>
      <c r="AT129" s="628">
        <f t="shared" si="241"/>
        <v>142731</v>
      </c>
      <c r="AU129" s="628">
        <f t="shared" si="241"/>
        <v>236460</v>
      </c>
      <c r="AV129" s="629">
        <f t="shared" si="241"/>
        <v>16.692200000000003</v>
      </c>
      <c r="AW129" s="629">
        <f t="shared" si="241"/>
        <v>12.725000000000001</v>
      </c>
      <c r="AX129" s="630">
        <f t="shared" si="241"/>
        <v>3.9671999999999996</v>
      </c>
    </row>
    <row r="130" spans="1:54" s="210" customFormat="1" ht="14.1" customHeight="1" thickBot="1" x14ac:dyDescent="0.25">
      <c r="A130" s="237"/>
      <c r="B130" s="228"/>
      <c r="C130" s="228"/>
      <c r="D130" s="228"/>
      <c r="E130" s="228" t="s">
        <v>789</v>
      </c>
      <c r="F130" s="228"/>
      <c r="G130" s="228"/>
      <c r="H130" s="229"/>
      <c r="I130" s="631">
        <f t="shared" ref="I130:AX130" si="242">I129+I123+I114+I112+I106+I104+I100+I94+I90+I83+I76+I69+I62+I55+I48+I41+I34+I27+I18+I13</f>
        <v>307629155</v>
      </c>
      <c r="J130" s="632">
        <f>J129+J123+J114+J112+J106+J104+J100+J94+J90+J83+J76+J69+J62+J55+J48+J41+J34+J27+J18+J13</f>
        <v>219608669</v>
      </c>
      <c r="K130" s="632">
        <f>K129+K123+K114+K112+K106+K104+K100+K94+K90+K83+K76+K69+K62+K55+K48+K41+K34+K27+K18+K13</f>
        <v>2360726</v>
      </c>
      <c r="L130" s="632">
        <f>L129+L123+L114+L112+L106+L104+L100+L94+L90+L83+L76+L69+L62+L55+L48+L41+L34+L27+L18+L13</f>
        <v>926613</v>
      </c>
      <c r="M130" s="632">
        <f t="shared" si="242"/>
        <v>74684957</v>
      </c>
      <c r="N130" s="632">
        <f t="shared" si="242"/>
        <v>4392175</v>
      </c>
      <c r="O130" s="632">
        <f t="shared" si="242"/>
        <v>6582628</v>
      </c>
      <c r="P130" s="633">
        <f t="shared" si="242"/>
        <v>494.06450000000007</v>
      </c>
      <c r="Q130" s="633">
        <f t="shared" si="242"/>
        <v>355.68349999999998</v>
      </c>
      <c r="R130" s="635">
        <f t="shared" si="242"/>
        <v>138.381</v>
      </c>
      <c r="S130" s="674">
        <f t="shared" si="242"/>
        <v>-14650</v>
      </c>
      <c r="T130" s="675">
        <f t="shared" si="242"/>
        <v>36011</v>
      </c>
      <c r="U130" s="675">
        <f t="shared" si="242"/>
        <v>-16200</v>
      </c>
      <c r="V130" s="675">
        <f t="shared" si="242"/>
        <v>5161</v>
      </c>
      <c r="W130" s="675">
        <f t="shared" si="242"/>
        <v>14650</v>
      </c>
      <c r="X130" s="675">
        <f t="shared" si="242"/>
        <v>0</v>
      </c>
      <c r="Y130" s="675">
        <f t="shared" si="242"/>
        <v>14650</v>
      </c>
      <c r="Z130" s="675">
        <f t="shared" si="242"/>
        <v>19811</v>
      </c>
      <c r="AA130" s="675">
        <f t="shared" si="242"/>
        <v>6696</v>
      </c>
      <c r="AB130" s="675">
        <f t="shared" si="242"/>
        <v>104</v>
      </c>
      <c r="AC130" s="675">
        <f t="shared" si="242"/>
        <v>6500</v>
      </c>
      <c r="AD130" s="675">
        <f t="shared" si="242"/>
        <v>22000</v>
      </c>
      <c r="AE130" s="675">
        <f t="shared" si="242"/>
        <v>28500</v>
      </c>
      <c r="AF130" s="675">
        <f t="shared" si="242"/>
        <v>55111</v>
      </c>
      <c r="AG130" s="676">
        <f t="shared" si="242"/>
        <v>0</v>
      </c>
      <c r="AH130" s="676">
        <f t="shared" si="242"/>
        <v>0</v>
      </c>
      <c r="AI130" s="676">
        <f t="shared" si="242"/>
        <v>9.9999999999999992E-2</v>
      </c>
      <c r="AJ130" s="676">
        <f t="shared" si="242"/>
        <v>0</v>
      </c>
      <c r="AK130" s="676">
        <f t="shared" si="242"/>
        <v>0</v>
      </c>
      <c r="AL130" s="676">
        <f t="shared" si="242"/>
        <v>9.9999999999999992E-2</v>
      </c>
      <c r="AM130" s="676">
        <f t="shared" si="242"/>
        <v>0</v>
      </c>
      <c r="AN130" s="677">
        <f t="shared" si="242"/>
        <v>9.9999999999999992E-2</v>
      </c>
      <c r="AO130" s="631">
        <f t="shared" si="242"/>
        <v>307684266</v>
      </c>
      <c r="AP130" s="228">
        <f t="shared" si="242"/>
        <v>219613830</v>
      </c>
      <c r="AQ130" s="228">
        <f t="shared" si="242"/>
        <v>2375376</v>
      </c>
      <c r="AR130" s="228">
        <f t="shared" si="242"/>
        <v>926613</v>
      </c>
      <c r="AS130" s="228">
        <f t="shared" si="242"/>
        <v>74691653</v>
      </c>
      <c r="AT130" s="228">
        <f t="shared" si="242"/>
        <v>4392279</v>
      </c>
      <c r="AU130" s="228">
        <f t="shared" si="242"/>
        <v>6611128</v>
      </c>
      <c r="AV130" s="634">
        <f t="shared" si="242"/>
        <v>494.16450000000003</v>
      </c>
      <c r="AW130" s="634">
        <f t="shared" si="242"/>
        <v>355.78349999999995</v>
      </c>
      <c r="AX130" s="635">
        <f t="shared" si="242"/>
        <v>138.381</v>
      </c>
    </row>
    <row r="131" spans="1:54" s="210" customFormat="1" ht="14.1" customHeight="1" x14ac:dyDescent="0.2">
      <c r="A131" s="636"/>
      <c r="E131" s="230"/>
      <c r="F131" s="230"/>
      <c r="G131" s="230"/>
      <c r="H131" s="230"/>
      <c r="I131" s="509">
        <f>J130+K130+M130+N130+O130</f>
        <v>307629155</v>
      </c>
      <c r="J131" s="509"/>
      <c r="K131" s="509"/>
      <c r="L131" s="509"/>
      <c r="M131" s="509"/>
      <c r="N131" s="509"/>
      <c r="O131" s="509"/>
      <c r="P131" s="510">
        <f>SUM(Q130:R130)</f>
        <v>494.06449999999995</v>
      </c>
      <c r="Q131" s="510"/>
      <c r="R131" s="510"/>
      <c r="S131" s="509">
        <f>W130</f>
        <v>14650</v>
      </c>
      <c r="T131" s="191"/>
      <c r="U131" s="191"/>
      <c r="V131" s="659">
        <f>SUM(S130:U130)</f>
        <v>5161</v>
      </c>
      <c r="W131" s="607"/>
      <c r="X131" s="607"/>
      <c r="Y131" s="606">
        <f>SUM(W130:X130)</f>
        <v>14650</v>
      </c>
      <c r="Z131" s="659">
        <f>V130+Y130</f>
        <v>19811</v>
      </c>
      <c r="AA131" s="260"/>
      <c r="AB131" s="260"/>
      <c r="AC131" s="660"/>
      <c r="AD131" s="660"/>
      <c r="AE131" s="659">
        <f>SUM(AC130:AD130)</f>
        <v>28500</v>
      </c>
      <c r="AF131" s="659">
        <f>Z130+AA130+AB130+AE130</f>
        <v>55111</v>
      </c>
      <c r="AG131" s="661"/>
      <c r="AH131" s="661"/>
      <c r="AI131" s="661"/>
      <c r="AJ131" s="661"/>
      <c r="AK131" s="661"/>
      <c r="AL131" s="662">
        <f>AG130+AI130+AJ130</f>
        <v>9.9999999999999992E-2</v>
      </c>
      <c r="AM131" s="662">
        <f>AH130+AK130</f>
        <v>0</v>
      </c>
      <c r="AN131" s="662">
        <f>SUM(AL130:AM130)</f>
        <v>9.9999999999999992E-2</v>
      </c>
      <c r="AO131" s="318">
        <f>AP130+AQ130+AS130+AT130+AU130</f>
        <v>307684266</v>
      </c>
      <c r="AP131" s="190"/>
      <c r="AQ131" s="190"/>
      <c r="AR131" s="318"/>
      <c r="AS131" s="190"/>
      <c r="AT131" s="190"/>
      <c r="AU131" s="197"/>
      <c r="AV131" s="191">
        <f>SUM(AW130:AX130)</f>
        <v>494.16449999999998</v>
      </c>
      <c r="AW131" s="190"/>
      <c r="AX131" s="190"/>
    </row>
    <row r="132" spans="1:54" customFormat="1" ht="13.5" thickBot="1" x14ac:dyDescent="0.25">
      <c r="D132" s="16"/>
      <c r="E132" s="12"/>
      <c r="F132" s="16"/>
      <c r="G132" s="36"/>
      <c r="H132" s="12"/>
      <c r="I132" s="192">
        <f ca="1">J133+K133+M133+N133+O133</f>
        <v>307629155</v>
      </c>
      <c r="J132" s="193"/>
      <c r="K132" s="193"/>
      <c r="L132" s="193"/>
      <c r="M132" s="193"/>
      <c r="N132" s="193"/>
      <c r="O132" s="193"/>
      <c r="P132" s="194">
        <f ca="1">SUM(Q133:R133)</f>
        <v>494.06449999999995</v>
      </c>
      <c r="Q132" s="339"/>
      <c r="R132" s="339"/>
      <c r="S132" s="355"/>
      <c r="T132" s="355"/>
      <c r="U132" s="355"/>
      <c r="V132" s="511">
        <f ca="1">SUM(S133:U133)</f>
        <v>5161</v>
      </c>
      <c r="W132" s="512"/>
      <c r="X132" s="512"/>
      <c r="Y132" s="511">
        <f ca="1">SUM(W133:X133)</f>
        <v>14650</v>
      </c>
      <c r="Z132" s="511">
        <f ca="1">V133+Y133</f>
        <v>19811</v>
      </c>
      <c r="AA132" s="354"/>
      <c r="AB132" s="354"/>
      <c r="AC132" s="512"/>
      <c r="AD132" s="512"/>
      <c r="AE132" s="511">
        <f ca="1">SUM(AC133:AD133)</f>
        <v>28500</v>
      </c>
      <c r="AF132" s="511">
        <f ca="1">Z133+AA133+AB133+AE133</f>
        <v>55111</v>
      </c>
      <c r="AG132" s="513"/>
      <c r="AH132" s="513"/>
      <c r="AI132" s="513"/>
      <c r="AJ132" s="513"/>
      <c r="AK132" s="513"/>
      <c r="AL132" s="514">
        <f ca="1">AG133+AI133+AJ133</f>
        <v>9.9999999999999992E-2</v>
      </c>
      <c r="AM132" s="514">
        <f ca="1">AH133+AK133</f>
        <v>0</v>
      </c>
      <c r="AN132" s="514">
        <f ca="1">SUM(AL133:AM133)</f>
        <v>9.9999999999999992E-2</v>
      </c>
      <c r="AO132" s="362">
        <f ca="1">AP133+AQ133+AS133+AT133+AU133</f>
        <v>307684266</v>
      </c>
      <c r="AP132" s="363"/>
      <c r="AQ132" s="363"/>
      <c r="AR132" s="683"/>
      <c r="AS132" s="363"/>
      <c r="AT132" s="363"/>
      <c r="AU132" s="683"/>
      <c r="AV132" s="355">
        <f ca="1">SUM(AW133:AX133)</f>
        <v>494.16450000000009</v>
      </c>
      <c r="AW132" s="363"/>
      <c r="AX132" s="363"/>
    </row>
    <row r="133" spans="1:54" customFormat="1" ht="13.5" thickBot="1" x14ac:dyDescent="0.25">
      <c r="D133" s="16"/>
      <c r="E133" s="12"/>
      <c r="F133" s="16"/>
      <c r="G133" s="36"/>
      <c r="H133" s="39" t="s">
        <v>0</v>
      </c>
      <c r="I133" s="255">
        <f t="shared" ref="I133:AX133" ca="1" si="243">SUM(I134:I143)</f>
        <v>307629155</v>
      </c>
      <c r="J133" s="46">
        <f t="shared" ca="1" si="243"/>
        <v>219608669</v>
      </c>
      <c r="K133" s="46">
        <f t="shared" ca="1" si="243"/>
        <v>2360726</v>
      </c>
      <c r="L133" s="46">
        <f t="shared" ref="L133" ca="1" si="244">SUM(L134:L143)</f>
        <v>926613</v>
      </c>
      <c r="M133" s="46">
        <f t="shared" ca="1" si="243"/>
        <v>74684957</v>
      </c>
      <c r="N133" s="46">
        <f t="shared" ca="1" si="243"/>
        <v>4392175</v>
      </c>
      <c r="O133" s="46">
        <f t="shared" ca="1" si="243"/>
        <v>6582628</v>
      </c>
      <c r="P133" s="47">
        <f t="shared" ca="1" si="243"/>
        <v>494.06450000000001</v>
      </c>
      <c r="Q133" s="47">
        <f t="shared" ca="1" si="243"/>
        <v>355.68349999999998</v>
      </c>
      <c r="R133" s="48">
        <f t="shared" ca="1" si="243"/>
        <v>138.38099999999997</v>
      </c>
      <c r="S133" s="264">
        <f t="shared" ca="1" si="243"/>
        <v>-14650</v>
      </c>
      <c r="T133" s="46">
        <f t="shared" ca="1" si="243"/>
        <v>36011</v>
      </c>
      <c r="U133" s="46">
        <f t="shared" ca="1" si="243"/>
        <v>-16200</v>
      </c>
      <c r="V133" s="46">
        <f t="shared" ca="1" si="243"/>
        <v>5161</v>
      </c>
      <c r="W133" s="46">
        <f t="shared" ca="1" si="243"/>
        <v>14650</v>
      </c>
      <c r="X133" s="46">
        <f t="shared" ca="1" si="243"/>
        <v>0</v>
      </c>
      <c r="Y133" s="46">
        <f t="shared" ca="1" si="243"/>
        <v>14650</v>
      </c>
      <c r="Z133" s="46">
        <f t="shared" ca="1" si="243"/>
        <v>19811</v>
      </c>
      <c r="AA133" s="46">
        <f t="shared" ca="1" si="243"/>
        <v>6696</v>
      </c>
      <c r="AB133" s="46">
        <f t="shared" ca="1" si="243"/>
        <v>104</v>
      </c>
      <c r="AC133" s="46">
        <f t="shared" ca="1" si="243"/>
        <v>6500</v>
      </c>
      <c r="AD133" s="46">
        <f t="shared" ca="1" si="243"/>
        <v>22000</v>
      </c>
      <c r="AE133" s="46">
        <f t="shared" ca="1" si="243"/>
        <v>28500</v>
      </c>
      <c r="AF133" s="46">
        <f t="shared" ca="1" si="243"/>
        <v>55111</v>
      </c>
      <c r="AG133" s="47">
        <f t="shared" ca="1" si="243"/>
        <v>0</v>
      </c>
      <c r="AH133" s="47">
        <f t="shared" ca="1" si="243"/>
        <v>0</v>
      </c>
      <c r="AI133" s="47">
        <f t="shared" ca="1" si="243"/>
        <v>9.9999999999999992E-2</v>
      </c>
      <c r="AJ133" s="47">
        <f t="shared" ca="1" si="243"/>
        <v>0</v>
      </c>
      <c r="AK133" s="358">
        <f t="shared" ca="1" si="243"/>
        <v>0</v>
      </c>
      <c r="AL133" s="358">
        <f t="shared" ca="1" si="243"/>
        <v>9.9999999999999992E-2</v>
      </c>
      <c r="AM133" s="637">
        <f t="shared" ca="1" si="243"/>
        <v>0</v>
      </c>
      <c r="AN133" s="638">
        <f t="shared" ca="1" si="243"/>
        <v>9.9999999999999992E-2</v>
      </c>
      <c r="AO133" s="46">
        <f t="shared" ca="1" si="243"/>
        <v>307684266</v>
      </c>
      <c r="AP133" s="46">
        <f t="shared" ca="1" si="243"/>
        <v>219613830</v>
      </c>
      <c r="AQ133" s="46">
        <f t="shared" ca="1" si="243"/>
        <v>2375376</v>
      </c>
      <c r="AR133" s="46">
        <f t="shared" ref="AR133" ca="1" si="245">SUM(AR134:AR143)</f>
        <v>926613</v>
      </c>
      <c r="AS133" s="46">
        <f t="shared" ca="1" si="243"/>
        <v>74691653</v>
      </c>
      <c r="AT133" s="46">
        <f t="shared" ca="1" si="243"/>
        <v>4392279</v>
      </c>
      <c r="AU133" s="46">
        <f t="shared" ca="1" si="243"/>
        <v>6611128</v>
      </c>
      <c r="AV133" s="47">
        <f t="shared" ca="1" si="243"/>
        <v>494.16449999999998</v>
      </c>
      <c r="AW133" s="47">
        <f t="shared" ca="1" si="243"/>
        <v>355.78350000000012</v>
      </c>
      <c r="AX133" s="400">
        <f t="shared" ca="1" si="243"/>
        <v>138.38099999999997</v>
      </c>
    </row>
    <row r="134" spans="1:54" customFormat="1" ht="12.75" x14ac:dyDescent="0.2">
      <c r="D134" s="16"/>
      <c r="E134" s="12"/>
      <c r="F134" s="16"/>
      <c r="G134" s="36"/>
      <c r="H134" s="1">
        <v>3111</v>
      </c>
      <c r="I134" s="321">
        <f t="shared" ref="I134:AX134" ca="1" si="246">SUMIF($F$12:$F$427,"=3111",I$12:I$383)</f>
        <v>56254789</v>
      </c>
      <c r="J134" s="322">
        <f t="shared" ca="1" si="246"/>
        <v>40561528</v>
      </c>
      <c r="K134" s="322">
        <f t="shared" ca="1" si="246"/>
        <v>347185</v>
      </c>
      <c r="L134" s="322">
        <f t="shared" ca="1" si="246"/>
        <v>0</v>
      </c>
      <c r="M134" s="322">
        <f t="shared" ca="1" si="246"/>
        <v>13827146</v>
      </c>
      <c r="N134" s="322">
        <f t="shared" ca="1" si="246"/>
        <v>811230</v>
      </c>
      <c r="O134" s="322">
        <f t="shared" ca="1" si="246"/>
        <v>707700</v>
      </c>
      <c r="P134" s="323">
        <f t="shared" ca="1" si="246"/>
        <v>96.540900000000008</v>
      </c>
      <c r="Q134" s="323">
        <f t="shared" ca="1" si="246"/>
        <v>77.796400000000006</v>
      </c>
      <c r="R134" s="324">
        <f t="shared" ca="1" si="246"/>
        <v>18.744500000000002</v>
      </c>
      <c r="S134" s="325">
        <f t="shared" ca="1" si="246"/>
        <v>0</v>
      </c>
      <c r="T134" s="322">
        <f t="shared" ca="1" si="246"/>
        <v>0</v>
      </c>
      <c r="U134" s="322">
        <f t="shared" ca="1" si="246"/>
        <v>0</v>
      </c>
      <c r="V134" s="322">
        <f t="shared" ca="1" si="246"/>
        <v>0</v>
      </c>
      <c r="W134" s="322">
        <f t="shared" ca="1" si="246"/>
        <v>0</v>
      </c>
      <c r="X134" s="322">
        <f t="shared" ca="1" si="246"/>
        <v>0</v>
      </c>
      <c r="Y134" s="322">
        <f t="shared" ca="1" si="246"/>
        <v>0</v>
      </c>
      <c r="Z134" s="322">
        <f t="shared" ca="1" si="246"/>
        <v>0</v>
      </c>
      <c r="AA134" s="322">
        <f t="shared" ca="1" si="246"/>
        <v>0</v>
      </c>
      <c r="AB134" s="322">
        <f t="shared" ca="1" si="246"/>
        <v>0</v>
      </c>
      <c r="AC134" s="322">
        <f t="shared" ca="1" si="246"/>
        <v>0</v>
      </c>
      <c r="AD134" s="322">
        <f t="shared" ca="1" si="246"/>
        <v>0</v>
      </c>
      <c r="AE134" s="322">
        <f t="shared" ca="1" si="246"/>
        <v>0</v>
      </c>
      <c r="AF134" s="322">
        <f t="shared" ca="1" si="246"/>
        <v>0</v>
      </c>
      <c r="AG134" s="323">
        <f t="shared" ca="1" si="246"/>
        <v>0</v>
      </c>
      <c r="AH134" s="323">
        <f t="shared" ca="1" si="246"/>
        <v>0</v>
      </c>
      <c r="AI134" s="323">
        <f t="shared" ca="1" si="246"/>
        <v>0</v>
      </c>
      <c r="AJ134" s="323">
        <f t="shared" ca="1" si="246"/>
        <v>0</v>
      </c>
      <c r="AK134" s="323">
        <f t="shared" ca="1" si="246"/>
        <v>0</v>
      </c>
      <c r="AL134" s="323">
        <f t="shared" ca="1" si="246"/>
        <v>0</v>
      </c>
      <c r="AM134" s="326">
        <f t="shared" ca="1" si="246"/>
        <v>0</v>
      </c>
      <c r="AN134" s="639">
        <f t="shared" ca="1" si="246"/>
        <v>0</v>
      </c>
      <c r="AO134" s="322">
        <f t="shared" ca="1" si="246"/>
        <v>56254789</v>
      </c>
      <c r="AP134" s="322">
        <f t="shared" ca="1" si="246"/>
        <v>40561528</v>
      </c>
      <c r="AQ134" s="322">
        <f t="shared" ca="1" si="246"/>
        <v>347185</v>
      </c>
      <c r="AR134" s="322">
        <f t="shared" ca="1" si="246"/>
        <v>0</v>
      </c>
      <c r="AS134" s="322">
        <f t="shared" ca="1" si="246"/>
        <v>13827146</v>
      </c>
      <c r="AT134" s="322">
        <f t="shared" ca="1" si="246"/>
        <v>811230</v>
      </c>
      <c r="AU134" s="322">
        <f t="shared" ca="1" si="246"/>
        <v>707700</v>
      </c>
      <c r="AV134" s="323">
        <f t="shared" ca="1" si="246"/>
        <v>96.540900000000008</v>
      </c>
      <c r="AW134" s="323">
        <f t="shared" ca="1" si="246"/>
        <v>77.796400000000006</v>
      </c>
      <c r="AX134" s="401">
        <f t="shared" ca="1" si="246"/>
        <v>18.744500000000002</v>
      </c>
    </row>
    <row r="135" spans="1:54" customFormat="1" ht="12.75" x14ac:dyDescent="0.2">
      <c r="D135" s="16"/>
      <c r="E135" s="12"/>
      <c r="F135" s="16"/>
      <c r="G135" s="36"/>
      <c r="H135" s="2">
        <v>3113</v>
      </c>
      <c r="I135" s="327">
        <f t="shared" ref="I135:AX135" si="247">SUMIF($F$12:$F$427,"=3113",I$12:I$427)</f>
        <v>146270204</v>
      </c>
      <c r="J135" s="328">
        <f t="shared" si="247"/>
        <v>103589590</v>
      </c>
      <c r="K135" s="328">
        <f t="shared" si="247"/>
        <v>1200002</v>
      </c>
      <c r="L135" s="328">
        <f t="shared" si="247"/>
        <v>849002</v>
      </c>
      <c r="M135" s="328">
        <f t="shared" si="247"/>
        <v>35131922</v>
      </c>
      <c r="N135" s="328">
        <f t="shared" si="247"/>
        <v>2071790</v>
      </c>
      <c r="O135" s="328">
        <f t="shared" si="247"/>
        <v>4276900</v>
      </c>
      <c r="P135" s="329">
        <f t="shared" si="247"/>
        <v>214.88260000000002</v>
      </c>
      <c r="Q135" s="329">
        <f t="shared" si="247"/>
        <v>171.4546</v>
      </c>
      <c r="R135" s="330">
        <f t="shared" si="247"/>
        <v>43.427999999999997</v>
      </c>
      <c r="S135" s="331">
        <f t="shared" si="247"/>
        <v>-29650</v>
      </c>
      <c r="T135" s="328">
        <f t="shared" si="247"/>
        <v>32080</v>
      </c>
      <c r="U135" s="328">
        <f t="shared" si="247"/>
        <v>0</v>
      </c>
      <c r="V135" s="328">
        <f t="shared" si="247"/>
        <v>2430</v>
      </c>
      <c r="W135" s="328">
        <f t="shared" si="247"/>
        <v>29650</v>
      </c>
      <c r="X135" s="328">
        <f t="shared" si="247"/>
        <v>0</v>
      </c>
      <c r="Y135" s="328">
        <f t="shared" si="247"/>
        <v>29650</v>
      </c>
      <c r="Z135" s="328">
        <f t="shared" si="247"/>
        <v>32080</v>
      </c>
      <c r="AA135" s="328">
        <f t="shared" si="247"/>
        <v>10843</v>
      </c>
      <c r="AB135" s="328">
        <f t="shared" si="247"/>
        <v>49</v>
      </c>
      <c r="AC135" s="328">
        <f t="shared" si="247"/>
        <v>500</v>
      </c>
      <c r="AD135" s="328">
        <f t="shared" si="247"/>
        <v>0</v>
      </c>
      <c r="AE135" s="328">
        <f t="shared" si="247"/>
        <v>500</v>
      </c>
      <c r="AF135" s="328">
        <f t="shared" si="247"/>
        <v>43472</v>
      </c>
      <c r="AG135" s="329">
        <f t="shared" si="247"/>
        <v>0</v>
      </c>
      <c r="AH135" s="329">
        <f t="shared" si="247"/>
        <v>0</v>
      </c>
      <c r="AI135" s="329">
        <f t="shared" si="247"/>
        <v>0.09</v>
      </c>
      <c r="AJ135" s="329">
        <f t="shared" si="247"/>
        <v>0</v>
      </c>
      <c r="AK135" s="329">
        <f t="shared" si="247"/>
        <v>0</v>
      </c>
      <c r="AL135" s="329">
        <f t="shared" si="247"/>
        <v>0.09</v>
      </c>
      <c r="AM135" s="332">
        <f t="shared" si="247"/>
        <v>0</v>
      </c>
      <c r="AN135" s="640">
        <f t="shared" si="247"/>
        <v>0.09</v>
      </c>
      <c r="AO135" s="328">
        <f t="shared" si="247"/>
        <v>146313676</v>
      </c>
      <c r="AP135" s="328">
        <f t="shared" si="247"/>
        <v>103592020</v>
      </c>
      <c r="AQ135" s="328">
        <f t="shared" si="247"/>
        <v>1229652</v>
      </c>
      <c r="AR135" s="328">
        <f t="shared" si="247"/>
        <v>849002</v>
      </c>
      <c r="AS135" s="328">
        <f t="shared" si="247"/>
        <v>35142765</v>
      </c>
      <c r="AT135" s="328">
        <f t="shared" si="247"/>
        <v>2071839</v>
      </c>
      <c r="AU135" s="328">
        <f t="shared" si="247"/>
        <v>4277400</v>
      </c>
      <c r="AV135" s="329">
        <f t="shared" si="247"/>
        <v>214.9726</v>
      </c>
      <c r="AW135" s="329">
        <f t="shared" si="247"/>
        <v>171.54460000000003</v>
      </c>
      <c r="AX135" s="402">
        <f t="shared" si="247"/>
        <v>43.427999999999997</v>
      </c>
    </row>
    <row r="136" spans="1:54" customFormat="1" ht="12.75" x14ac:dyDescent="0.2">
      <c r="D136" s="16"/>
      <c r="E136" s="12"/>
      <c r="F136" s="16"/>
      <c r="G136" s="36"/>
      <c r="H136" s="2">
        <v>3114</v>
      </c>
      <c r="I136" s="327">
        <f t="shared" ref="I136:AX136" si="248">SUMIF($F$12:$F$427,"=3114",I$12:I$427)</f>
        <v>12672119</v>
      </c>
      <c r="J136" s="328">
        <f t="shared" si="248"/>
        <v>9091286</v>
      </c>
      <c r="K136" s="328">
        <f t="shared" si="248"/>
        <v>62746</v>
      </c>
      <c r="L136" s="328">
        <f t="shared" si="248"/>
        <v>7696</v>
      </c>
      <c r="M136" s="328">
        <f t="shared" si="248"/>
        <v>3091462</v>
      </c>
      <c r="N136" s="328">
        <f t="shared" si="248"/>
        <v>181825</v>
      </c>
      <c r="O136" s="328">
        <f t="shared" si="248"/>
        <v>244800</v>
      </c>
      <c r="P136" s="329">
        <f t="shared" si="248"/>
        <v>17.797400000000003</v>
      </c>
      <c r="Q136" s="329">
        <f t="shared" si="248"/>
        <v>13.799099999999999</v>
      </c>
      <c r="R136" s="330">
        <f t="shared" si="248"/>
        <v>3.9982999999999995</v>
      </c>
      <c r="S136" s="331">
        <f t="shared" si="248"/>
        <v>0</v>
      </c>
      <c r="T136" s="328">
        <f t="shared" si="248"/>
        <v>0</v>
      </c>
      <c r="U136" s="328">
        <f t="shared" si="248"/>
        <v>0</v>
      </c>
      <c r="V136" s="328">
        <f t="shared" si="248"/>
        <v>0</v>
      </c>
      <c r="W136" s="328">
        <f t="shared" si="248"/>
        <v>0</v>
      </c>
      <c r="X136" s="328">
        <f t="shared" si="248"/>
        <v>0</v>
      </c>
      <c r="Y136" s="328">
        <f t="shared" si="248"/>
        <v>0</v>
      </c>
      <c r="Z136" s="328">
        <f t="shared" si="248"/>
        <v>0</v>
      </c>
      <c r="AA136" s="328">
        <f t="shared" si="248"/>
        <v>0</v>
      </c>
      <c r="AB136" s="328">
        <f t="shared" si="248"/>
        <v>0</v>
      </c>
      <c r="AC136" s="328">
        <f t="shared" si="248"/>
        <v>0</v>
      </c>
      <c r="AD136" s="328">
        <f t="shared" si="248"/>
        <v>0</v>
      </c>
      <c r="AE136" s="328">
        <f t="shared" si="248"/>
        <v>0</v>
      </c>
      <c r="AF136" s="328">
        <f t="shared" si="248"/>
        <v>0</v>
      </c>
      <c r="AG136" s="329">
        <f t="shared" si="248"/>
        <v>0</v>
      </c>
      <c r="AH136" s="329">
        <f t="shared" si="248"/>
        <v>0</v>
      </c>
      <c r="AI136" s="329">
        <f t="shared" si="248"/>
        <v>0</v>
      </c>
      <c r="AJ136" s="329">
        <f t="shared" si="248"/>
        <v>0</v>
      </c>
      <c r="AK136" s="329">
        <f t="shared" si="248"/>
        <v>0</v>
      </c>
      <c r="AL136" s="329">
        <f t="shared" si="248"/>
        <v>0</v>
      </c>
      <c r="AM136" s="332">
        <f t="shared" si="248"/>
        <v>0</v>
      </c>
      <c r="AN136" s="640">
        <f t="shared" si="248"/>
        <v>0</v>
      </c>
      <c r="AO136" s="328">
        <f t="shared" si="248"/>
        <v>12672119</v>
      </c>
      <c r="AP136" s="328">
        <f t="shared" si="248"/>
        <v>9091286</v>
      </c>
      <c r="AQ136" s="328">
        <f t="shared" si="248"/>
        <v>62746</v>
      </c>
      <c r="AR136" s="328">
        <f t="shared" si="248"/>
        <v>7696</v>
      </c>
      <c r="AS136" s="328">
        <f t="shared" si="248"/>
        <v>3091462</v>
      </c>
      <c r="AT136" s="328">
        <f t="shared" si="248"/>
        <v>181825</v>
      </c>
      <c r="AU136" s="328">
        <f t="shared" si="248"/>
        <v>244800</v>
      </c>
      <c r="AV136" s="329">
        <f t="shared" si="248"/>
        <v>17.797400000000003</v>
      </c>
      <c r="AW136" s="329">
        <f t="shared" si="248"/>
        <v>13.799099999999999</v>
      </c>
      <c r="AX136" s="402">
        <f t="shared" si="248"/>
        <v>3.9982999999999995</v>
      </c>
    </row>
    <row r="137" spans="1:54" customFormat="1" ht="12.75" x14ac:dyDescent="0.2">
      <c r="D137" s="16"/>
      <c r="E137" s="12"/>
      <c r="F137" s="16"/>
      <c r="G137" s="36"/>
      <c r="H137" s="2">
        <v>3117</v>
      </c>
      <c r="I137" s="327">
        <f t="shared" ref="I137:AX137" si="249">SUMIF($F$12:$F$427,"=3117",I$12:I$427)</f>
        <v>39651596</v>
      </c>
      <c r="J137" s="328">
        <f t="shared" si="249"/>
        <v>28125703</v>
      </c>
      <c r="K137" s="328">
        <f t="shared" si="249"/>
        <v>296793</v>
      </c>
      <c r="L137" s="328">
        <f t="shared" si="249"/>
        <v>69915</v>
      </c>
      <c r="M137" s="328">
        <f t="shared" si="249"/>
        <v>9555664</v>
      </c>
      <c r="N137" s="328">
        <f t="shared" si="249"/>
        <v>562517</v>
      </c>
      <c r="O137" s="328">
        <f t="shared" si="249"/>
        <v>1110919</v>
      </c>
      <c r="P137" s="329">
        <f t="shared" si="249"/>
        <v>63.295999999999992</v>
      </c>
      <c r="Q137" s="329">
        <f t="shared" si="249"/>
        <v>47.7911</v>
      </c>
      <c r="R137" s="330">
        <f t="shared" si="249"/>
        <v>15.504900000000001</v>
      </c>
      <c r="S137" s="331">
        <f t="shared" si="249"/>
        <v>0</v>
      </c>
      <c r="T137" s="328">
        <f t="shared" si="249"/>
        <v>3931</v>
      </c>
      <c r="U137" s="328">
        <f t="shared" si="249"/>
        <v>-16200</v>
      </c>
      <c r="V137" s="328">
        <f t="shared" si="249"/>
        <v>-12269</v>
      </c>
      <c r="W137" s="328">
        <f t="shared" si="249"/>
        <v>0</v>
      </c>
      <c r="X137" s="328">
        <f t="shared" si="249"/>
        <v>0</v>
      </c>
      <c r="Y137" s="328">
        <f t="shared" si="249"/>
        <v>0</v>
      </c>
      <c r="Z137" s="328">
        <f t="shared" si="249"/>
        <v>-12269</v>
      </c>
      <c r="AA137" s="328">
        <f t="shared" si="249"/>
        <v>-4147</v>
      </c>
      <c r="AB137" s="328">
        <f t="shared" si="249"/>
        <v>-245</v>
      </c>
      <c r="AC137" s="328">
        <f t="shared" si="249"/>
        <v>6000</v>
      </c>
      <c r="AD137" s="328">
        <f t="shared" si="249"/>
        <v>22000</v>
      </c>
      <c r="AE137" s="328">
        <f t="shared" si="249"/>
        <v>28000</v>
      </c>
      <c r="AF137" s="328">
        <f t="shared" si="249"/>
        <v>11339</v>
      </c>
      <c r="AG137" s="329">
        <f t="shared" si="249"/>
        <v>0</v>
      </c>
      <c r="AH137" s="329">
        <f t="shared" si="249"/>
        <v>0</v>
      </c>
      <c r="AI137" s="329">
        <f t="shared" si="249"/>
        <v>0.01</v>
      </c>
      <c r="AJ137" s="329">
        <f t="shared" si="249"/>
        <v>0</v>
      </c>
      <c r="AK137" s="329">
        <f t="shared" si="249"/>
        <v>0</v>
      </c>
      <c r="AL137" s="329">
        <f t="shared" si="249"/>
        <v>0.01</v>
      </c>
      <c r="AM137" s="332">
        <f t="shared" si="249"/>
        <v>0</v>
      </c>
      <c r="AN137" s="640">
        <f t="shared" si="249"/>
        <v>0.01</v>
      </c>
      <c r="AO137" s="328">
        <f t="shared" si="249"/>
        <v>39662935</v>
      </c>
      <c r="AP137" s="328">
        <f t="shared" si="249"/>
        <v>28113434</v>
      </c>
      <c r="AQ137" s="328">
        <f t="shared" si="249"/>
        <v>296793</v>
      </c>
      <c r="AR137" s="328">
        <f t="shared" si="249"/>
        <v>69915</v>
      </c>
      <c r="AS137" s="328">
        <f t="shared" si="249"/>
        <v>9551517</v>
      </c>
      <c r="AT137" s="328">
        <f t="shared" si="249"/>
        <v>562272</v>
      </c>
      <c r="AU137" s="328">
        <f t="shared" si="249"/>
        <v>1138919</v>
      </c>
      <c r="AV137" s="329">
        <f t="shared" si="249"/>
        <v>63.305999999999997</v>
      </c>
      <c r="AW137" s="329">
        <f t="shared" si="249"/>
        <v>47.801100000000005</v>
      </c>
      <c r="AX137" s="402">
        <f t="shared" si="249"/>
        <v>15.504900000000001</v>
      </c>
      <c r="BB137" s="15"/>
    </row>
    <row r="138" spans="1:54" customFormat="1" ht="12.75" x14ac:dyDescent="0.2">
      <c r="D138" s="16"/>
      <c r="E138" s="12"/>
      <c r="F138" s="16"/>
      <c r="G138" s="36"/>
      <c r="H138" s="2">
        <v>3122</v>
      </c>
      <c r="I138" s="327">
        <f t="shared" ref="I138:AX138" si="250">SUMIF($F$12:$F$383,"=3122",I$12:I$383)</f>
        <v>0</v>
      </c>
      <c r="J138" s="328">
        <f t="shared" si="250"/>
        <v>0</v>
      </c>
      <c r="K138" s="328">
        <f t="shared" si="250"/>
        <v>0</v>
      </c>
      <c r="L138" s="328">
        <f t="shared" si="250"/>
        <v>0</v>
      </c>
      <c r="M138" s="328">
        <f t="shared" si="250"/>
        <v>0</v>
      </c>
      <c r="N138" s="328">
        <f t="shared" si="250"/>
        <v>0</v>
      </c>
      <c r="O138" s="328">
        <f t="shared" si="250"/>
        <v>0</v>
      </c>
      <c r="P138" s="329">
        <f t="shared" si="250"/>
        <v>0</v>
      </c>
      <c r="Q138" s="329">
        <f t="shared" si="250"/>
        <v>0</v>
      </c>
      <c r="R138" s="330">
        <f t="shared" si="250"/>
        <v>0</v>
      </c>
      <c r="S138" s="331">
        <f t="shared" si="250"/>
        <v>0</v>
      </c>
      <c r="T138" s="328">
        <f t="shared" si="250"/>
        <v>0</v>
      </c>
      <c r="U138" s="328">
        <f t="shared" si="250"/>
        <v>0</v>
      </c>
      <c r="V138" s="328">
        <f t="shared" si="250"/>
        <v>0</v>
      </c>
      <c r="W138" s="328">
        <f t="shared" si="250"/>
        <v>0</v>
      </c>
      <c r="X138" s="328">
        <f t="shared" si="250"/>
        <v>0</v>
      </c>
      <c r="Y138" s="328">
        <f t="shared" si="250"/>
        <v>0</v>
      </c>
      <c r="Z138" s="328">
        <f t="shared" si="250"/>
        <v>0</v>
      </c>
      <c r="AA138" s="328">
        <f t="shared" si="250"/>
        <v>0</v>
      </c>
      <c r="AB138" s="328">
        <f t="shared" si="250"/>
        <v>0</v>
      </c>
      <c r="AC138" s="328">
        <f t="shared" si="250"/>
        <v>0</v>
      </c>
      <c r="AD138" s="328">
        <f t="shared" si="250"/>
        <v>0</v>
      </c>
      <c r="AE138" s="328">
        <f t="shared" si="250"/>
        <v>0</v>
      </c>
      <c r="AF138" s="328">
        <f t="shared" si="250"/>
        <v>0</v>
      </c>
      <c r="AG138" s="329">
        <f t="shared" si="250"/>
        <v>0</v>
      </c>
      <c r="AH138" s="329">
        <f t="shared" si="250"/>
        <v>0</v>
      </c>
      <c r="AI138" s="329">
        <f t="shared" si="250"/>
        <v>0</v>
      </c>
      <c r="AJ138" s="329">
        <f t="shared" si="250"/>
        <v>0</v>
      </c>
      <c r="AK138" s="329">
        <f t="shared" si="250"/>
        <v>0</v>
      </c>
      <c r="AL138" s="329">
        <f t="shared" si="250"/>
        <v>0</v>
      </c>
      <c r="AM138" s="332">
        <f t="shared" si="250"/>
        <v>0</v>
      </c>
      <c r="AN138" s="640">
        <f t="shared" si="250"/>
        <v>0</v>
      </c>
      <c r="AO138" s="328">
        <f t="shared" si="250"/>
        <v>0</v>
      </c>
      <c r="AP138" s="328">
        <f t="shared" si="250"/>
        <v>0</v>
      </c>
      <c r="AQ138" s="328">
        <f t="shared" si="250"/>
        <v>0</v>
      </c>
      <c r="AR138" s="328">
        <f t="shared" si="250"/>
        <v>0</v>
      </c>
      <c r="AS138" s="328">
        <f t="shared" si="250"/>
        <v>0</v>
      </c>
      <c r="AT138" s="328">
        <f t="shared" si="250"/>
        <v>0</v>
      </c>
      <c r="AU138" s="328">
        <f t="shared" si="250"/>
        <v>0</v>
      </c>
      <c r="AV138" s="329">
        <f t="shared" si="250"/>
        <v>0</v>
      </c>
      <c r="AW138" s="329">
        <f t="shared" si="250"/>
        <v>0</v>
      </c>
      <c r="AX138" s="402">
        <f t="shared" si="250"/>
        <v>0</v>
      </c>
    </row>
    <row r="139" spans="1:54" customFormat="1" ht="12.75" x14ac:dyDescent="0.2">
      <c r="D139" s="16"/>
      <c r="E139" s="12"/>
      <c r="F139" s="16"/>
      <c r="G139" s="36"/>
      <c r="H139" s="2">
        <v>3124</v>
      </c>
      <c r="I139" s="327">
        <f t="shared" ref="I139:AX139" si="251">SUMIF($F$12:$F$383,"=3124",I$12:I$383)</f>
        <v>0</v>
      </c>
      <c r="J139" s="328">
        <f t="shared" si="251"/>
        <v>0</v>
      </c>
      <c r="K139" s="328">
        <f t="shared" si="251"/>
        <v>0</v>
      </c>
      <c r="L139" s="328">
        <f t="shared" si="251"/>
        <v>0</v>
      </c>
      <c r="M139" s="328">
        <f t="shared" si="251"/>
        <v>0</v>
      </c>
      <c r="N139" s="328">
        <f t="shared" si="251"/>
        <v>0</v>
      </c>
      <c r="O139" s="328">
        <f t="shared" si="251"/>
        <v>0</v>
      </c>
      <c r="P139" s="329">
        <f t="shared" si="251"/>
        <v>0</v>
      </c>
      <c r="Q139" s="329">
        <f t="shared" si="251"/>
        <v>0</v>
      </c>
      <c r="R139" s="330">
        <f t="shared" si="251"/>
        <v>0</v>
      </c>
      <c r="S139" s="331">
        <f t="shared" si="251"/>
        <v>0</v>
      </c>
      <c r="T139" s="328">
        <f t="shared" si="251"/>
        <v>0</v>
      </c>
      <c r="U139" s="328">
        <f t="shared" si="251"/>
        <v>0</v>
      </c>
      <c r="V139" s="328">
        <f t="shared" si="251"/>
        <v>0</v>
      </c>
      <c r="W139" s="328">
        <f t="shared" si="251"/>
        <v>0</v>
      </c>
      <c r="X139" s="328">
        <f t="shared" si="251"/>
        <v>0</v>
      </c>
      <c r="Y139" s="328">
        <f t="shared" si="251"/>
        <v>0</v>
      </c>
      <c r="Z139" s="328">
        <f t="shared" si="251"/>
        <v>0</v>
      </c>
      <c r="AA139" s="328">
        <f t="shared" si="251"/>
        <v>0</v>
      </c>
      <c r="AB139" s="328">
        <f t="shared" si="251"/>
        <v>0</v>
      </c>
      <c r="AC139" s="328">
        <f t="shared" si="251"/>
        <v>0</v>
      </c>
      <c r="AD139" s="328">
        <f t="shared" si="251"/>
        <v>0</v>
      </c>
      <c r="AE139" s="328">
        <f t="shared" si="251"/>
        <v>0</v>
      </c>
      <c r="AF139" s="328">
        <f t="shared" si="251"/>
        <v>0</v>
      </c>
      <c r="AG139" s="329">
        <f t="shared" si="251"/>
        <v>0</v>
      </c>
      <c r="AH139" s="329">
        <f t="shared" si="251"/>
        <v>0</v>
      </c>
      <c r="AI139" s="329">
        <f t="shared" si="251"/>
        <v>0</v>
      </c>
      <c r="AJ139" s="329">
        <f t="shared" si="251"/>
        <v>0</v>
      </c>
      <c r="AK139" s="329">
        <f t="shared" si="251"/>
        <v>0</v>
      </c>
      <c r="AL139" s="329">
        <f t="shared" si="251"/>
        <v>0</v>
      </c>
      <c r="AM139" s="332">
        <f t="shared" si="251"/>
        <v>0</v>
      </c>
      <c r="AN139" s="640">
        <f t="shared" si="251"/>
        <v>0</v>
      </c>
      <c r="AO139" s="328">
        <f t="shared" si="251"/>
        <v>0</v>
      </c>
      <c r="AP139" s="328">
        <f t="shared" si="251"/>
        <v>0</v>
      </c>
      <c r="AQ139" s="328">
        <f t="shared" si="251"/>
        <v>0</v>
      </c>
      <c r="AR139" s="328">
        <f t="shared" si="251"/>
        <v>0</v>
      </c>
      <c r="AS139" s="328">
        <f t="shared" si="251"/>
        <v>0</v>
      </c>
      <c r="AT139" s="328">
        <f t="shared" si="251"/>
        <v>0</v>
      </c>
      <c r="AU139" s="328">
        <f t="shared" si="251"/>
        <v>0</v>
      </c>
      <c r="AV139" s="329">
        <f t="shared" si="251"/>
        <v>0</v>
      </c>
      <c r="AW139" s="329">
        <f t="shared" si="251"/>
        <v>0</v>
      </c>
      <c r="AX139" s="402">
        <f t="shared" si="251"/>
        <v>0</v>
      </c>
    </row>
    <row r="140" spans="1:54" customFormat="1" ht="12.75" x14ac:dyDescent="0.2">
      <c r="D140" s="16"/>
      <c r="E140" s="12"/>
      <c r="F140" s="16"/>
      <c r="G140" s="36"/>
      <c r="H140" s="2">
        <v>3141</v>
      </c>
      <c r="I140" s="327">
        <f t="shared" ref="I140:AX140" si="252">SUMIF($F$12:$F$427,"=3141",I$12:I$427)</f>
        <v>20749298</v>
      </c>
      <c r="J140" s="328">
        <f t="shared" si="252"/>
        <v>15024096</v>
      </c>
      <c r="K140" s="328">
        <f t="shared" si="252"/>
        <v>150000</v>
      </c>
      <c r="L140" s="328">
        <f t="shared" si="252"/>
        <v>0</v>
      </c>
      <c r="M140" s="328">
        <f t="shared" si="252"/>
        <v>5128845</v>
      </c>
      <c r="N140" s="328">
        <f t="shared" si="252"/>
        <v>300483</v>
      </c>
      <c r="O140" s="328">
        <f t="shared" si="252"/>
        <v>145874</v>
      </c>
      <c r="P140" s="329">
        <f t="shared" si="252"/>
        <v>51.519999999999996</v>
      </c>
      <c r="Q140" s="329">
        <f t="shared" si="252"/>
        <v>0</v>
      </c>
      <c r="R140" s="330">
        <f t="shared" si="252"/>
        <v>51.519999999999996</v>
      </c>
      <c r="S140" s="331">
        <f t="shared" si="252"/>
        <v>0</v>
      </c>
      <c r="T140" s="328">
        <f t="shared" si="252"/>
        <v>0</v>
      </c>
      <c r="U140" s="328">
        <f t="shared" si="252"/>
        <v>0</v>
      </c>
      <c r="V140" s="328">
        <f t="shared" si="252"/>
        <v>0</v>
      </c>
      <c r="W140" s="328">
        <f t="shared" si="252"/>
        <v>0</v>
      </c>
      <c r="X140" s="328">
        <f t="shared" si="252"/>
        <v>0</v>
      </c>
      <c r="Y140" s="328">
        <f t="shared" si="252"/>
        <v>0</v>
      </c>
      <c r="Z140" s="328">
        <f t="shared" si="252"/>
        <v>0</v>
      </c>
      <c r="AA140" s="328">
        <f t="shared" si="252"/>
        <v>0</v>
      </c>
      <c r="AB140" s="328">
        <f t="shared" si="252"/>
        <v>0</v>
      </c>
      <c r="AC140" s="328">
        <f t="shared" si="252"/>
        <v>0</v>
      </c>
      <c r="AD140" s="328">
        <f t="shared" si="252"/>
        <v>0</v>
      </c>
      <c r="AE140" s="328">
        <f t="shared" si="252"/>
        <v>0</v>
      </c>
      <c r="AF140" s="328">
        <f t="shared" si="252"/>
        <v>0</v>
      </c>
      <c r="AG140" s="329">
        <f t="shared" si="252"/>
        <v>0</v>
      </c>
      <c r="AH140" s="329">
        <f t="shared" si="252"/>
        <v>0</v>
      </c>
      <c r="AI140" s="329">
        <f t="shared" si="252"/>
        <v>0</v>
      </c>
      <c r="AJ140" s="329">
        <f t="shared" si="252"/>
        <v>0</v>
      </c>
      <c r="AK140" s="329">
        <f t="shared" si="252"/>
        <v>0</v>
      </c>
      <c r="AL140" s="329">
        <f t="shared" si="252"/>
        <v>0</v>
      </c>
      <c r="AM140" s="332">
        <f t="shared" si="252"/>
        <v>0</v>
      </c>
      <c r="AN140" s="640">
        <f t="shared" si="252"/>
        <v>0</v>
      </c>
      <c r="AO140" s="328">
        <f t="shared" si="252"/>
        <v>20749298</v>
      </c>
      <c r="AP140" s="328">
        <f t="shared" si="252"/>
        <v>15024096</v>
      </c>
      <c r="AQ140" s="328">
        <f t="shared" si="252"/>
        <v>150000</v>
      </c>
      <c r="AR140" s="328">
        <f t="shared" si="252"/>
        <v>0</v>
      </c>
      <c r="AS140" s="328">
        <f t="shared" si="252"/>
        <v>5128845</v>
      </c>
      <c r="AT140" s="328">
        <f t="shared" si="252"/>
        <v>300483</v>
      </c>
      <c r="AU140" s="328">
        <f t="shared" si="252"/>
        <v>145874</v>
      </c>
      <c r="AV140" s="329">
        <f t="shared" si="252"/>
        <v>51.519999999999996</v>
      </c>
      <c r="AW140" s="329">
        <f t="shared" si="252"/>
        <v>0</v>
      </c>
      <c r="AX140" s="402">
        <f t="shared" si="252"/>
        <v>51.519999999999996</v>
      </c>
    </row>
    <row r="141" spans="1:54" customFormat="1" ht="12.75" x14ac:dyDescent="0.2">
      <c r="D141" s="16"/>
      <c r="E141" s="12"/>
      <c r="F141" s="16"/>
      <c r="G141" s="36"/>
      <c r="H141" s="2">
        <v>3143</v>
      </c>
      <c r="I141" s="327">
        <f t="shared" ref="I141:AX141" si="253">SUMIF($F$12:$F$427,"=3143",I$12:I$427)</f>
        <v>15867175</v>
      </c>
      <c r="J141" s="328">
        <f t="shared" si="253"/>
        <v>11569235</v>
      </c>
      <c r="K141" s="328">
        <f t="shared" si="253"/>
        <v>100000</v>
      </c>
      <c r="L141" s="328">
        <f t="shared" si="253"/>
        <v>0</v>
      </c>
      <c r="M141" s="328">
        <f t="shared" si="253"/>
        <v>3944203</v>
      </c>
      <c r="N141" s="328">
        <f t="shared" si="253"/>
        <v>231387</v>
      </c>
      <c r="O141" s="328">
        <f t="shared" si="253"/>
        <v>22350</v>
      </c>
      <c r="P141" s="329">
        <f t="shared" si="253"/>
        <v>26.268800000000002</v>
      </c>
      <c r="Q141" s="329">
        <f t="shared" si="253"/>
        <v>24.728800000000007</v>
      </c>
      <c r="R141" s="330">
        <f t="shared" si="253"/>
        <v>1.5400000000000003</v>
      </c>
      <c r="S141" s="331">
        <f t="shared" si="253"/>
        <v>15000</v>
      </c>
      <c r="T141" s="328">
        <f t="shared" si="253"/>
        <v>0</v>
      </c>
      <c r="U141" s="328">
        <f t="shared" si="253"/>
        <v>0</v>
      </c>
      <c r="V141" s="328">
        <f t="shared" si="253"/>
        <v>15000</v>
      </c>
      <c r="W141" s="328">
        <f t="shared" si="253"/>
        <v>-15000</v>
      </c>
      <c r="X141" s="328">
        <f t="shared" si="253"/>
        <v>0</v>
      </c>
      <c r="Y141" s="328">
        <f t="shared" si="253"/>
        <v>-15000</v>
      </c>
      <c r="Z141" s="328">
        <f t="shared" si="253"/>
        <v>0</v>
      </c>
      <c r="AA141" s="328">
        <f t="shared" si="253"/>
        <v>0</v>
      </c>
      <c r="AB141" s="328">
        <f t="shared" si="253"/>
        <v>300</v>
      </c>
      <c r="AC141" s="328">
        <f t="shared" si="253"/>
        <v>0</v>
      </c>
      <c r="AD141" s="328">
        <f t="shared" si="253"/>
        <v>0</v>
      </c>
      <c r="AE141" s="328">
        <f t="shared" si="253"/>
        <v>0</v>
      </c>
      <c r="AF141" s="328">
        <f t="shared" si="253"/>
        <v>300</v>
      </c>
      <c r="AG141" s="329">
        <f t="shared" si="253"/>
        <v>0</v>
      </c>
      <c r="AH141" s="329">
        <f t="shared" si="253"/>
        <v>0</v>
      </c>
      <c r="AI141" s="329">
        <f t="shared" si="253"/>
        <v>0</v>
      </c>
      <c r="AJ141" s="329">
        <f t="shared" si="253"/>
        <v>0</v>
      </c>
      <c r="AK141" s="329">
        <f t="shared" si="253"/>
        <v>0</v>
      </c>
      <c r="AL141" s="329">
        <f t="shared" si="253"/>
        <v>0</v>
      </c>
      <c r="AM141" s="332">
        <f t="shared" si="253"/>
        <v>0</v>
      </c>
      <c r="AN141" s="640">
        <f t="shared" si="253"/>
        <v>0</v>
      </c>
      <c r="AO141" s="328">
        <f t="shared" si="253"/>
        <v>15867475</v>
      </c>
      <c r="AP141" s="328">
        <f t="shared" si="253"/>
        <v>11584235</v>
      </c>
      <c r="AQ141" s="328">
        <f t="shared" si="253"/>
        <v>85000</v>
      </c>
      <c r="AR141" s="328">
        <f t="shared" si="253"/>
        <v>0</v>
      </c>
      <c r="AS141" s="328">
        <f t="shared" si="253"/>
        <v>3944203</v>
      </c>
      <c r="AT141" s="328">
        <f t="shared" si="253"/>
        <v>231687</v>
      </c>
      <c r="AU141" s="328">
        <f t="shared" si="253"/>
        <v>22350</v>
      </c>
      <c r="AV141" s="329">
        <f t="shared" si="253"/>
        <v>26.268800000000002</v>
      </c>
      <c r="AW141" s="329">
        <f t="shared" si="253"/>
        <v>24.728800000000007</v>
      </c>
      <c r="AX141" s="402">
        <f t="shared" si="253"/>
        <v>1.5400000000000003</v>
      </c>
    </row>
    <row r="142" spans="1:54" customFormat="1" ht="12.75" x14ac:dyDescent="0.2">
      <c r="D142" s="16"/>
      <c r="E142" s="12"/>
      <c r="F142" s="16"/>
      <c r="G142" s="36"/>
      <c r="H142" s="2">
        <v>3231</v>
      </c>
      <c r="I142" s="327">
        <f t="shared" ref="I142:AX142" si="254">SUMIF($F$12:$F$427,"=3231",I$12:I$427)</f>
        <v>11988158</v>
      </c>
      <c r="J142" s="328">
        <f t="shared" si="254"/>
        <v>8692155</v>
      </c>
      <c r="K142" s="328">
        <f t="shared" si="254"/>
        <v>96000</v>
      </c>
      <c r="L142" s="328">
        <f t="shared" si="254"/>
        <v>0</v>
      </c>
      <c r="M142" s="328">
        <f t="shared" si="254"/>
        <v>2970396</v>
      </c>
      <c r="N142" s="328">
        <f t="shared" si="254"/>
        <v>173842</v>
      </c>
      <c r="O142" s="328">
        <f t="shared" si="254"/>
        <v>55765</v>
      </c>
      <c r="P142" s="329">
        <f t="shared" si="254"/>
        <v>17.038800000000002</v>
      </c>
      <c r="Q142" s="329">
        <f t="shared" si="254"/>
        <v>15.2035</v>
      </c>
      <c r="R142" s="330">
        <f t="shared" si="254"/>
        <v>1.8353000000000002</v>
      </c>
      <c r="S142" s="331">
        <f t="shared" si="254"/>
        <v>0</v>
      </c>
      <c r="T142" s="328">
        <f t="shared" si="254"/>
        <v>0</v>
      </c>
      <c r="U142" s="328">
        <f t="shared" si="254"/>
        <v>0</v>
      </c>
      <c r="V142" s="328">
        <f t="shared" si="254"/>
        <v>0</v>
      </c>
      <c r="W142" s="328">
        <f t="shared" si="254"/>
        <v>0</v>
      </c>
      <c r="X142" s="328">
        <f t="shared" si="254"/>
        <v>0</v>
      </c>
      <c r="Y142" s="328">
        <f t="shared" si="254"/>
        <v>0</v>
      </c>
      <c r="Z142" s="328">
        <f t="shared" si="254"/>
        <v>0</v>
      </c>
      <c r="AA142" s="328">
        <f t="shared" si="254"/>
        <v>0</v>
      </c>
      <c r="AB142" s="328">
        <f t="shared" si="254"/>
        <v>0</v>
      </c>
      <c r="AC142" s="328">
        <f t="shared" si="254"/>
        <v>0</v>
      </c>
      <c r="AD142" s="328">
        <f t="shared" si="254"/>
        <v>0</v>
      </c>
      <c r="AE142" s="328">
        <f t="shared" si="254"/>
        <v>0</v>
      </c>
      <c r="AF142" s="328">
        <f t="shared" si="254"/>
        <v>0</v>
      </c>
      <c r="AG142" s="329">
        <f t="shared" si="254"/>
        <v>0</v>
      </c>
      <c r="AH142" s="329">
        <f t="shared" si="254"/>
        <v>0</v>
      </c>
      <c r="AI142" s="329">
        <f t="shared" si="254"/>
        <v>0</v>
      </c>
      <c r="AJ142" s="329">
        <f t="shared" si="254"/>
        <v>0</v>
      </c>
      <c r="AK142" s="329">
        <f t="shared" si="254"/>
        <v>0</v>
      </c>
      <c r="AL142" s="329">
        <f t="shared" si="254"/>
        <v>0</v>
      </c>
      <c r="AM142" s="332">
        <f t="shared" si="254"/>
        <v>0</v>
      </c>
      <c r="AN142" s="640">
        <f t="shared" si="254"/>
        <v>0</v>
      </c>
      <c r="AO142" s="328">
        <f t="shared" si="254"/>
        <v>11988158</v>
      </c>
      <c r="AP142" s="328">
        <f t="shared" si="254"/>
        <v>8692155</v>
      </c>
      <c r="AQ142" s="328">
        <f t="shared" si="254"/>
        <v>96000</v>
      </c>
      <c r="AR142" s="328">
        <f t="shared" si="254"/>
        <v>0</v>
      </c>
      <c r="AS142" s="328">
        <f t="shared" si="254"/>
        <v>2970396</v>
      </c>
      <c r="AT142" s="328">
        <f t="shared" si="254"/>
        <v>173842</v>
      </c>
      <c r="AU142" s="328">
        <f t="shared" si="254"/>
        <v>55765</v>
      </c>
      <c r="AV142" s="329">
        <f t="shared" si="254"/>
        <v>17.038800000000002</v>
      </c>
      <c r="AW142" s="329">
        <f t="shared" si="254"/>
        <v>15.2035</v>
      </c>
      <c r="AX142" s="402">
        <f t="shared" si="254"/>
        <v>1.8353000000000002</v>
      </c>
    </row>
    <row r="143" spans="1:54" customFormat="1" ht="13.5" thickBot="1" x14ac:dyDescent="0.25">
      <c r="D143" s="16"/>
      <c r="E143" s="12"/>
      <c r="F143" s="16"/>
      <c r="G143" s="36"/>
      <c r="H143" s="265">
        <v>3233</v>
      </c>
      <c r="I143" s="333">
        <f t="shared" ref="I143:AX143" si="255">SUMIF($F$12:$F$427,"=3233",I$12:I$427)</f>
        <v>4175816</v>
      </c>
      <c r="J143" s="334">
        <f t="shared" si="255"/>
        <v>2955076</v>
      </c>
      <c r="K143" s="334">
        <f t="shared" si="255"/>
        <v>108000</v>
      </c>
      <c r="L143" s="334">
        <f t="shared" si="255"/>
        <v>0</v>
      </c>
      <c r="M143" s="334">
        <f t="shared" si="255"/>
        <v>1035319</v>
      </c>
      <c r="N143" s="334">
        <f t="shared" si="255"/>
        <v>59101</v>
      </c>
      <c r="O143" s="334">
        <f t="shared" si="255"/>
        <v>18320</v>
      </c>
      <c r="P143" s="335">
        <f t="shared" si="255"/>
        <v>6.72</v>
      </c>
      <c r="Q143" s="335">
        <f t="shared" si="255"/>
        <v>4.91</v>
      </c>
      <c r="R143" s="336">
        <f t="shared" si="255"/>
        <v>1.81</v>
      </c>
      <c r="S143" s="337">
        <f t="shared" si="255"/>
        <v>0</v>
      </c>
      <c r="T143" s="334">
        <f t="shared" si="255"/>
        <v>0</v>
      </c>
      <c r="U143" s="334">
        <f t="shared" si="255"/>
        <v>0</v>
      </c>
      <c r="V143" s="334">
        <f t="shared" si="255"/>
        <v>0</v>
      </c>
      <c r="W143" s="334">
        <f t="shared" si="255"/>
        <v>0</v>
      </c>
      <c r="X143" s="334">
        <f t="shared" si="255"/>
        <v>0</v>
      </c>
      <c r="Y143" s="334">
        <f t="shared" si="255"/>
        <v>0</v>
      </c>
      <c r="Z143" s="334">
        <f t="shared" si="255"/>
        <v>0</v>
      </c>
      <c r="AA143" s="334">
        <f t="shared" si="255"/>
        <v>0</v>
      </c>
      <c r="AB143" s="334">
        <f t="shared" si="255"/>
        <v>0</v>
      </c>
      <c r="AC143" s="334">
        <f t="shared" si="255"/>
        <v>0</v>
      </c>
      <c r="AD143" s="334">
        <f t="shared" si="255"/>
        <v>0</v>
      </c>
      <c r="AE143" s="334">
        <f t="shared" si="255"/>
        <v>0</v>
      </c>
      <c r="AF143" s="334">
        <f t="shared" si="255"/>
        <v>0</v>
      </c>
      <c r="AG143" s="335">
        <f t="shared" si="255"/>
        <v>0</v>
      </c>
      <c r="AH143" s="335">
        <f t="shared" si="255"/>
        <v>0</v>
      </c>
      <c r="AI143" s="335">
        <f t="shared" si="255"/>
        <v>0</v>
      </c>
      <c r="AJ143" s="335">
        <f t="shared" si="255"/>
        <v>0</v>
      </c>
      <c r="AK143" s="335">
        <f t="shared" si="255"/>
        <v>0</v>
      </c>
      <c r="AL143" s="335">
        <f t="shared" si="255"/>
        <v>0</v>
      </c>
      <c r="AM143" s="338">
        <f t="shared" si="255"/>
        <v>0</v>
      </c>
      <c r="AN143" s="641">
        <f t="shared" si="255"/>
        <v>0</v>
      </c>
      <c r="AO143" s="334">
        <f t="shared" si="255"/>
        <v>4175816</v>
      </c>
      <c r="AP143" s="334">
        <f t="shared" si="255"/>
        <v>2955076</v>
      </c>
      <c r="AQ143" s="334">
        <f t="shared" si="255"/>
        <v>108000</v>
      </c>
      <c r="AR143" s="334">
        <f t="shared" si="255"/>
        <v>0</v>
      </c>
      <c r="AS143" s="334">
        <f t="shared" si="255"/>
        <v>1035319</v>
      </c>
      <c r="AT143" s="334">
        <f t="shared" si="255"/>
        <v>59101</v>
      </c>
      <c r="AU143" s="334">
        <f t="shared" si="255"/>
        <v>18320</v>
      </c>
      <c r="AV143" s="335">
        <f t="shared" si="255"/>
        <v>6.72</v>
      </c>
      <c r="AW143" s="335">
        <f t="shared" si="255"/>
        <v>4.91</v>
      </c>
      <c r="AX143" s="403">
        <f t="shared" si="255"/>
        <v>1.81</v>
      </c>
    </row>
    <row r="144" spans="1:54" x14ac:dyDescent="0.25">
      <c r="I144" s="200"/>
      <c r="J144" s="200"/>
      <c r="K144" s="200"/>
      <c r="L144" s="200"/>
      <c r="M144" s="200"/>
      <c r="N144" s="200"/>
      <c r="O144" s="200"/>
      <c r="P144" s="417"/>
      <c r="Q144" s="417"/>
      <c r="R144" s="417"/>
      <c r="S144" s="231"/>
    </row>
    <row r="145" spans="1:50" s="175" customFormat="1" x14ac:dyDescent="0.25">
      <c r="A145" s="200"/>
      <c r="B145" s="203"/>
      <c r="C145" s="203"/>
      <c r="D145" s="203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417"/>
      <c r="R145" s="417"/>
      <c r="S145" s="231"/>
      <c r="AG145" s="176"/>
      <c r="AH145" s="176"/>
      <c r="AI145" s="176"/>
      <c r="AJ145" s="176"/>
      <c r="AK145" s="176"/>
      <c r="AL145" s="176"/>
      <c r="AM145" s="176"/>
      <c r="AN145" s="176"/>
      <c r="AV145" s="176"/>
      <c r="AW145" s="176"/>
      <c r="AX145" s="176"/>
    </row>
    <row r="146" spans="1:50" s="175" customFormat="1" x14ac:dyDescent="0.25">
      <c r="A146" s="200"/>
      <c r="B146" s="203"/>
      <c r="C146" s="203"/>
      <c r="D146" s="203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417"/>
      <c r="R146" s="417"/>
      <c r="S146" s="231"/>
      <c r="AG146" s="176"/>
      <c r="AH146" s="176"/>
      <c r="AI146" s="176"/>
      <c r="AJ146" s="176"/>
      <c r="AK146" s="176"/>
      <c r="AL146" s="176"/>
      <c r="AM146" s="176"/>
      <c r="AN146" s="176"/>
      <c r="AV146" s="176"/>
      <c r="AW146" s="176"/>
      <c r="AX146" s="176"/>
    </row>
    <row r="147" spans="1:50" s="175" customFormat="1" x14ac:dyDescent="0.25">
      <c r="A147" s="200"/>
      <c r="B147" s="203"/>
      <c r="C147" s="203"/>
      <c r="D147" s="203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417"/>
      <c r="Q147" s="417"/>
      <c r="R147" s="417"/>
      <c r="S147" s="231"/>
      <c r="AG147" s="176"/>
      <c r="AH147" s="176"/>
      <c r="AI147" s="176"/>
      <c r="AJ147" s="176"/>
      <c r="AK147" s="176"/>
      <c r="AL147" s="176"/>
      <c r="AM147" s="176"/>
      <c r="AN147" s="176"/>
      <c r="AV147" s="176"/>
      <c r="AW147" s="176"/>
      <c r="AX147" s="176"/>
    </row>
    <row r="149" spans="1:50" s="175" customFormat="1" x14ac:dyDescent="0.25">
      <c r="A149" s="200"/>
      <c r="B149" s="203"/>
      <c r="C149" s="203"/>
      <c r="D149" s="203"/>
      <c r="E149" s="200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417"/>
      <c r="Q149" s="417"/>
      <c r="R149" s="417"/>
      <c r="S149" s="231"/>
      <c r="T149" s="231"/>
      <c r="U149" s="231"/>
      <c r="AG149" s="176"/>
      <c r="AH149" s="176"/>
      <c r="AI149" s="176"/>
      <c r="AJ149" s="176"/>
      <c r="AK149" s="176"/>
      <c r="AL149" s="176"/>
      <c r="AM149" s="176"/>
      <c r="AN149" s="176"/>
      <c r="AV149" s="176"/>
      <c r="AW149" s="176"/>
      <c r="AX149" s="176"/>
    </row>
    <row r="151" spans="1:50" s="175" customFormat="1" x14ac:dyDescent="0.25">
      <c r="A151" s="200"/>
      <c r="B151" s="203"/>
      <c r="C151" s="203"/>
      <c r="D151" s="203"/>
      <c r="E151" s="200"/>
      <c r="F151" s="200"/>
      <c r="G151" s="200"/>
      <c r="H151" s="200"/>
      <c r="I151" s="447"/>
      <c r="J151" s="447"/>
      <c r="K151" s="447"/>
      <c r="L151" s="447"/>
      <c r="M151" s="447"/>
      <c r="N151" s="447"/>
      <c r="O151" s="447"/>
      <c r="P151" s="448"/>
      <c r="Q151" s="448"/>
      <c r="R151" s="448"/>
      <c r="AG151" s="176"/>
      <c r="AH151" s="176"/>
      <c r="AI151" s="176"/>
      <c r="AJ151" s="176"/>
      <c r="AK151" s="176"/>
      <c r="AL151" s="176"/>
      <c r="AM151" s="176"/>
      <c r="AN151" s="176"/>
      <c r="AV151" s="176"/>
      <c r="AW151" s="176"/>
      <c r="AX151" s="176"/>
    </row>
    <row r="153" spans="1:50" s="175" customFormat="1" x14ac:dyDescent="0.25">
      <c r="A153" s="200"/>
      <c r="B153" s="203"/>
      <c r="C153" s="203"/>
      <c r="D153" s="203"/>
      <c r="E153" s="200"/>
      <c r="F153" s="230"/>
      <c r="G153" s="200"/>
      <c r="H153" s="200"/>
      <c r="I153" s="447"/>
      <c r="J153" s="201"/>
      <c r="K153" s="201"/>
      <c r="L153" s="201"/>
      <c r="M153" s="201"/>
      <c r="N153" s="201"/>
      <c r="O153" s="201"/>
      <c r="P153" s="448"/>
      <c r="Q153" s="202"/>
      <c r="R153" s="202"/>
      <c r="AG153" s="176"/>
      <c r="AH153" s="176"/>
      <c r="AI153" s="176"/>
      <c r="AJ153" s="176"/>
      <c r="AK153" s="176"/>
      <c r="AL153" s="176"/>
      <c r="AM153" s="176"/>
      <c r="AN153" s="176"/>
      <c r="AV153" s="176"/>
      <c r="AW153" s="176"/>
      <c r="AX153" s="176"/>
    </row>
    <row r="154" spans="1:50" s="175" customFormat="1" x14ac:dyDescent="0.25">
      <c r="A154" s="200"/>
      <c r="B154" s="203"/>
      <c r="C154" s="203"/>
      <c r="D154" s="203"/>
      <c r="E154" s="200"/>
      <c r="F154" s="230"/>
      <c r="G154" s="200"/>
      <c r="H154" s="200"/>
      <c r="I154" s="447"/>
      <c r="J154" s="201"/>
      <c r="K154" s="201"/>
      <c r="L154" s="201"/>
      <c r="M154" s="201"/>
      <c r="N154" s="201"/>
      <c r="O154" s="201"/>
      <c r="P154" s="448"/>
      <c r="Q154" s="202"/>
      <c r="R154" s="202"/>
      <c r="AG154" s="176"/>
      <c r="AH154" s="176"/>
      <c r="AI154" s="176"/>
      <c r="AJ154" s="176"/>
      <c r="AK154" s="176"/>
      <c r="AL154" s="176"/>
      <c r="AM154" s="176"/>
      <c r="AN154" s="176"/>
      <c r="AV154" s="176"/>
      <c r="AW154" s="176"/>
      <c r="AX154" s="176"/>
    </row>
    <row r="155" spans="1:50" s="175" customFormat="1" x14ac:dyDescent="0.25">
      <c r="A155" s="200"/>
      <c r="B155" s="203"/>
      <c r="C155" s="203"/>
      <c r="D155" s="203"/>
      <c r="E155" s="200"/>
      <c r="F155" s="230"/>
      <c r="G155" s="200"/>
      <c r="H155" s="200"/>
      <c r="I155" s="447"/>
      <c r="J155" s="201"/>
      <c r="K155" s="201"/>
      <c r="L155" s="201"/>
      <c r="M155" s="201"/>
      <c r="N155" s="201"/>
      <c r="O155" s="201"/>
      <c r="P155" s="448"/>
      <c r="Q155" s="202"/>
      <c r="R155" s="202"/>
      <c r="AG155" s="176"/>
      <c r="AH155" s="176"/>
      <c r="AI155" s="176"/>
      <c r="AJ155" s="176"/>
      <c r="AK155" s="176"/>
      <c r="AL155" s="176"/>
      <c r="AM155" s="176"/>
      <c r="AN155" s="176"/>
      <c r="AV155" s="176"/>
      <c r="AW155" s="176"/>
      <c r="AX155" s="176"/>
    </row>
    <row r="156" spans="1:50" s="175" customFormat="1" x14ac:dyDescent="0.25">
      <c r="A156" s="200"/>
      <c r="B156" s="203"/>
      <c r="C156" s="203"/>
      <c r="D156" s="203"/>
      <c r="E156" s="200"/>
      <c r="F156" s="230"/>
      <c r="G156" s="200"/>
      <c r="H156" s="200"/>
      <c r="I156" s="447"/>
      <c r="J156" s="201"/>
      <c r="K156" s="201"/>
      <c r="L156" s="201"/>
      <c r="M156" s="201"/>
      <c r="N156" s="201"/>
      <c r="O156" s="201"/>
      <c r="P156" s="448"/>
      <c r="Q156" s="202"/>
      <c r="R156" s="202"/>
      <c r="AG156" s="176"/>
      <c r="AH156" s="176"/>
      <c r="AI156" s="176"/>
      <c r="AJ156" s="176"/>
      <c r="AK156" s="176"/>
      <c r="AL156" s="176"/>
      <c r="AM156" s="176"/>
      <c r="AN156" s="176"/>
      <c r="AV156" s="176"/>
      <c r="AW156" s="176"/>
      <c r="AX156" s="176"/>
    </row>
    <row r="157" spans="1:50" s="175" customFormat="1" x14ac:dyDescent="0.25">
      <c r="A157" s="200"/>
      <c r="B157" s="203"/>
      <c r="C157" s="203"/>
      <c r="D157" s="203"/>
      <c r="E157" s="200"/>
      <c r="F157" s="230"/>
      <c r="G157" s="200"/>
      <c r="H157" s="200"/>
      <c r="I157" s="447"/>
      <c r="J157" s="201"/>
      <c r="K157" s="201"/>
      <c r="L157" s="201"/>
      <c r="M157" s="201"/>
      <c r="N157" s="201"/>
      <c r="O157" s="201"/>
      <c r="P157" s="448"/>
      <c r="Q157" s="202"/>
      <c r="R157" s="202"/>
      <c r="AG157" s="176"/>
      <c r="AH157" s="176"/>
      <c r="AI157" s="176"/>
      <c r="AJ157" s="176"/>
      <c r="AK157" s="176"/>
      <c r="AL157" s="176"/>
      <c r="AM157" s="176"/>
      <c r="AN157" s="176"/>
      <c r="AV157" s="176"/>
      <c r="AW157" s="176"/>
      <c r="AX157" s="176"/>
    </row>
    <row r="158" spans="1:50" s="175" customFormat="1" x14ac:dyDescent="0.25">
      <c r="A158" s="200"/>
      <c r="B158" s="203"/>
      <c r="C158" s="203"/>
      <c r="D158" s="203"/>
      <c r="E158" s="200"/>
      <c r="F158" s="230"/>
      <c r="G158" s="200"/>
      <c r="H158" s="200"/>
      <c r="I158" s="447"/>
      <c r="J158" s="201"/>
      <c r="K158" s="201"/>
      <c r="L158" s="201"/>
      <c r="M158" s="201"/>
      <c r="N158" s="201"/>
      <c r="O158" s="201"/>
      <c r="P158" s="448"/>
      <c r="Q158" s="202"/>
      <c r="R158" s="202"/>
      <c r="AG158" s="176"/>
      <c r="AH158" s="176"/>
      <c r="AI158" s="176"/>
      <c r="AJ158" s="176"/>
      <c r="AK158" s="176"/>
      <c r="AL158" s="176"/>
      <c r="AM158" s="176"/>
      <c r="AN158" s="176"/>
      <c r="AV158" s="176"/>
      <c r="AW158" s="176"/>
      <c r="AX158" s="176"/>
    </row>
    <row r="159" spans="1:50" s="175" customFormat="1" x14ac:dyDescent="0.25">
      <c r="A159" s="200"/>
      <c r="B159" s="203"/>
      <c r="C159" s="203"/>
      <c r="D159" s="203"/>
      <c r="E159" s="200"/>
      <c r="F159" s="230"/>
      <c r="G159" s="200"/>
      <c r="H159" s="200"/>
      <c r="I159" s="447"/>
      <c r="J159" s="201"/>
      <c r="K159" s="201"/>
      <c r="L159" s="201"/>
      <c r="M159" s="201"/>
      <c r="N159" s="201"/>
      <c r="O159" s="201"/>
      <c r="P159" s="448"/>
      <c r="Q159" s="202"/>
      <c r="R159" s="202"/>
      <c r="AG159" s="176"/>
      <c r="AH159" s="176"/>
      <c r="AI159" s="176"/>
      <c r="AJ159" s="176"/>
      <c r="AK159" s="176"/>
      <c r="AL159" s="176"/>
      <c r="AM159" s="176"/>
      <c r="AN159" s="176"/>
      <c r="AV159" s="176"/>
      <c r="AW159" s="176"/>
      <c r="AX159" s="176"/>
    </row>
    <row r="160" spans="1:50" s="175" customFormat="1" x14ac:dyDescent="0.25">
      <c r="A160" s="200"/>
      <c r="B160" s="203"/>
      <c r="C160" s="203"/>
      <c r="D160" s="203"/>
      <c r="E160" s="200"/>
      <c r="F160" s="230"/>
      <c r="G160" s="200"/>
      <c r="H160" s="200"/>
      <c r="I160" s="447"/>
      <c r="J160" s="201"/>
      <c r="K160" s="201"/>
      <c r="L160" s="201"/>
      <c r="M160" s="201"/>
      <c r="N160" s="201"/>
      <c r="O160" s="201"/>
      <c r="P160" s="448"/>
      <c r="Q160" s="202"/>
      <c r="R160" s="202"/>
      <c r="AG160" s="176"/>
      <c r="AH160" s="176"/>
      <c r="AI160" s="176"/>
      <c r="AJ160" s="176"/>
      <c r="AK160" s="176"/>
      <c r="AL160" s="176"/>
      <c r="AM160" s="176"/>
      <c r="AN160" s="176"/>
      <c r="AV160" s="176"/>
      <c r="AW160" s="176"/>
      <c r="AX160" s="176"/>
    </row>
    <row r="161" spans="1:50" s="175" customFormat="1" x14ac:dyDescent="0.25">
      <c r="A161" s="200"/>
      <c r="B161" s="203"/>
      <c r="C161" s="203"/>
      <c r="D161" s="203"/>
      <c r="E161" s="200"/>
      <c r="F161" s="230"/>
      <c r="G161" s="200"/>
      <c r="H161" s="200"/>
      <c r="I161" s="447"/>
      <c r="J161" s="201"/>
      <c r="K161" s="201"/>
      <c r="L161" s="201"/>
      <c r="M161" s="201"/>
      <c r="N161" s="201"/>
      <c r="O161" s="201"/>
      <c r="P161" s="448"/>
      <c r="Q161" s="202"/>
      <c r="R161" s="202"/>
      <c r="AG161" s="176"/>
      <c r="AH161" s="176"/>
      <c r="AI161" s="176"/>
      <c r="AJ161" s="176"/>
      <c r="AK161" s="176"/>
      <c r="AL161" s="176"/>
      <c r="AM161" s="176"/>
      <c r="AN161" s="176"/>
      <c r="AV161" s="176"/>
      <c r="AW161" s="176"/>
      <c r="AX161" s="176"/>
    </row>
    <row r="162" spans="1:50" s="175" customFormat="1" x14ac:dyDescent="0.25">
      <c r="A162" s="200"/>
      <c r="B162" s="203"/>
      <c r="C162" s="203"/>
      <c r="D162" s="203"/>
      <c r="E162" s="200"/>
      <c r="F162" s="230"/>
      <c r="G162" s="200"/>
      <c r="H162" s="200"/>
      <c r="I162" s="447"/>
      <c r="J162" s="201"/>
      <c r="K162" s="201"/>
      <c r="L162" s="201"/>
      <c r="M162" s="201"/>
      <c r="N162" s="201"/>
      <c r="O162" s="201"/>
      <c r="P162" s="448"/>
      <c r="Q162" s="202"/>
      <c r="R162" s="202"/>
      <c r="AG162" s="176"/>
      <c r="AH162" s="176"/>
      <c r="AI162" s="176"/>
      <c r="AJ162" s="176"/>
      <c r="AK162" s="176"/>
      <c r="AL162" s="176"/>
      <c r="AM162" s="176"/>
      <c r="AN162" s="176"/>
      <c r="AV162" s="176"/>
      <c r="AW162" s="176"/>
      <c r="AX162" s="176"/>
    </row>
    <row r="163" spans="1:50" s="175" customFormat="1" x14ac:dyDescent="0.25">
      <c r="A163" s="200"/>
      <c r="B163" s="203"/>
      <c r="C163" s="203"/>
      <c r="D163" s="203"/>
      <c r="E163" s="200"/>
      <c r="F163" s="230"/>
      <c r="G163" s="200"/>
      <c r="H163" s="200"/>
      <c r="I163" s="447"/>
      <c r="J163" s="201"/>
      <c r="K163" s="201"/>
      <c r="L163" s="201"/>
      <c r="M163" s="201"/>
      <c r="N163" s="201"/>
      <c r="O163" s="201"/>
      <c r="P163" s="448"/>
      <c r="Q163" s="202"/>
      <c r="R163" s="202"/>
      <c r="AG163" s="176"/>
      <c r="AH163" s="176"/>
      <c r="AI163" s="176"/>
      <c r="AJ163" s="176"/>
      <c r="AK163" s="176"/>
      <c r="AL163" s="176"/>
      <c r="AM163" s="176"/>
      <c r="AN163" s="176"/>
      <c r="AV163" s="176"/>
      <c r="AW163" s="176"/>
      <c r="AX163" s="176"/>
    </row>
    <row r="164" spans="1:50" s="175" customFormat="1" x14ac:dyDescent="0.25">
      <c r="A164" s="200"/>
      <c r="B164" s="203"/>
      <c r="C164" s="203"/>
      <c r="D164" s="203"/>
      <c r="E164" s="200"/>
      <c r="F164" s="230"/>
      <c r="G164" s="200"/>
      <c r="H164" s="200"/>
      <c r="I164" s="447"/>
      <c r="J164" s="201"/>
      <c r="K164" s="201"/>
      <c r="L164" s="201"/>
      <c r="M164" s="201"/>
      <c r="N164" s="201"/>
      <c r="O164" s="201"/>
      <c r="P164" s="448"/>
      <c r="Q164" s="202"/>
      <c r="R164" s="202"/>
      <c r="AG164" s="176"/>
      <c r="AH164" s="176"/>
      <c r="AI164" s="176"/>
      <c r="AJ164" s="176"/>
      <c r="AK164" s="176"/>
      <c r="AL164" s="176"/>
      <c r="AM164" s="176"/>
      <c r="AN164" s="176"/>
      <c r="AV164" s="176"/>
      <c r="AW164" s="176"/>
      <c r="AX164" s="176"/>
    </row>
    <row r="165" spans="1:50" s="175" customFormat="1" x14ac:dyDescent="0.25">
      <c r="A165" s="200"/>
      <c r="B165" s="203"/>
      <c r="C165" s="203"/>
      <c r="D165" s="203"/>
      <c r="E165" s="200"/>
      <c r="F165" s="230"/>
      <c r="G165" s="200"/>
      <c r="H165" s="200"/>
      <c r="I165" s="447"/>
      <c r="J165" s="201"/>
      <c r="K165" s="201"/>
      <c r="L165" s="201"/>
      <c r="M165" s="201"/>
      <c r="N165" s="201"/>
      <c r="O165" s="201"/>
      <c r="P165" s="448"/>
      <c r="Q165" s="202"/>
      <c r="R165" s="202"/>
      <c r="AG165" s="176"/>
      <c r="AH165" s="176"/>
      <c r="AI165" s="176"/>
      <c r="AJ165" s="176"/>
      <c r="AK165" s="176"/>
      <c r="AL165" s="176"/>
      <c r="AM165" s="176"/>
      <c r="AN165" s="176"/>
      <c r="AV165" s="176"/>
      <c r="AW165" s="176"/>
      <c r="AX165" s="176"/>
    </row>
    <row r="166" spans="1:50" s="175" customFormat="1" x14ac:dyDescent="0.25">
      <c r="A166" s="200"/>
      <c r="B166" s="203"/>
      <c r="C166" s="203"/>
      <c r="D166" s="203"/>
      <c r="E166" s="200"/>
      <c r="F166" s="230"/>
      <c r="G166" s="200"/>
      <c r="H166" s="200"/>
      <c r="I166" s="447"/>
      <c r="J166" s="201"/>
      <c r="K166" s="201"/>
      <c r="L166" s="201"/>
      <c r="M166" s="201"/>
      <c r="N166" s="201"/>
      <c r="O166" s="201"/>
      <c r="P166" s="448"/>
      <c r="Q166" s="202"/>
      <c r="R166" s="202"/>
      <c r="AG166" s="176"/>
      <c r="AH166" s="176"/>
      <c r="AI166" s="176"/>
      <c r="AJ166" s="176"/>
      <c r="AK166" s="176"/>
      <c r="AL166" s="176"/>
      <c r="AM166" s="176"/>
      <c r="AN166" s="176"/>
      <c r="AV166" s="176"/>
      <c r="AW166" s="176"/>
      <c r="AX166" s="176"/>
    </row>
    <row r="168" spans="1:50" s="175" customFormat="1" x14ac:dyDescent="0.25">
      <c r="A168" s="200"/>
      <c r="B168" s="203"/>
      <c r="C168" s="203"/>
      <c r="D168" s="203"/>
      <c r="E168" s="200"/>
      <c r="F168" s="200"/>
      <c r="G168" s="200"/>
      <c r="H168" s="200"/>
      <c r="I168" s="447"/>
      <c r="J168" s="447"/>
      <c r="K168" s="447"/>
      <c r="L168" s="447"/>
      <c r="M168" s="447"/>
      <c r="N168" s="447"/>
      <c r="O168" s="447"/>
      <c r="P168" s="448"/>
      <c r="Q168" s="448"/>
      <c r="R168" s="448"/>
      <c r="AG168" s="176"/>
      <c r="AH168" s="176"/>
      <c r="AI168" s="176"/>
      <c r="AJ168" s="176"/>
      <c r="AK168" s="176"/>
      <c r="AL168" s="176"/>
      <c r="AM168" s="176"/>
      <c r="AN168" s="176"/>
      <c r="AV168" s="176"/>
      <c r="AW168" s="176"/>
      <c r="AX168" s="176"/>
    </row>
    <row r="170" spans="1:50" x14ac:dyDescent="0.25">
      <c r="M170" s="201">
        <f t="shared" ref="M170:Q170" si="256">SUBTOTAL(9,M17:M128)</f>
        <v>141669742</v>
      </c>
      <c r="N170" s="201">
        <f t="shared" si="256"/>
        <v>8332459</v>
      </c>
      <c r="P170" s="201">
        <f t="shared" si="256"/>
        <v>932.16980000000001</v>
      </c>
      <c r="Q170" s="201">
        <f t="shared" si="256"/>
        <v>684.15330000000006</v>
      </c>
    </row>
    <row r="175" spans="1:50" x14ac:dyDescent="0.25">
      <c r="M175" s="201">
        <v>119624</v>
      </c>
      <c r="N175" s="201">
        <v>7080</v>
      </c>
      <c r="P175" s="448">
        <v>0</v>
      </c>
      <c r="Q175" s="202">
        <v>1.4800000000000002</v>
      </c>
    </row>
  </sheetData>
  <mergeCells count="24">
    <mergeCell ref="Z7:Z10"/>
    <mergeCell ref="AA7:AA10"/>
    <mergeCell ref="I6:R7"/>
    <mergeCell ref="A3:E3"/>
    <mergeCell ref="I8:I10"/>
    <mergeCell ref="J8:O9"/>
    <mergeCell ref="P8:P10"/>
    <mergeCell ref="Q8:R9"/>
    <mergeCell ref="AO6:AX7"/>
    <mergeCell ref="S6:AN6"/>
    <mergeCell ref="S7:V9"/>
    <mergeCell ref="W7:Y9"/>
    <mergeCell ref="AB7:AB10"/>
    <mergeCell ref="AC7:AE9"/>
    <mergeCell ref="AP8:AU9"/>
    <mergeCell ref="AV8:AV10"/>
    <mergeCell ref="AW8:AX9"/>
    <mergeCell ref="AG8:AH9"/>
    <mergeCell ref="AI8:AI9"/>
    <mergeCell ref="AJ8:AK9"/>
    <mergeCell ref="AL8:AN9"/>
    <mergeCell ref="AO8:AO10"/>
    <mergeCell ref="AF7:AF10"/>
    <mergeCell ref="AG7:AN7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201"/>
  <sheetViews>
    <sheetView workbookViewId="0">
      <pane xSplit="8" ySplit="11" topLeftCell="AK171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RowHeight="12.75" x14ac:dyDescent="0.2"/>
  <cols>
    <col min="1" max="1" width="5" style="738" customWidth="1"/>
    <col min="2" max="2" width="7.140625" style="738" bestFit="1" customWidth="1"/>
    <col min="3" max="3" width="8.7109375" style="738" bestFit="1" customWidth="1"/>
    <col min="4" max="4" width="7.85546875" style="738" bestFit="1" customWidth="1"/>
    <col min="5" max="5" width="28.85546875" style="738" customWidth="1"/>
    <col min="6" max="6" width="4.42578125" style="738" bestFit="1" customWidth="1"/>
    <col min="7" max="7" width="9.5703125" style="78" customWidth="1"/>
    <col min="8" max="8" width="8" style="738" customWidth="1"/>
    <col min="9" max="9" width="11.5703125" style="15" customWidth="1"/>
    <col min="10" max="10" width="11.140625" style="15" customWidth="1"/>
    <col min="11" max="12" width="10.5703125" style="15" customWidth="1"/>
    <col min="13" max="13" width="11.7109375" style="15" customWidth="1"/>
    <col min="14" max="14" width="10.140625" style="15" customWidth="1"/>
    <col min="15" max="15" width="10.42578125" style="15" customWidth="1"/>
    <col min="16" max="16" width="11.42578125" style="14" customWidth="1"/>
    <col min="17" max="17" width="9.28515625" style="14" customWidth="1"/>
    <col min="18" max="18" width="8.28515625" style="14" customWidth="1"/>
    <col min="19" max="19" width="9.140625" style="15" customWidth="1"/>
    <col min="20" max="20" width="9.140625" style="738" customWidth="1"/>
    <col min="21" max="22" width="10.28515625" style="738" customWidth="1"/>
    <col min="23" max="25" width="9.140625" style="738" customWidth="1"/>
    <col min="26" max="26" width="10.28515625" style="738" customWidth="1"/>
    <col min="27" max="32" width="9.140625" style="738" customWidth="1"/>
    <col min="33" max="40" width="9.140625" style="14" customWidth="1"/>
    <col min="41" max="42" width="10" style="738" customWidth="1"/>
    <col min="43" max="43" width="9.140625" style="738" customWidth="1"/>
    <col min="44" max="44" width="10.7109375" style="738" customWidth="1"/>
    <col min="45" max="45" width="10.42578125" style="738" customWidth="1"/>
    <col min="46" max="47" width="9.140625" style="738" customWidth="1"/>
    <col min="48" max="48" width="11.28515625" style="14" customWidth="1"/>
    <col min="49" max="50" width="9.140625" style="14"/>
    <col min="51" max="219" width="9.140625" style="738"/>
    <col min="220" max="220" width="6.85546875" style="738" customWidth="1"/>
    <col min="221" max="221" width="35" style="738" customWidth="1"/>
    <col min="222" max="222" width="8" style="738" customWidth="1"/>
    <col min="223" max="223" width="31.85546875" style="738" customWidth="1"/>
    <col min="224" max="224" width="12" style="738" customWidth="1"/>
    <col min="225" max="225" width="11.5703125" style="738" customWidth="1"/>
    <col min="226" max="226" width="12" style="738" customWidth="1"/>
    <col min="227" max="227" width="11.140625" style="738" customWidth="1"/>
    <col min="228" max="229" width="10" style="738" customWidth="1"/>
    <col min="230" max="231" width="9.140625" style="738"/>
    <col min="232" max="232" width="10.7109375" style="738" customWidth="1"/>
    <col min="233" max="475" width="9.140625" style="738"/>
    <col min="476" max="476" width="6.85546875" style="738" customWidth="1"/>
    <col min="477" max="477" width="35" style="738" customWidth="1"/>
    <col min="478" max="478" width="8" style="738" customWidth="1"/>
    <col min="479" max="479" width="31.85546875" style="738" customWidth="1"/>
    <col min="480" max="480" width="12" style="738" customWidth="1"/>
    <col min="481" max="481" width="11.5703125" style="738" customWidth="1"/>
    <col min="482" max="482" width="12" style="738" customWidth="1"/>
    <col min="483" max="483" width="11.140625" style="738" customWidth="1"/>
    <col min="484" max="485" width="10" style="738" customWidth="1"/>
    <col min="486" max="487" width="9.140625" style="738"/>
    <col min="488" max="488" width="10.7109375" style="738" customWidth="1"/>
    <col min="489" max="731" width="9.140625" style="738"/>
    <col min="732" max="732" width="6.85546875" style="738" customWidth="1"/>
    <col min="733" max="733" width="35" style="738" customWidth="1"/>
    <col min="734" max="734" width="8" style="738" customWidth="1"/>
    <col min="735" max="735" width="31.85546875" style="738" customWidth="1"/>
    <col min="736" max="736" width="12" style="738" customWidth="1"/>
    <col min="737" max="737" width="11.5703125" style="738" customWidth="1"/>
    <col min="738" max="738" width="12" style="738" customWidth="1"/>
    <col min="739" max="739" width="11.140625" style="738" customWidth="1"/>
    <col min="740" max="741" width="10" style="738" customWidth="1"/>
    <col min="742" max="743" width="9.140625" style="738"/>
    <col min="744" max="744" width="10.7109375" style="738" customWidth="1"/>
    <col min="745" max="987" width="9.140625" style="738"/>
    <col min="988" max="988" width="6.85546875" style="738" customWidth="1"/>
    <col min="989" max="989" width="35" style="738" customWidth="1"/>
    <col min="990" max="990" width="8" style="738" customWidth="1"/>
    <col min="991" max="991" width="31.85546875" style="738" customWidth="1"/>
    <col min="992" max="992" width="12" style="738" customWidth="1"/>
    <col min="993" max="993" width="11.5703125" style="738" customWidth="1"/>
    <col min="994" max="994" width="12" style="738" customWidth="1"/>
    <col min="995" max="995" width="11.140625" style="738" customWidth="1"/>
    <col min="996" max="997" width="10" style="738" customWidth="1"/>
    <col min="998" max="999" width="9.140625" style="738"/>
    <col min="1000" max="1000" width="10.7109375" style="738" customWidth="1"/>
    <col min="1001" max="1243" width="9.140625" style="738"/>
    <col min="1244" max="1244" width="6.85546875" style="738" customWidth="1"/>
    <col min="1245" max="1245" width="35" style="738" customWidth="1"/>
    <col min="1246" max="1246" width="8" style="738" customWidth="1"/>
    <col min="1247" max="1247" width="31.85546875" style="738" customWidth="1"/>
    <col min="1248" max="1248" width="12" style="738" customWidth="1"/>
    <col min="1249" max="1249" width="11.5703125" style="738" customWidth="1"/>
    <col min="1250" max="1250" width="12" style="738" customWidth="1"/>
    <col min="1251" max="1251" width="11.140625" style="738" customWidth="1"/>
    <col min="1252" max="1253" width="10" style="738" customWidth="1"/>
    <col min="1254" max="1255" width="9.140625" style="738"/>
    <col min="1256" max="1256" width="10.7109375" style="738" customWidth="1"/>
    <col min="1257" max="1499" width="9.140625" style="738"/>
    <col min="1500" max="1500" width="6.85546875" style="738" customWidth="1"/>
    <col min="1501" max="1501" width="35" style="738" customWidth="1"/>
    <col min="1502" max="1502" width="8" style="738" customWidth="1"/>
    <col min="1503" max="1503" width="31.85546875" style="738" customWidth="1"/>
    <col min="1504" max="1504" width="12" style="738" customWidth="1"/>
    <col min="1505" max="1505" width="11.5703125" style="738" customWidth="1"/>
    <col min="1506" max="1506" width="12" style="738" customWidth="1"/>
    <col min="1507" max="1507" width="11.140625" style="738" customWidth="1"/>
    <col min="1508" max="1509" width="10" style="738" customWidth="1"/>
    <col min="1510" max="1511" width="9.140625" style="738"/>
    <col min="1512" max="1512" width="10.7109375" style="738" customWidth="1"/>
    <col min="1513" max="1755" width="9.140625" style="738"/>
    <col min="1756" max="1756" width="6.85546875" style="738" customWidth="1"/>
    <col min="1757" max="1757" width="35" style="738" customWidth="1"/>
    <col min="1758" max="1758" width="8" style="738" customWidth="1"/>
    <col min="1759" max="1759" width="31.85546875" style="738" customWidth="1"/>
    <col min="1760" max="1760" width="12" style="738" customWidth="1"/>
    <col min="1761" max="1761" width="11.5703125" style="738" customWidth="1"/>
    <col min="1762" max="1762" width="12" style="738" customWidth="1"/>
    <col min="1763" max="1763" width="11.140625" style="738" customWidth="1"/>
    <col min="1764" max="1765" width="10" style="738" customWidth="1"/>
    <col min="1766" max="1767" width="9.140625" style="738"/>
    <col min="1768" max="1768" width="10.7109375" style="738" customWidth="1"/>
    <col min="1769" max="2011" width="9.140625" style="738"/>
    <col min="2012" max="2012" width="6.85546875" style="738" customWidth="1"/>
    <col min="2013" max="2013" width="35" style="738" customWidth="1"/>
    <col min="2014" max="2014" width="8" style="738" customWidth="1"/>
    <col min="2015" max="2015" width="31.85546875" style="738" customWidth="1"/>
    <col min="2016" max="2016" width="12" style="738" customWidth="1"/>
    <col min="2017" max="2017" width="11.5703125" style="738" customWidth="1"/>
    <col min="2018" max="2018" width="12" style="738" customWidth="1"/>
    <col min="2019" max="2019" width="11.140625" style="738" customWidth="1"/>
    <col min="2020" max="2021" width="10" style="738" customWidth="1"/>
    <col min="2022" max="2023" width="9.140625" style="738"/>
    <col min="2024" max="2024" width="10.7109375" style="738" customWidth="1"/>
    <col min="2025" max="2267" width="9.140625" style="738"/>
    <col min="2268" max="2268" width="6.85546875" style="738" customWidth="1"/>
    <col min="2269" max="2269" width="35" style="738" customWidth="1"/>
    <col min="2270" max="2270" width="8" style="738" customWidth="1"/>
    <col min="2271" max="2271" width="31.85546875" style="738" customWidth="1"/>
    <col min="2272" max="2272" width="12" style="738" customWidth="1"/>
    <col min="2273" max="2273" width="11.5703125" style="738" customWidth="1"/>
    <col min="2274" max="2274" width="12" style="738" customWidth="1"/>
    <col min="2275" max="2275" width="11.140625" style="738" customWidth="1"/>
    <col min="2276" max="2277" width="10" style="738" customWidth="1"/>
    <col min="2278" max="2279" width="9.140625" style="738"/>
    <col min="2280" max="2280" width="10.7109375" style="738" customWidth="1"/>
    <col min="2281" max="2523" width="9.140625" style="738"/>
    <col min="2524" max="2524" width="6.85546875" style="738" customWidth="1"/>
    <col min="2525" max="2525" width="35" style="738" customWidth="1"/>
    <col min="2526" max="2526" width="8" style="738" customWidth="1"/>
    <col min="2527" max="2527" width="31.85546875" style="738" customWidth="1"/>
    <col min="2528" max="2528" width="12" style="738" customWidth="1"/>
    <col min="2529" max="2529" width="11.5703125" style="738" customWidth="1"/>
    <col min="2530" max="2530" width="12" style="738" customWidth="1"/>
    <col min="2531" max="2531" width="11.140625" style="738" customWidth="1"/>
    <col min="2532" max="2533" width="10" style="738" customWidth="1"/>
    <col min="2534" max="2535" width="9.140625" style="738"/>
    <col min="2536" max="2536" width="10.7109375" style="738" customWidth="1"/>
    <col min="2537" max="2779" width="9.140625" style="738"/>
    <col min="2780" max="2780" width="6.85546875" style="738" customWidth="1"/>
    <col min="2781" max="2781" width="35" style="738" customWidth="1"/>
    <col min="2782" max="2782" width="8" style="738" customWidth="1"/>
    <col min="2783" max="2783" width="31.85546875" style="738" customWidth="1"/>
    <col min="2784" max="2784" width="12" style="738" customWidth="1"/>
    <col min="2785" max="2785" width="11.5703125" style="738" customWidth="1"/>
    <col min="2786" max="2786" width="12" style="738" customWidth="1"/>
    <col min="2787" max="2787" width="11.140625" style="738" customWidth="1"/>
    <col min="2788" max="2789" width="10" style="738" customWidth="1"/>
    <col min="2790" max="2791" width="9.140625" style="738"/>
    <col min="2792" max="2792" width="10.7109375" style="738" customWidth="1"/>
    <col min="2793" max="3035" width="9.140625" style="738"/>
    <col min="3036" max="3036" width="6.85546875" style="738" customWidth="1"/>
    <col min="3037" max="3037" width="35" style="738" customWidth="1"/>
    <col min="3038" max="3038" width="8" style="738" customWidth="1"/>
    <col min="3039" max="3039" width="31.85546875" style="738" customWidth="1"/>
    <col min="3040" max="3040" width="12" style="738" customWidth="1"/>
    <col min="3041" max="3041" width="11.5703125" style="738" customWidth="1"/>
    <col min="3042" max="3042" width="12" style="738" customWidth="1"/>
    <col min="3043" max="3043" width="11.140625" style="738" customWidth="1"/>
    <col min="3044" max="3045" width="10" style="738" customWidth="1"/>
    <col min="3046" max="3047" width="9.140625" style="738"/>
    <col min="3048" max="3048" width="10.7109375" style="738" customWidth="1"/>
    <col min="3049" max="3291" width="9.140625" style="738"/>
    <col min="3292" max="3292" width="6.85546875" style="738" customWidth="1"/>
    <col min="3293" max="3293" width="35" style="738" customWidth="1"/>
    <col min="3294" max="3294" width="8" style="738" customWidth="1"/>
    <col min="3295" max="3295" width="31.85546875" style="738" customWidth="1"/>
    <col min="3296" max="3296" width="12" style="738" customWidth="1"/>
    <col min="3297" max="3297" width="11.5703125" style="738" customWidth="1"/>
    <col min="3298" max="3298" width="12" style="738" customWidth="1"/>
    <col min="3299" max="3299" width="11.140625" style="738" customWidth="1"/>
    <col min="3300" max="3301" width="10" style="738" customWidth="1"/>
    <col min="3302" max="3303" width="9.140625" style="738"/>
    <col min="3304" max="3304" width="10.7109375" style="738" customWidth="1"/>
    <col min="3305" max="3547" width="9.140625" style="738"/>
    <col min="3548" max="3548" width="6.85546875" style="738" customWidth="1"/>
    <col min="3549" max="3549" width="35" style="738" customWidth="1"/>
    <col min="3550" max="3550" width="8" style="738" customWidth="1"/>
    <col min="3551" max="3551" width="31.85546875" style="738" customWidth="1"/>
    <col min="3552" max="3552" width="12" style="738" customWidth="1"/>
    <col min="3553" max="3553" width="11.5703125" style="738" customWidth="1"/>
    <col min="3554" max="3554" width="12" style="738" customWidth="1"/>
    <col min="3555" max="3555" width="11.140625" style="738" customWidth="1"/>
    <col min="3556" max="3557" width="10" style="738" customWidth="1"/>
    <col min="3558" max="3559" width="9.140625" style="738"/>
    <col min="3560" max="3560" width="10.7109375" style="738" customWidth="1"/>
    <col min="3561" max="3803" width="9.140625" style="738"/>
    <col min="3804" max="3804" width="6.85546875" style="738" customWidth="1"/>
    <col min="3805" max="3805" width="35" style="738" customWidth="1"/>
    <col min="3806" max="3806" width="8" style="738" customWidth="1"/>
    <col min="3807" max="3807" width="31.85546875" style="738" customWidth="1"/>
    <col min="3808" max="3808" width="12" style="738" customWidth="1"/>
    <col min="3809" max="3809" width="11.5703125" style="738" customWidth="1"/>
    <col min="3810" max="3810" width="12" style="738" customWidth="1"/>
    <col min="3811" max="3811" width="11.140625" style="738" customWidth="1"/>
    <col min="3812" max="3813" width="10" style="738" customWidth="1"/>
    <col min="3814" max="3815" width="9.140625" style="738"/>
    <col min="3816" max="3816" width="10.7109375" style="738" customWidth="1"/>
    <col min="3817" max="4059" width="9.140625" style="738"/>
    <col min="4060" max="4060" width="6.85546875" style="738" customWidth="1"/>
    <col min="4061" max="4061" width="35" style="738" customWidth="1"/>
    <col min="4062" max="4062" width="8" style="738" customWidth="1"/>
    <col min="4063" max="4063" width="31.85546875" style="738" customWidth="1"/>
    <col min="4064" max="4064" width="12" style="738" customWidth="1"/>
    <col min="4065" max="4065" width="11.5703125" style="738" customWidth="1"/>
    <col min="4066" max="4066" width="12" style="738" customWidth="1"/>
    <col min="4067" max="4067" width="11.140625" style="738" customWidth="1"/>
    <col min="4068" max="4069" width="10" style="738" customWidth="1"/>
    <col min="4070" max="4071" width="9.140625" style="738"/>
    <col min="4072" max="4072" width="10.7109375" style="738" customWidth="1"/>
    <col min="4073" max="4315" width="9.140625" style="738"/>
    <col min="4316" max="4316" width="6.85546875" style="738" customWidth="1"/>
    <col min="4317" max="4317" width="35" style="738" customWidth="1"/>
    <col min="4318" max="4318" width="8" style="738" customWidth="1"/>
    <col min="4319" max="4319" width="31.85546875" style="738" customWidth="1"/>
    <col min="4320" max="4320" width="12" style="738" customWidth="1"/>
    <col min="4321" max="4321" width="11.5703125" style="738" customWidth="1"/>
    <col min="4322" max="4322" width="12" style="738" customWidth="1"/>
    <col min="4323" max="4323" width="11.140625" style="738" customWidth="1"/>
    <col min="4324" max="4325" width="10" style="738" customWidth="1"/>
    <col min="4326" max="4327" width="9.140625" style="738"/>
    <col min="4328" max="4328" width="10.7109375" style="738" customWidth="1"/>
    <col min="4329" max="4571" width="9.140625" style="738"/>
    <col min="4572" max="4572" width="6.85546875" style="738" customWidth="1"/>
    <col min="4573" max="4573" width="35" style="738" customWidth="1"/>
    <col min="4574" max="4574" width="8" style="738" customWidth="1"/>
    <col min="4575" max="4575" width="31.85546875" style="738" customWidth="1"/>
    <col min="4576" max="4576" width="12" style="738" customWidth="1"/>
    <col min="4577" max="4577" width="11.5703125" style="738" customWidth="1"/>
    <col min="4578" max="4578" width="12" style="738" customWidth="1"/>
    <col min="4579" max="4579" width="11.140625" style="738" customWidth="1"/>
    <col min="4580" max="4581" width="10" style="738" customWidth="1"/>
    <col min="4582" max="4583" width="9.140625" style="738"/>
    <col min="4584" max="4584" width="10.7109375" style="738" customWidth="1"/>
    <col min="4585" max="4827" width="9.140625" style="738"/>
    <col min="4828" max="4828" width="6.85546875" style="738" customWidth="1"/>
    <col min="4829" max="4829" width="35" style="738" customWidth="1"/>
    <col min="4830" max="4830" width="8" style="738" customWidth="1"/>
    <col min="4831" max="4831" width="31.85546875" style="738" customWidth="1"/>
    <col min="4832" max="4832" width="12" style="738" customWidth="1"/>
    <col min="4833" max="4833" width="11.5703125" style="738" customWidth="1"/>
    <col min="4834" max="4834" width="12" style="738" customWidth="1"/>
    <col min="4835" max="4835" width="11.140625" style="738" customWidth="1"/>
    <col min="4836" max="4837" width="10" style="738" customWidth="1"/>
    <col min="4838" max="4839" width="9.140625" style="738"/>
    <col min="4840" max="4840" width="10.7109375" style="738" customWidth="1"/>
    <col min="4841" max="5083" width="9.140625" style="738"/>
    <col min="5084" max="5084" width="6.85546875" style="738" customWidth="1"/>
    <col min="5085" max="5085" width="35" style="738" customWidth="1"/>
    <col min="5086" max="5086" width="8" style="738" customWidth="1"/>
    <col min="5087" max="5087" width="31.85546875" style="738" customWidth="1"/>
    <col min="5088" max="5088" width="12" style="738" customWidth="1"/>
    <col min="5089" max="5089" width="11.5703125" style="738" customWidth="1"/>
    <col min="5090" max="5090" width="12" style="738" customWidth="1"/>
    <col min="5091" max="5091" width="11.140625" style="738" customWidth="1"/>
    <col min="5092" max="5093" width="10" style="738" customWidth="1"/>
    <col min="5094" max="5095" width="9.140625" style="738"/>
    <col min="5096" max="5096" width="10.7109375" style="738" customWidth="1"/>
    <col min="5097" max="5339" width="9.140625" style="738"/>
    <col min="5340" max="5340" width="6.85546875" style="738" customWidth="1"/>
    <col min="5341" max="5341" width="35" style="738" customWidth="1"/>
    <col min="5342" max="5342" width="8" style="738" customWidth="1"/>
    <col min="5343" max="5343" width="31.85546875" style="738" customWidth="1"/>
    <col min="5344" max="5344" width="12" style="738" customWidth="1"/>
    <col min="5345" max="5345" width="11.5703125" style="738" customWidth="1"/>
    <col min="5346" max="5346" width="12" style="738" customWidth="1"/>
    <col min="5347" max="5347" width="11.140625" style="738" customWidth="1"/>
    <col min="5348" max="5349" width="10" style="738" customWidth="1"/>
    <col min="5350" max="5351" width="9.140625" style="738"/>
    <col min="5352" max="5352" width="10.7109375" style="738" customWidth="1"/>
    <col min="5353" max="5595" width="9.140625" style="738"/>
    <col min="5596" max="5596" width="6.85546875" style="738" customWidth="1"/>
    <col min="5597" max="5597" width="35" style="738" customWidth="1"/>
    <col min="5598" max="5598" width="8" style="738" customWidth="1"/>
    <col min="5599" max="5599" width="31.85546875" style="738" customWidth="1"/>
    <col min="5600" max="5600" width="12" style="738" customWidth="1"/>
    <col min="5601" max="5601" width="11.5703125" style="738" customWidth="1"/>
    <col min="5602" max="5602" width="12" style="738" customWidth="1"/>
    <col min="5603" max="5603" width="11.140625" style="738" customWidth="1"/>
    <col min="5604" max="5605" width="10" style="738" customWidth="1"/>
    <col min="5606" max="5607" width="9.140625" style="738"/>
    <col min="5608" max="5608" width="10.7109375" style="738" customWidth="1"/>
    <col min="5609" max="5851" width="9.140625" style="738"/>
    <col min="5852" max="5852" width="6.85546875" style="738" customWidth="1"/>
    <col min="5853" max="5853" width="35" style="738" customWidth="1"/>
    <col min="5854" max="5854" width="8" style="738" customWidth="1"/>
    <col min="5855" max="5855" width="31.85546875" style="738" customWidth="1"/>
    <col min="5856" max="5856" width="12" style="738" customWidth="1"/>
    <col min="5857" max="5857" width="11.5703125" style="738" customWidth="1"/>
    <col min="5858" max="5858" width="12" style="738" customWidth="1"/>
    <col min="5859" max="5859" width="11.140625" style="738" customWidth="1"/>
    <col min="5860" max="5861" width="10" style="738" customWidth="1"/>
    <col min="5862" max="5863" width="9.140625" style="738"/>
    <col min="5864" max="5864" width="10.7109375" style="738" customWidth="1"/>
    <col min="5865" max="6107" width="9.140625" style="738"/>
    <col min="6108" max="6108" width="6.85546875" style="738" customWidth="1"/>
    <col min="6109" max="6109" width="35" style="738" customWidth="1"/>
    <col min="6110" max="6110" width="8" style="738" customWidth="1"/>
    <col min="6111" max="6111" width="31.85546875" style="738" customWidth="1"/>
    <col min="6112" max="6112" width="12" style="738" customWidth="1"/>
    <col min="6113" max="6113" width="11.5703125" style="738" customWidth="1"/>
    <col min="6114" max="6114" width="12" style="738" customWidth="1"/>
    <col min="6115" max="6115" width="11.140625" style="738" customWidth="1"/>
    <col min="6116" max="6117" width="10" style="738" customWidth="1"/>
    <col min="6118" max="6119" width="9.140625" style="738"/>
    <col min="6120" max="6120" width="10.7109375" style="738" customWidth="1"/>
    <col min="6121" max="6363" width="9.140625" style="738"/>
    <col min="6364" max="6364" width="6.85546875" style="738" customWidth="1"/>
    <col min="6365" max="6365" width="35" style="738" customWidth="1"/>
    <col min="6366" max="6366" width="8" style="738" customWidth="1"/>
    <col min="6367" max="6367" width="31.85546875" style="738" customWidth="1"/>
    <col min="6368" max="6368" width="12" style="738" customWidth="1"/>
    <col min="6369" max="6369" width="11.5703125" style="738" customWidth="1"/>
    <col min="6370" max="6370" width="12" style="738" customWidth="1"/>
    <col min="6371" max="6371" width="11.140625" style="738" customWidth="1"/>
    <col min="6372" max="6373" width="10" style="738" customWidth="1"/>
    <col min="6374" max="6375" width="9.140625" style="738"/>
    <col min="6376" max="6376" width="10.7109375" style="738" customWidth="1"/>
    <col min="6377" max="6619" width="9.140625" style="738"/>
    <col min="6620" max="6620" width="6.85546875" style="738" customWidth="1"/>
    <col min="6621" max="6621" width="35" style="738" customWidth="1"/>
    <col min="6622" max="6622" width="8" style="738" customWidth="1"/>
    <col min="6623" max="6623" width="31.85546875" style="738" customWidth="1"/>
    <col min="6624" max="6624" width="12" style="738" customWidth="1"/>
    <col min="6625" max="6625" width="11.5703125" style="738" customWidth="1"/>
    <col min="6626" max="6626" width="12" style="738" customWidth="1"/>
    <col min="6627" max="6627" width="11.140625" style="738" customWidth="1"/>
    <col min="6628" max="6629" width="10" style="738" customWidth="1"/>
    <col min="6630" max="6631" width="9.140625" style="738"/>
    <col min="6632" max="6632" width="10.7109375" style="738" customWidth="1"/>
    <col min="6633" max="6875" width="9.140625" style="738"/>
    <col min="6876" max="6876" width="6.85546875" style="738" customWidth="1"/>
    <col min="6877" max="6877" width="35" style="738" customWidth="1"/>
    <col min="6878" max="6878" width="8" style="738" customWidth="1"/>
    <col min="6879" max="6879" width="31.85546875" style="738" customWidth="1"/>
    <col min="6880" max="6880" width="12" style="738" customWidth="1"/>
    <col min="6881" max="6881" width="11.5703125" style="738" customWidth="1"/>
    <col min="6882" max="6882" width="12" style="738" customWidth="1"/>
    <col min="6883" max="6883" width="11.140625" style="738" customWidth="1"/>
    <col min="6884" max="6885" width="10" style="738" customWidth="1"/>
    <col min="6886" max="6887" width="9.140625" style="738"/>
    <col min="6888" max="6888" width="10.7109375" style="738" customWidth="1"/>
    <col min="6889" max="7131" width="9.140625" style="738"/>
    <col min="7132" max="7132" width="6.85546875" style="738" customWidth="1"/>
    <col min="7133" max="7133" width="35" style="738" customWidth="1"/>
    <col min="7134" max="7134" width="8" style="738" customWidth="1"/>
    <col min="7135" max="7135" width="31.85546875" style="738" customWidth="1"/>
    <col min="7136" max="7136" width="12" style="738" customWidth="1"/>
    <col min="7137" max="7137" width="11.5703125" style="738" customWidth="1"/>
    <col min="7138" max="7138" width="12" style="738" customWidth="1"/>
    <col min="7139" max="7139" width="11.140625" style="738" customWidth="1"/>
    <col min="7140" max="7141" width="10" style="738" customWidth="1"/>
    <col min="7142" max="7143" width="9.140625" style="738"/>
    <col min="7144" max="7144" width="10.7109375" style="738" customWidth="1"/>
    <col min="7145" max="7387" width="9.140625" style="738"/>
    <col min="7388" max="7388" width="6.85546875" style="738" customWidth="1"/>
    <col min="7389" max="7389" width="35" style="738" customWidth="1"/>
    <col min="7390" max="7390" width="8" style="738" customWidth="1"/>
    <col min="7391" max="7391" width="31.85546875" style="738" customWidth="1"/>
    <col min="7392" max="7392" width="12" style="738" customWidth="1"/>
    <col min="7393" max="7393" width="11.5703125" style="738" customWidth="1"/>
    <col min="7394" max="7394" width="12" style="738" customWidth="1"/>
    <col min="7395" max="7395" width="11.140625" style="738" customWidth="1"/>
    <col min="7396" max="7397" width="10" style="738" customWidth="1"/>
    <col min="7398" max="7399" width="9.140625" style="738"/>
    <col min="7400" max="7400" width="10.7109375" style="738" customWidth="1"/>
    <col min="7401" max="7643" width="9.140625" style="738"/>
    <col min="7644" max="7644" width="6.85546875" style="738" customWidth="1"/>
    <col min="7645" max="7645" width="35" style="738" customWidth="1"/>
    <col min="7646" max="7646" width="8" style="738" customWidth="1"/>
    <col min="7647" max="7647" width="31.85546875" style="738" customWidth="1"/>
    <col min="7648" max="7648" width="12" style="738" customWidth="1"/>
    <col min="7649" max="7649" width="11.5703125" style="738" customWidth="1"/>
    <col min="7650" max="7650" width="12" style="738" customWidth="1"/>
    <col min="7651" max="7651" width="11.140625" style="738" customWidth="1"/>
    <col min="7652" max="7653" width="10" style="738" customWidth="1"/>
    <col min="7654" max="7655" width="9.140625" style="738"/>
    <col min="7656" max="7656" width="10.7109375" style="738" customWidth="1"/>
    <col min="7657" max="7899" width="9.140625" style="738"/>
    <col min="7900" max="7900" width="6.85546875" style="738" customWidth="1"/>
    <col min="7901" max="7901" width="35" style="738" customWidth="1"/>
    <col min="7902" max="7902" width="8" style="738" customWidth="1"/>
    <col min="7903" max="7903" width="31.85546875" style="738" customWidth="1"/>
    <col min="7904" max="7904" width="12" style="738" customWidth="1"/>
    <col min="7905" max="7905" width="11.5703125" style="738" customWidth="1"/>
    <col min="7906" max="7906" width="12" style="738" customWidth="1"/>
    <col min="7907" max="7907" width="11.140625" style="738" customWidth="1"/>
    <col min="7908" max="7909" width="10" style="738" customWidth="1"/>
    <col min="7910" max="7911" width="9.140625" style="738"/>
    <col min="7912" max="7912" width="10.7109375" style="738" customWidth="1"/>
    <col min="7913" max="8155" width="9.140625" style="738"/>
    <col min="8156" max="8156" width="6.85546875" style="738" customWidth="1"/>
    <col min="8157" max="8157" width="35" style="738" customWidth="1"/>
    <col min="8158" max="8158" width="8" style="738" customWidth="1"/>
    <col min="8159" max="8159" width="31.85546875" style="738" customWidth="1"/>
    <col min="8160" max="8160" width="12" style="738" customWidth="1"/>
    <col min="8161" max="8161" width="11.5703125" style="738" customWidth="1"/>
    <col min="8162" max="8162" width="12" style="738" customWidth="1"/>
    <col min="8163" max="8163" width="11.140625" style="738" customWidth="1"/>
    <col min="8164" max="8165" width="10" style="738" customWidth="1"/>
    <col min="8166" max="8167" width="9.140625" style="738"/>
    <col min="8168" max="8168" width="10.7109375" style="738" customWidth="1"/>
    <col min="8169" max="8411" width="9.140625" style="738"/>
    <col min="8412" max="8412" width="6.85546875" style="738" customWidth="1"/>
    <col min="8413" max="8413" width="35" style="738" customWidth="1"/>
    <col min="8414" max="8414" width="8" style="738" customWidth="1"/>
    <col min="8415" max="8415" width="31.85546875" style="738" customWidth="1"/>
    <col min="8416" max="8416" width="12" style="738" customWidth="1"/>
    <col min="8417" max="8417" width="11.5703125" style="738" customWidth="1"/>
    <col min="8418" max="8418" width="12" style="738" customWidth="1"/>
    <col min="8419" max="8419" width="11.140625" style="738" customWidth="1"/>
    <col min="8420" max="8421" width="10" style="738" customWidth="1"/>
    <col min="8422" max="8423" width="9.140625" style="738"/>
    <col min="8424" max="8424" width="10.7109375" style="738" customWidth="1"/>
    <col min="8425" max="8667" width="9.140625" style="738"/>
    <col min="8668" max="8668" width="6.85546875" style="738" customWidth="1"/>
    <col min="8669" max="8669" width="35" style="738" customWidth="1"/>
    <col min="8670" max="8670" width="8" style="738" customWidth="1"/>
    <col min="8671" max="8671" width="31.85546875" style="738" customWidth="1"/>
    <col min="8672" max="8672" width="12" style="738" customWidth="1"/>
    <col min="8673" max="8673" width="11.5703125" style="738" customWidth="1"/>
    <col min="8674" max="8674" width="12" style="738" customWidth="1"/>
    <col min="8675" max="8675" width="11.140625" style="738" customWidth="1"/>
    <col min="8676" max="8677" width="10" style="738" customWidth="1"/>
    <col min="8678" max="8679" width="9.140625" style="738"/>
    <col min="8680" max="8680" width="10.7109375" style="738" customWidth="1"/>
    <col min="8681" max="8923" width="9.140625" style="738"/>
    <col min="8924" max="8924" width="6.85546875" style="738" customWidth="1"/>
    <col min="8925" max="8925" width="35" style="738" customWidth="1"/>
    <col min="8926" max="8926" width="8" style="738" customWidth="1"/>
    <col min="8927" max="8927" width="31.85546875" style="738" customWidth="1"/>
    <col min="8928" max="8928" width="12" style="738" customWidth="1"/>
    <col min="8929" max="8929" width="11.5703125" style="738" customWidth="1"/>
    <col min="8930" max="8930" width="12" style="738" customWidth="1"/>
    <col min="8931" max="8931" width="11.140625" style="738" customWidth="1"/>
    <col min="8932" max="8933" width="10" style="738" customWidth="1"/>
    <col min="8934" max="8935" width="9.140625" style="738"/>
    <col min="8936" max="8936" width="10.7109375" style="738" customWidth="1"/>
    <col min="8937" max="9179" width="9.140625" style="738"/>
    <col min="9180" max="9180" width="6.85546875" style="738" customWidth="1"/>
    <col min="9181" max="9181" width="35" style="738" customWidth="1"/>
    <col min="9182" max="9182" width="8" style="738" customWidth="1"/>
    <col min="9183" max="9183" width="31.85546875" style="738" customWidth="1"/>
    <col min="9184" max="9184" width="12" style="738" customWidth="1"/>
    <col min="9185" max="9185" width="11.5703125" style="738" customWidth="1"/>
    <col min="9186" max="9186" width="12" style="738" customWidth="1"/>
    <col min="9187" max="9187" width="11.140625" style="738" customWidth="1"/>
    <col min="9188" max="9189" width="10" style="738" customWidth="1"/>
    <col min="9190" max="9191" width="9.140625" style="738"/>
    <col min="9192" max="9192" width="10.7109375" style="738" customWidth="1"/>
    <col min="9193" max="9435" width="9.140625" style="738"/>
    <col min="9436" max="9436" width="6.85546875" style="738" customWidth="1"/>
    <col min="9437" max="9437" width="35" style="738" customWidth="1"/>
    <col min="9438" max="9438" width="8" style="738" customWidth="1"/>
    <col min="9439" max="9439" width="31.85546875" style="738" customWidth="1"/>
    <col min="9440" max="9440" width="12" style="738" customWidth="1"/>
    <col min="9441" max="9441" width="11.5703125" style="738" customWidth="1"/>
    <col min="9442" max="9442" width="12" style="738" customWidth="1"/>
    <col min="9443" max="9443" width="11.140625" style="738" customWidth="1"/>
    <col min="9444" max="9445" width="10" style="738" customWidth="1"/>
    <col min="9446" max="9447" width="9.140625" style="738"/>
    <col min="9448" max="9448" width="10.7109375" style="738" customWidth="1"/>
    <col min="9449" max="9691" width="9.140625" style="738"/>
    <col min="9692" max="9692" width="6.85546875" style="738" customWidth="1"/>
    <col min="9693" max="9693" width="35" style="738" customWidth="1"/>
    <col min="9694" max="9694" width="8" style="738" customWidth="1"/>
    <col min="9695" max="9695" width="31.85546875" style="738" customWidth="1"/>
    <col min="9696" max="9696" width="12" style="738" customWidth="1"/>
    <col min="9697" max="9697" width="11.5703125" style="738" customWidth="1"/>
    <col min="9698" max="9698" width="12" style="738" customWidth="1"/>
    <col min="9699" max="9699" width="11.140625" style="738" customWidth="1"/>
    <col min="9700" max="9701" width="10" style="738" customWidth="1"/>
    <col min="9702" max="9703" width="9.140625" style="738"/>
    <col min="9704" max="9704" width="10.7109375" style="738" customWidth="1"/>
    <col min="9705" max="9947" width="9.140625" style="738"/>
    <col min="9948" max="9948" width="6.85546875" style="738" customWidth="1"/>
    <col min="9949" max="9949" width="35" style="738" customWidth="1"/>
    <col min="9950" max="9950" width="8" style="738" customWidth="1"/>
    <col min="9951" max="9951" width="31.85546875" style="738" customWidth="1"/>
    <col min="9952" max="9952" width="12" style="738" customWidth="1"/>
    <col min="9953" max="9953" width="11.5703125" style="738" customWidth="1"/>
    <col min="9954" max="9954" width="12" style="738" customWidth="1"/>
    <col min="9955" max="9955" width="11.140625" style="738" customWidth="1"/>
    <col min="9956" max="9957" width="10" style="738" customWidth="1"/>
    <col min="9958" max="9959" width="9.140625" style="738"/>
    <col min="9960" max="9960" width="10.7109375" style="738" customWidth="1"/>
    <col min="9961" max="10203" width="9.140625" style="738"/>
    <col min="10204" max="10204" width="6.85546875" style="738" customWidth="1"/>
    <col min="10205" max="10205" width="35" style="738" customWidth="1"/>
    <col min="10206" max="10206" width="8" style="738" customWidth="1"/>
    <col min="10207" max="10207" width="31.85546875" style="738" customWidth="1"/>
    <col min="10208" max="10208" width="12" style="738" customWidth="1"/>
    <col min="10209" max="10209" width="11.5703125" style="738" customWidth="1"/>
    <col min="10210" max="10210" width="12" style="738" customWidth="1"/>
    <col min="10211" max="10211" width="11.140625" style="738" customWidth="1"/>
    <col min="10212" max="10213" width="10" style="738" customWidth="1"/>
    <col min="10214" max="10215" width="9.140625" style="738"/>
    <col min="10216" max="10216" width="10.7109375" style="738" customWidth="1"/>
    <col min="10217" max="10459" width="9.140625" style="738"/>
    <col min="10460" max="10460" width="6.85546875" style="738" customWidth="1"/>
    <col min="10461" max="10461" width="35" style="738" customWidth="1"/>
    <col min="10462" max="10462" width="8" style="738" customWidth="1"/>
    <col min="10463" max="10463" width="31.85546875" style="738" customWidth="1"/>
    <col min="10464" max="10464" width="12" style="738" customWidth="1"/>
    <col min="10465" max="10465" width="11.5703125" style="738" customWidth="1"/>
    <col min="10466" max="10466" width="12" style="738" customWidth="1"/>
    <col min="10467" max="10467" width="11.140625" style="738" customWidth="1"/>
    <col min="10468" max="10469" width="10" style="738" customWidth="1"/>
    <col min="10470" max="10471" width="9.140625" style="738"/>
    <col min="10472" max="10472" width="10.7109375" style="738" customWidth="1"/>
    <col min="10473" max="10715" width="9.140625" style="738"/>
    <col min="10716" max="10716" width="6.85546875" style="738" customWidth="1"/>
    <col min="10717" max="10717" width="35" style="738" customWidth="1"/>
    <col min="10718" max="10718" width="8" style="738" customWidth="1"/>
    <col min="10719" max="10719" width="31.85546875" style="738" customWidth="1"/>
    <col min="10720" max="10720" width="12" style="738" customWidth="1"/>
    <col min="10721" max="10721" width="11.5703125" style="738" customWidth="1"/>
    <col min="10722" max="10722" width="12" style="738" customWidth="1"/>
    <col min="10723" max="10723" width="11.140625" style="738" customWidth="1"/>
    <col min="10724" max="10725" width="10" style="738" customWidth="1"/>
    <col min="10726" max="10727" width="9.140625" style="738"/>
    <col min="10728" max="10728" width="10.7109375" style="738" customWidth="1"/>
    <col min="10729" max="10971" width="9.140625" style="738"/>
    <col min="10972" max="10972" width="6.85546875" style="738" customWidth="1"/>
    <col min="10973" max="10973" width="35" style="738" customWidth="1"/>
    <col min="10974" max="10974" width="8" style="738" customWidth="1"/>
    <col min="10975" max="10975" width="31.85546875" style="738" customWidth="1"/>
    <col min="10976" max="10976" width="12" style="738" customWidth="1"/>
    <col min="10977" max="10977" width="11.5703125" style="738" customWidth="1"/>
    <col min="10978" max="10978" width="12" style="738" customWidth="1"/>
    <col min="10979" max="10979" width="11.140625" style="738" customWidth="1"/>
    <col min="10980" max="10981" width="10" style="738" customWidth="1"/>
    <col min="10982" max="10983" width="9.140625" style="738"/>
    <col min="10984" max="10984" width="10.7109375" style="738" customWidth="1"/>
    <col min="10985" max="11227" width="9.140625" style="738"/>
    <col min="11228" max="11228" width="6.85546875" style="738" customWidth="1"/>
    <col min="11229" max="11229" width="35" style="738" customWidth="1"/>
    <col min="11230" max="11230" width="8" style="738" customWidth="1"/>
    <col min="11231" max="11231" width="31.85546875" style="738" customWidth="1"/>
    <col min="11232" max="11232" width="12" style="738" customWidth="1"/>
    <col min="11233" max="11233" width="11.5703125" style="738" customWidth="1"/>
    <col min="11234" max="11234" width="12" style="738" customWidth="1"/>
    <col min="11235" max="11235" width="11.140625" style="738" customWidth="1"/>
    <col min="11236" max="11237" width="10" style="738" customWidth="1"/>
    <col min="11238" max="11239" width="9.140625" style="738"/>
    <col min="11240" max="11240" width="10.7109375" style="738" customWidth="1"/>
    <col min="11241" max="11483" width="9.140625" style="738"/>
    <col min="11484" max="11484" width="6.85546875" style="738" customWidth="1"/>
    <col min="11485" max="11485" width="35" style="738" customWidth="1"/>
    <col min="11486" max="11486" width="8" style="738" customWidth="1"/>
    <col min="11487" max="11487" width="31.85546875" style="738" customWidth="1"/>
    <col min="11488" max="11488" width="12" style="738" customWidth="1"/>
    <col min="11489" max="11489" width="11.5703125" style="738" customWidth="1"/>
    <col min="11490" max="11490" width="12" style="738" customWidth="1"/>
    <col min="11491" max="11491" width="11.140625" style="738" customWidth="1"/>
    <col min="11492" max="11493" width="10" style="738" customWidth="1"/>
    <col min="11494" max="11495" width="9.140625" style="738"/>
    <col min="11496" max="11496" width="10.7109375" style="738" customWidth="1"/>
    <col min="11497" max="11739" width="9.140625" style="738"/>
    <col min="11740" max="11740" width="6.85546875" style="738" customWidth="1"/>
    <col min="11741" max="11741" width="35" style="738" customWidth="1"/>
    <col min="11742" max="11742" width="8" style="738" customWidth="1"/>
    <col min="11743" max="11743" width="31.85546875" style="738" customWidth="1"/>
    <col min="11744" max="11744" width="12" style="738" customWidth="1"/>
    <col min="11745" max="11745" width="11.5703125" style="738" customWidth="1"/>
    <col min="11746" max="11746" width="12" style="738" customWidth="1"/>
    <col min="11747" max="11747" width="11.140625" style="738" customWidth="1"/>
    <col min="11748" max="11749" width="10" style="738" customWidth="1"/>
    <col min="11750" max="11751" width="9.140625" style="738"/>
    <col min="11752" max="11752" width="10.7109375" style="738" customWidth="1"/>
    <col min="11753" max="11995" width="9.140625" style="738"/>
    <col min="11996" max="11996" width="6.85546875" style="738" customWidth="1"/>
    <col min="11997" max="11997" width="35" style="738" customWidth="1"/>
    <col min="11998" max="11998" width="8" style="738" customWidth="1"/>
    <col min="11999" max="11999" width="31.85546875" style="738" customWidth="1"/>
    <col min="12000" max="12000" width="12" style="738" customWidth="1"/>
    <col min="12001" max="12001" width="11.5703125" style="738" customWidth="1"/>
    <col min="12002" max="12002" width="12" style="738" customWidth="1"/>
    <col min="12003" max="12003" width="11.140625" style="738" customWidth="1"/>
    <col min="12004" max="12005" width="10" style="738" customWidth="1"/>
    <col min="12006" max="12007" width="9.140625" style="738"/>
    <col min="12008" max="12008" width="10.7109375" style="738" customWidth="1"/>
    <col min="12009" max="12251" width="9.140625" style="738"/>
    <col min="12252" max="12252" width="6.85546875" style="738" customWidth="1"/>
    <col min="12253" max="12253" width="35" style="738" customWidth="1"/>
    <col min="12254" max="12254" width="8" style="738" customWidth="1"/>
    <col min="12255" max="12255" width="31.85546875" style="738" customWidth="1"/>
    <col min="12256" max="12256" width="12" style="738" customWidth="1"/>
    <col min="12257" max="12257" width="11.5703125" style="738" customWidth="1"/>
    <col min="12258" max="12258" width="12" style="738" customWidth="1"/>
    <col min="12259" max="12259" width="11.140625" style="738" customWidth="1"/>
    <col min="12260" max="12261" width="10" style="738" customWidth="1"/>
    <col min="12262" max="12263" width="9.140625" style="738"/>
    <col min="12264" max="12264" width="10.7109375" style="738" customWidth="1"/>
    <col min="12265" max="12507" width="9.140625" style="738"/>
    <col min="12508" max="12508" width="6.85546875" style="738" customWidth="1"/>
    <col min="12509" max="12509" width="35" style="738" customWidth="1"/>
    <col min="12510" max="12510" width="8" style="738" customWidth="1"/>
    <col min="12511" max="12511" width="31.85546875" style="738" customWidth="1"/>
    <col min="12512" max="12512" width="12" style="738" customWidth="1"/>
    <col min="12513" max="12513" width="11.5703125" style="738" customWidth="1"/>
    <col min="12514" max="12514" width="12" style="738" customWidth="1"/>
    <col min="12515" max="12515" width="11.140625" style="738" customWidth="1"/>
    <col min="12516" max="12517" width="10" style="738" customWidth="1"/>
    <col min="12518" max="12519" width="9.140625" style="738"/>
    <col min="12520" max="12520" width="10.7109375" style="738" customWidth="1"/>
    <col min="12521" max="12763" width="9.140625" style="738"/>
    <col min="12764" max="12764" width="6.85546875" style="738" customWidth="1"/>
    <col min="12765" max="12765" width="35" style="738" customWidth="1"/>
    <col min="12766" max="12766" width="8" style="738" customWidth="1"/>
    <col min="12767" max="12767" width="31.85546875" style="738" customWidth="1"/>
    <col min="12768" max="12768" width="12" style="738" customWidth="1"/>
    <col min="12769" max="12769" width="11.5703125" style="738" customWidth="1"/>
    <col min="12770" max="12770" width="12" style="738" customWidth="1"/>
    <col min="12771" max="12771" width="11.140625" style="738" customWidth="1"/>
    <col min="12772" max="12773" width="10" style="738" customWidth="1"/>
    <col min="12774" max="12775" width="9.140625" style="738"/>
    <col min="12776" max="12776" width="10.7109375" style="738" customWidth="1"/>
    <col min="12777" max="13019" width="9.140625" style="738"/>
    <col min="13020" max="13020" width="6.85546875" style="738" customWidth="1"/>
    <col min="13021" max="13021" width="35" style="738" customWidth="1"/>
    <col min="13022" max="13022" width="8" style="738" customWidth="1"/>
    <col min="13023" max="13023" width="31.85546875" style="738" customWidth="1"/>
    <col min="13024" max="13024" width="12" style="738" customWidth="1"/>
    <col min="13025" max="13025" width="11.5703125" style="738" customWidth="1"/>
    <col min="13026" max="13026" width="12" style="738" customWidth="1"/>
    <col min="13027" max="13027" width="11.140625" style="738" customWidth="1"/>
    <col min="13028" max="13029" width="10" style="738" customWidth="1"/>
    <col min="13030" max="13031" width="9.140625" style="738"/>
    <col min="13032" max="13032" width="10.7109375" style="738" customWidth="1"/>
    <col min="13033" max="13275" width="9.140625" style="738"/>
    <col min="13276" max="13276" width="6.85546875" style="738" customWidth="1"/>
    <col min="13277" max="13277" width="35" style="738" customWidth="1"/>
    <col min="13278" max="13278" width="8" style="738" customWidth="1"/>
    <col min="13279" max="13279" width="31.85546875" style="738" customWidth="1"/>
    <col min="13280" max="13280" width="12" style="738" customWidth="1"/>
    <col min="13281" max="13281" width="11.5703125" style="738" customWidth="1"/>
    <col min="13282" max="13282" width="12" style="738" customWidth="1"/>
    <col min="13283" max="13283" width="11.140625" style="738" customWidth="1"/>
    <col min="13284" max="13285" width="10" style="738" customWidth="1"/>
    <col min="13286" max="13287" width="9.140625" style="738"/>
    <col min="13288" max="13288" width="10.7109375" style="738" customWidth="1"/>
    <col min="13289" max="13531" width="9.140625" style="738"/>
    <col min="13532" max="13532" width="6.85546875" style="738" customWidth="1"/>
    <col min="13533" max="13533" width="35" style="738" customWidth="1"/>
    <col min="13534" max="13534" width="8" style="738" customWidth="1"/>
    <col min="13535" max="13535" width="31.85546875" style="738" customWidth="1"/>
    <col min="13536" max="13536" width="12" style="738" customWidth="1"/>
    <col min="13537" max="13537" width="11.5703125" style="738" customWidth="1"/>
    <col min="13538" max="13538" width="12" style="738" customWidth="1"/>
    <col min="13539" max="13539" width="11.140625" style="738" customWidth="1"/>
    <col min="13540" max="13541" width="10" style="738" customWidth="1"/>
    <col min="13542" max="13543" width="9.140625" style="738"/>
    <col min="13544" max="13544" width="10.7109375" style="738" customWidth="1"/>
    <col min="13545" max="13787" width="9.140625" style="738"/>
    <col min="13788" max="13788" width="6.85546875" style="738" customWidth="1"/>
    <col min="13789" max="13789" width="35" style="738" customWidth="1"/>
    <col min="13790" max="13790" width="8" style="738" customWidth="1"/>
    <col min="13791" max="13791" width="31.85546875" style="738" customWidth="1"/>
    <col min="13792" max="13792" width="12" style="738" customWidth="1"/>
    <col min="13793" max="13793" width="11.5703125" style="738" customWidth="1"/>
    <col min="13794" max="13794" width="12" style="738" customWidth="1"/>
    <col min="13795" max="13795" width="11.140625" style="738" customWidth="1"/>
    <col min="13796" max="13797" width="10" style="738" customWidth="1"/>
    <col min="13798" max="13799" width="9.140625" style="738"/>
    <col min="13800" max="13800" width="10.7109375" style="738" customWidth="1"/>
    <col min="13801" max="14043" width="9.140625" style="738"/>
    <col min="14044" max="14044" width="6.85546875" style="738" customWidth="1"/>
    <col min="14045" max="14045" width="35" style="738" customWidth="1"/>
    <col min="14046" max="14046" width="8" style="738" customWidth="1"/>
    <col min="14047" max="14047" width="31.85546875" style="738" customWidth="1"/>
    <col min="14048" max="14048" width="12" style="738" customWidth="1"/>
    <col min="14049" max="14049" width="11.5703125" style="738" customWidth="1"/>
    <col min="14050" max="14050" width="12" style="738" customWidth="1"/>
    <col min="14051" max="14051" width="11.140625" style="738" customWidth="1"/>
    <col min="14052" max="14053" width="10" style="738" customWidth="1"/>
    <col min="14054" max="14055" width="9.140625" style="738"/>
    <col min="14056" max="14056" width="10.7109375" style="738" customWidth="1"/>
    <col min="14057" max="14299" width="9.140625" style="738"/>
    <col min="14300" max="14300" width="6.85546875" style="738" customWidth="1"/>
    <col min="14301" max="14301" width="35" style="738" customWidth="1"/>
    <col min="14302" max="14302" width="8" style="738" customWidth="1"/>
    <col min="14303" max="14303" width="31.85546875" style="738" customWidth="1"/>
    <col min="14304" max="14304" width="12" style="738" customWidth="1"/>
    <col min="14305" max="14305" width="11.5703125" style="738" customWidth="1"/>
    <col min="14306" max="14306" width="12" style="738" customWidth="1"/>
    <col min="14307" max="14307" width="11.140625" style="738" customWidth="1"/>
    <col min="14308" max="14309" width="10" style="738" customWidth="1"/>
    <col min="14310" max="14311" width="9.140625" style="738"/>
    <col min="14312" max="14312" width="10.7109375" style="738" customWidth="1"/>
    <col min="14313" max="14555" width="9.140625" style="738"/>
    <col min="14556" max="14556" width="6.85546875" style="738" customWidth="1"/>
    <col min="14557" max="14557" width="35" style="738" customWidth="1"/>
    <col min="14558" max="14558" width="8" style="738" customWidth="1"/>
    <col min="14559" max="14559" width="31.85546875" style="738" customWidth="1"/>
    <col min="14560" max="14560" width="12" style="738" customWidth="1"/>
    <col min="14561" max="14561" width="11.5703125" style="738" customWidth="1"/>
    <col min="14562" max="14562" width="12" style="738" customWidth="1"/>
    <col min="14563" max="14563" width="11.140625" style="738" customWidth="1"/>
    <col min="14564" max="14565" width="10" style="738" customWidth="1"/>
    <col min="14566" max="14567" width="9.140625" style="738"/>
    <col min="14568" max="14568" width="10.7109375" style="738" customWidth="1"/>
    <col min="14569" max="14811" width="9.140625" style="738"/>
    <col min="14812" max="14812" width="6.85546875" style="738" customWidth="1"/>
    <col min="14813" max="14813" width="35" style="738" customWidth="1"/>
    <col min="14814" max="14814" width="8" style="738" customWidth="1"/>
    <col min="14815" max="14815" width="31.85546875" style="738" customWidth="1"/>
    <col min="14816" max="14816" width="12" style="738" customWidth="1"/>
    <col min="14817" max="14817" width="11.5703125" style="738" customWidth="1"/>
    <col min="14818" max="14818" width="12" style="738" customWidth="1"/>
    <col min="14819" max="14819" width="11.140625" style="738" customWidth="1"/>
    <col min="14820" max="14821" width="10" style="738" customWidth="1"/>
    <col min="14822" max="14823" width="9.140625" style="738"/>
    <col min="14824" max="14824" width="10.7109375" style="738" customWidth="1"/>
    <col min="14825" max="15067" width="9.140625" style="738"/>
    <col min="15068" max="15068" width="6.85546875" style="738" customWidth="1"/>
    <col min="15069" max="15069" width="35" style="738" customWidth="1"/>
    <col min="15070" max="15070" width="8" style="738" customWidth="1"/>
    <col min="15071" max="15071" width="31.85546875" style="738" customWidth="1"/>
    <col min="15072" max="15072" width="12" style="738" customWidth="1"/>
    <col min="15073" max="15073" width="11.5703125" style="738" customWidth="1"/>
    <col min="15074" max="15074" width="12" style="738" customWidth="1"/>
    <col min="15075" max="15075" width="11.140625" style="738" customWidth="1"/>
    <col min="15076" max="15077" width="10" style="738" customWidth="1"/>
    <col min="15078" max="15079" width="9.140625" style="738"/>
    <col min="15080" max="15080" width="10.7109375" style="738" customWidth="1"/>
    <col min="15081" max="15323" width="9.140625" style="738"/>
    <col min="15324" max="15324" width="6.85546875" style="738" customWidth="1"/>
    <col min="15325" max="15325" width="35" style="738" customWidth="1"/>
    <col min="15326" max="15326" width="8" style="738" customWidth="1"/>
    <col min="15327" max="15327" width="31.85546875" style="738" customWidth="1"/>
    <col min="15328" max="15328" width="12" style="738" customWidth="1"/>
    <col min="15329" max="15329" width="11.5703125" style="738" customWidth="1"/>
    <col min="15330" max="15330" width="12" style="738" customWidth="1"/>
    <col min="15331" max="15331" width="11.140625" style="738" customWidth="1"/>
    <col min="15332" max="15333" width="10" style="738" customWidth="1"/>
    <col min="15334" max="15335" width="9.140625" style="738"/>
    <col min="15336" max="15336" width="10.7109375" style="738" customWidth="1"/>
    <col min="15337" max="15579" width="9.140625" style="738"/>
    <col min="15580" max="15580" width="6.85546875" style="738" customWidth="1"/>
    <col min="15581" max="15581" width="35" style="738" customWidth="1"/>
    <col min="15582" max="15582" width="8" style="738" customWidth="1"/>
    <col min="15583" max="15583" width="31.85546875" style="738" customWidth="1"/>
    <col min="15584" max="15584" width="12" style="738" customWidth="1"/>
    <col min="15585" max="15585" width="11.5703125" style="738" customWidth="1"/>
    <col min="15586" max="15586" width="12" style="738" customWidth="1"/>
    <col min="15587" max="15587" width="11.140625" style="738" customWidth="1"/>
    <col min="15588" max="15589" width="10" style="738" customWidth="1"/>
    <col min="15590" max="15591" width="9.140625" style="738"/>
    <col min="15592" max="15592" width="10.7109375" style="738" customWidth="1"/>
    <col min="15593" max="15835" width="9.140625" style="738"/>
    <col min="15836" max="15836" width="6.85546875" style="738" customWidth="1"/>
    <col min="15837" max="15837" width="35" style="738" customWidth="1"/>
    <col min="15838" max="15838" width="8" style="738" customWidth="1"/>
    <col min="15839" max="15839" width="31.85546875" style="738" customWidth="1"/>
    <col min="15840" max="15840" width="12" style="738" customWidth="1"/>
    <col min="15841" max="15841" width="11.5703125" style="738" customWidth="1"/>
    <col min="15842" max="15842" width="12" style="738" customWidth="1"/>
    <col min="15843" max="15843" width="11.140625" style="738" customWidth="1"/>
    <col min="15844" max="15845" width="10" style="738" customWidth="1"/>
    <col min="15846" max="15847" width="9.140625" style="738"/>
    <col min="15848" max="15848" width="10.7109375" style="738" customWidth="1"/>
    <col min="15849" max="16091" width="9.140625" style="738"/>
    <col min="16092" max="16092" width="6.85546875" style="738" customWidth="1"/>
    <col min="16093" max="16093" width="35" style="738" customWidth="1"/>
    <col min="16094" max="16094" width="8" style="738" customWidth="1"/>
    <col min="16095" max="16095" width="31.85546875" style="738" customWidth="1"/>
    <col min="16096" max="16096" width="12" style="738" customWidth="1"/>
    <col min="16097" max="16097" width="11.5703125" style="738" customWidth="1"/>
    <col min="16098" max="16098" width="12" style="738" customWidth="1"/>
    <col min="16099" max="16099" width="11.140625" style="738" customWidth="1"/>
    <col min="16100" max="16101" width="10" style="738" customWidth="1"/>
    <col min="16102" max="16103" width="9.140625" style="738"/>
    <col min="16104" max="16104" width="10.7109375" style="738" customWidth="1"/>
    <col min="16105" max="16384" width="9.140625" style="738"/>
  </cols>
  <sheetData>
    <row r="1" spans="1:50" ht="15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5" customHeight="1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.75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.75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customHeight="1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5" customHeight="1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customHeight="1" thickBot="1" x14ac:dyDescent="0.3">
      <c r="A7" s="203"/>
      <c r="B7" s="460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.75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1.25" customHeight="1" thickBot="1" x14ac:dyDescent="0.25">
      <c r="A9" s="462" t="s">
        <v>836</v>
      </c>
      <c r="D9" s="462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6.5" customHeight="1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6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9" t="s">
        <v>313</v>
      </c>
      <c r="AL11" s="747" t="s">
        <v>312</v>
      </c>
      <c r="AM11" s="413" t="s">
        <v>313</v>
      </c>
      <c r="AN11" s="414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s="695" customFormat="1" ht="12.75" customHeight="1" x14ac:dyDescent="0.2">
      <c r="A12" s="691">
        <v>1</v>
      </c>
      <c r="B12" s="692">
        <v>3454</v>
      </c>
      <c r="C12" s="692">
        <v>600029085</v>
      </c>
      <c r="D12" s="692">
        <v>75122294</v>
      </c>
      <c r="E12" s="693" t="s">
        <v>8</v>
      </c>
      <c r="F12" s="692">
        <v>3233</v>
      </c>
      <c r="G12" s="694" t="s">
        <v>324</v>
      </c>
      <c r="H12" s="748" t="s">
        <v>284</v>
      </c>
      <c r="I12" s="519">
        <v>6128785</v>
      </c>
      <c r="J12" s="475">
        <v>4346382</v>
      </c>
      <c r="K12" s="475">
        <v>115000</v>
      </c>
      <c r="L12" s="475">
        <v>0</v>
      </c>
      <c r="M12" s="319">
        <v>1507947</v>
      </c>
      <c r="N12" s="319">
        <v>86928</v>
      </c>
      <c r="O12" s="475">
        <v>72528</v>
      </c>
      <c r="P12" s="476">
        <v>10.559999999999999</v>
      </c>
      <c r="Q12" s="477">
        <v>6.1099999999999994</v>
      </c>
      <c r="R12" s="478">
        <v>4.45</v>
      </c>
      <c r="S12" s="547">
        <f>W12*-1</f>
        <v>0</v>
      </c>
      <c r="T12" s="485">
        <v>0</v>
      </c>
      <c r="U12" s="485">
        <v>0</v>
      </c>
      <c r="V12" s="485">
        <f>SUM(S12:U12)</f>
        <v>0</v>
      </c>
      <c r="W12" s="485">
        <v>0</v>
      </c>
      <c r="X12" s="485">
        <v>0</v>
      </c>
      <c r="Y12" s="485">
        <f>SUM(W12:X12)</f>
        <v>0</v>
      </c>
      <c r="Z12" s="485">
        <f>V12+Y12</f>
        <v>0</v>
      </c>
      <c r="AA12" s="319">
        <f>ROUND((V12+W12)*33.8%,0)</f>
        <v>0</v>
      </c>
      <c r="AB12" s="261">
        <f>ROUND(V12*2%,0)</f>
        <v>0</v>
      </c>
      <c r="AC12" s="485">
        <v>0</v>
      </c>
      <c r="AD12" s="485">
        <v>0</v>
      </c>
      <c r="AE12" s="485">
        <f>SUM(AC12:AD12)</f>
        <v>0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524">
        <f>SUM(AL12:AM12)</f>
        <v>0</v>
      </c>
      <c r="AO12" s="525">
        <f>I12+AF12</f>
        <v>6128785</v>
      </c>
      <c r="AP12" s="480">
        <f>J12+V12</f>
        <v>4346382</v>
      </c>
      <c r="AQ12" s="480">
        <f>K12+Y12</f>
        <v>115000</v>
      </c>
      <c r="AR12" s="480">
        <f>L12</f>
        <v>0</v>
      </c>
      <c r="AS12" s="480">
        <f>M12+AA12</f>
        <v>1507947</v>
      </c>
      <c r="AT12" s="480">
        <f>N12+AB12</f>
        <v>86928</v>
      </c>
      <c r="AU12" s="480">
        <f>O12+AE12</f>
        <v>72528</v>
      </c>
      <c r="AV12" s="482">
        <f>P12+AN12</f>
        <v>10.559999999999999</v>
      </c>
      <c r="AW12" s="482">
        <f>Q12+AL12</f>
        <v>6.1099999999999994</v>
      </c>
      <c r="AX12" s="483">
        <f>R12+AM12</f>
        <v>4.45</v>
      </c>
    </row>
    <row r="13" spans="1:50" s="695" customFormat="1" ht="12.75" customHeight="1" x14ac:dyDescent="0.2">
      <c r="A13" s="279">
        <v>1</v>
      </c>
      <c r="B13" s="21">
        <v>3454</v>
      </c>
      <c r="C13" s="277">
        <v>600029085</v>
      </c>
      <c r="D13" s="277">
        <v>75122294</v>
      </c>
      <c r="E13" s="696" t="s">
        <v>9</v>
      </c>
      <c r="F13" s="21"/>
      <c r="G13" s="278"/>
      <c r="H13" s="749"/>
      <c r="I13" s="29">
        <v>6128785</v>
      </c>
      <c r="J13" s="266">
        <v>4346382</v>
      </c>
      <c r="K13" s="266">
        <v>115000</v>
      </c>
      <c r="L13" s="266">
        <v>0</v>
      </c>
      <c r="M13" s="266">
        <v>1507947</v>
      </c>
      <c r="N13" s="266">
        <v>86928</v>
      </c>
      <c r="O13" s="266">
        <v>72528</v>
      </c>
      <c r="P13" s="750">
        <v>10.559999999999999</v>
      </c>
      <c r="Q13" s="750">
        <v>6.1099999999999994</v>
      </c>
      <c r="R13" s="751">
        <v>4.45</v>
      </c>
      <c r="S13" s="29">
        <f t="shared" ref="S13:AX13" si="0">SUM(S12)</f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  <c r="AA13" s="22">
        <f t="shared" si="0"/>
        <v>0</v>
      </c>
      <c r="AB13" s="22">
        <f t="shared" si="0"/>
        <v>0</v>
      </c>
      <c r="AC13" s="22">
        <f t="shared" si="0"/>
        <v>0</v>
      </c>
      <c r="AD13" s="22">
        <f t="shared" si="0"/>
        <v>0</v>
      </c>
      <c r="AE13" s="22">
        <f t="shared" si="0"/>
        <v>0</v>
      </c>
      <c r="AF13" s="22">
        <f t="shared" si="0"/>
        <v>0</v>
      </c>
      <c r="AG13" s="23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3">
        <f t="shared" si="0"/>
        <v>0</v>
      </c>
      <c r="AL13" s="23">
        <f t="shared" si="0"/>
        <v>0</v>
      </c>
      <c r="AM13" s="23">
        <f t="shared" si="0"/>
        <v>0</v>
      </c>
      <c r="AN13" s="752">
        <f t="shared" si="0"/>
        <v>0</v>
      </c>
      <c r="AO13" s="29">
        <f t="shared" si="0"/>
        <v>6128785</v>
      </c>
      <c r="AP13" s="22">
        <f t="shared" si="0"/>
        <v>4346382</v>
      </c>
      <c r="AQ13" s="22">
        <f t="shared" si="0"/>
        <v>115000</v>
      </c>
      <c r="AR13" s="67">
        <f t="shared" si="0"/>
        <v>0</v>
      </c>
      <c r="AS13" s="22">
        <f t="shared" si="0"/>
        <v>1507947</v>
      </c>
      <c r="AT13" s="22">
        <f t="shared" si="0"/>
        <v>86928</v>
      </c>
      <c r="AU13" s="22">
        <f t="shared" si="0"/>
        <v>72528</v>
      </c>
      <c r="AV13" s="23">
        <f t="shared" si="0"/>
        <v>10.559999999999999</v>
      </c>
      <c r="AW13" s="23">
        <f t="shared" si="0"/>
        <v>6.1099999999999994</v>
      </c>
      <c r="AX13" s="55">
        <f t="shared" si="0"/>
        <v>4.45</v>
      </c>
    </row>
    <row r="14" spans="1:50" s="695" customFormat="1" ht="12.75" customHeight="1" x14ac:dyDescent="0.2">
      <c r="A14" s="697">
        <v>2</v>
      </c>
      <c r="B14" s="698">
        <v>3470</v>
      </c>
      <c r="C14" s="698">
        <v>691003572</v>
      </c>
      <c r="D14" s="698">
        <v>72550341</v>
      </c>
      <c r="E14" s="699" t="s">
        <v>10</v>
      </c>
      <c r="F14" s="698">
        <v>3111</v>
      </c>
      <c r="G14" s="700" t="s">
        <v>317</v>
      </c>
      <c r="H14" s="701" t="s">
        <v>283</v>
      </c>
      <c r="I14" s="495">
        <v>4738668</v>
      </c>
      <c r="J14" s="496">
        <v>3429886</v>
      </c>
      <c r="K14" s="496">
        <v>24875</v>
      </c>
      <c r="L14" s="496">
        <v>0</v>
      </c>
      <c r="M14" s="496">
        <v>1167709</v>
      </c>
      <c r="N14" s="496">
        <v>68598</v>
      </c>
      <c r="O14" s="496">
        <v>47600</v>
      </c>
      <c r="P14" s="497">
        <v>8.0041999999999991</v>
      </c>
      <c r="Q14" s="412">
        <v>6</v>
      </c>
      <c r="R14" s="498">
        <v>2.0042</v>
      </c>
      <c r="S14" s="530">
        <f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ref="AE14:AE78" si="1">SUM(AC14:AD14)</f>
        <v>0</v>
      </c>
      <c r="AF14" s="486">
        <f t="shared" ref="AF14:AF78" si="2">Z14+AA14+AB14+AE14</f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29">
        <f t="shared" ref="AN14:AN78" si="3">SUM(AL14:AM14)</f>
        <v>0</v>
      </c>
      <c r="AO14" s="530">
        <f>I14+AF14</f>
        <v>4738668</v>
      </c>
      <c r="AP14" s="486">
        <f>J14+V14</f>
        <v>3429886</v>
      </c>
      <c r="AQ14" s="486">
        <f>K14+Y14</f>
        <v>24875</v>
      </c>
      <c r="AR14" s="486">
        <f>L14</f>
        <v>0</v>
      </c>
      <c r="AS14" s="486">
        <f>M14+AA14</f>
        <v>1167709</v>
      </c>
      <c r="AT14" s="486">
        <f>N14+AB14</f>
        <v>68598</v>
      </c>
      <c r="AU14" s="486">
        <f>O14+AE14</f>
        <v>47600</v>
      </c>
      <c r="AV14" s="501">
        <f>P14+AN14</f>
        <v>8.0041999999999991</v>
      </c>
      <c r="AW14" s="501">
        <f>Q14+AL14</f>
        <v>6</v>
      </c>
      <c r="AX14" s="502">
        <f>R14+AM14</f>
        <v>2.0042</v>
      </c>
    </row>
    <row r="15" spans="1:50" s="695" customFormat="1" ht="12.75" customHeight="1" x14ac:dyDescent="0.2">
      <c r="A15" s="697">
        <v>2</v>
      </c>
      <c r="B15" s="698">
        <v>3470</v>
      </c>
      <c r="C15" s="698">
        <v>691003572</v>
      </c>
      <c r="D15" s="698">
        <v>72550341</v>
      </c>
      <c r="E15" s="699" t="s">
        <v>10</v>
      </c>
      <c r="F15" s="698">
        <v>3141</v>
      </c>
      <c r="G15" s="700" t="s">
        <v>321</v>
      </c>
      <c r="H15" s="701" t="s">
        <v>284</v>
      </c>
      <c r="I15" s="495">
        <v>789450</v>
      </c>
      <c r="J15" s="496">
        <v>577443</v>
      </c>
      <c r="K15" s="475">
        <v>1000</v>
      </c>
      <c r="L15" s="475">
        <v>0</v>
      </c>
      <c r="M15" s="319">
        <v>195514</v>
      </c>
      <c r="N15" s="319">
        <v>11549</v>
      </c>
      <c r="O15" s="496">
        <v>3944</v>
      </c>
      <c r="P15" s="497">
        <v>1.96</v>
      </c>
      <c r="Q15" s="412">
        <v>0</v>
      </c>
      <c r="R15" s="498">
        <v>1.96</v>
      </c>
      <c r="S15" s="530">
        <f>W15*-1</f>
        <v>0</v>
      </c>
      <c r="T15" s="486">
        <v>0</v>
      </c>
      <c r="U15" s="486">
        <v>0</v>
      </c>
      <c r="V15" s="486">
        <f>SUM(S15:U15)</f>
        <v>0</v>
      </c>
      <c r="W15" s="486">
        <v>0</v>
      </c>
      <c r="X15" s="486">
        <v>0</v>
      </c>
      <c r="Y15" s="486">
        <f>SUM(W15:X15)</f>
        <v>0</v>
      </c>
      <c r="Z15" s="486">
        <f>V15+Y15</f>
        <v>0</v>
      </c>
      <c r="AA15" s="319">
        <f>ROUND((V15+W15)*33.8%,0)</f>
        <v>0</v>
      </c>
      <c r="AB15" s="178">
        <f>ROUND(V15*2%,0)</f>
        <v>0</v>
      </c>
      <c r="AC15" s="486">
        <v>0</v>
      </c>
      <c r="AD15" s="486">
        <v>0</v>
      </c>
      <c r="AE15" s="486">
        <f t="shared" si="1"/>
        <v>0</v>
      </c>
      <c r="AF15" s="486">
        <f t="shared" si="2"/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>AG15+AI15+AJ15</f>
        <v>0</v>
      </c>
      <c r="AM15" s="501">
        <f>AH15+AK15</f>
        <v>0</v>
      </c>
      <c r="AN15" s="529">
        <f t="shared" si="3"/>
        <v>0</v>
      </c>
      <c r="AO15" s="530">
        <f>I15+AF15</f>
        <v>789450</v>
      </c>
      <c r="AP15" s="486">
        <f>J15+V15</f>
        <v>577443</v>
      </c>
      <c r="AQ15" s="486">
        <f>K15+Y15</f>
        <v>1000</v>
      </c>
      <c r="AR15" s="486">
        <f>L15</f>
        <v>0</v>
      </c>
      <c r="AS15" s="486">
        <f>M15+AA15</f>
        <v>195514</v>
      </c>
      <c r="AT15" s="486">
        <f>N15+AB15</f>
        <v>11549</v>
      </c>
      <c r="AU15" s="486">
        <f>O15+AE15</f>
        <v>3944</v>
      </c>
      <c r="AV15" s="501">
        <f>P15+AN15</f>
        <v>1.96</v>
      </c>
      <c r="AW15" s="501">
        <f>Q15+AL15</f>
        <v>0</v>
      </c>
      <c r="AX15" s="502">
        <f>R15+AM15</f>
        <v>1.96</v>
      </c>
    </row>
    <row r="16" spans="1:50" s="695" customFormat="1" ht="12.75" customHeight="1" x14ac:dyDescent="0.2">
      <c r="A16" s="279">
        <v>2</v>
      </c>
      <c r="B16" s="21">
        <v>3470</v>
      </c>
      <c r="C16" s="277">
        <v>691003572</v>
      </c>
      <c r="D16" s="277">
        <v>72550341</v>
      </c>
      <c r="E16" s="696" t="s">
        <v>11</v>
      </c>
      <c r="F16" s="21"/>
      <c r="G16" s="278"/>
      <c r="H16" s="749"/>
      <c r="I16" s="29">
        <v>5528118</v>
      </c>
      <c r="J16" s="266">
        <v>4007329</v>
      </c>
      <c r="K16" s="266">
        <v>25875</v>
      </c>
      <c r="L16" s="266">
        <v>0</v>
      </c>
      <c r="M16" s="266">
        <v>1363223</v>
      </c>
      <c r="N16" s="266">
        <v>80147</v>
      </c>
      <c r="O16" s="266">
        <v>51544</v>
      </c>
      <c r="P16" s="750">
        <v>9.9641999999999982</v>
      </c>
      <c r="Q16" s="750">
        <v>6</v>
      </c>
      <c r="R16" s="751">
        <v>3.9641999999999999</v>
      </c>
      <c r="S16" s="29">
        <f t="shared" ref="S16:AX16" si="4">SUM(S14:S15)</f>
        <v>0</v>
      </c>
      <c r="T16" s="22">
        <f t="shared" si="4"/>
        <v>0</v>
      </c>
      <c r="U16" s="22">
        <f t="shared" si="4"/>
        <v>0</v>
      </c>
      <c r="V16" s="22">
        <f t="shared" si="4"/>
        <v>0</v>
      </c>
      <c r="W16" s="22">
        <f t="shared" si="4"/>
        <v>0</v>
      </c>
      <c r="X16" s="22">
        <f t="shared" si="4"/>
        <v>0</v>
      </c>
      <c r="Y16" s="22">
        <f t="shared" si="4"/>
        <v>0</v>
      </c>
      <c r="Z16" s="22">
        <f t="shared" si="4"/>
        <v>0</v>
      </c>
      <c r="AA16" s="22">
        <f t="shared" si="4"/>
        <v>0</v>
      </c>
      <c r="AB16" s="22">
        <f t="shared" si="4"/>
        <v>0</v>
      </c>
      <c r="AC16" s="22">
        <f t="shared" si="4"/>
        <v>0</v>
      </c>
      <c r="AD16" s="22">
        <f t="shared" si="4"/>
        <v>0</v>
      </c>
      <c r="AE16" s="22">
        <f t="shared" si="4"/>
        <v>0</v>
      </c>
      <c r="AF16" s="22">
        <f t="shared" si="4"/>
        <v>0</v>
      </c>
      <c r="AG16" s="23">
        <f t="shared" si="4"/>
        <v>0</v>
      </c>
      <c r="AH16" s="23">
        <f t="shared" si="4"/>
        <v>0</v>
      </c>
      <c r="AI16" s="23">
        <f t="shared" si="4"/>
        <v>0</v>
      </c>
      <c r="AJ16" s="23">
        <f t="shared" si="4"/>
        <v>0</v>
      </c>
      <c r="AK16" s="23">
        <f t="shared" si="4"/>
        <v>0</v>
      </c>
      <c r="AL16" s="23">
        <f t="shared" si="4"/>
        <v>0</v>
      </c>
      <c r="AM16" s="23">
        <f t="shared" si="4"/>
        <v>0</v>
      </c>
      <c r="AN16" s="752">
        <f t="shared" si="4"/>
        <v>0</v>
      </c>
      <c r="AO16" s="29">
        <f t="shared" si="4"/>
        <v>5528118</v>
      </c>
      <c r="AP16" s="22">
        <f t="shared" si="4"/>
        <v>4007329</v>
      </c>
      <c r="AQ16" s="22">
        <f t="shared" si="4"/>
        <v>25875</v>
      </c>
      <c r="AR16" s="67">
        <f t="shared" si="4"/>
        <v>0</v>
      </c>
      <c r="AS16" s="22">
        <f t="shared" si="4"/>
        <v>1363223</v>
      </c>
      <c r="AT16" s="22">
        <f t="shared" si="4"/>
        <v>80147</v>
      </c>
      <c r="AU16" s="22">
        <f t="shared" si="4"/>
        <v>51544</v>
      </c>
      <c r="AV16" s="23">
        <f t="shared" si="4"/>
        <v>9.9641999999999982</v>
      </c>
      <c r="AW16" s="23">
        <f t="shared" si="4"/>
        <v>6</v>
      </c>
      <c r="AX16" s="55">
        <f t="shared" si="4"/>
        <v>3.9641999999999999</v>
      </c>
    </row>
    <row r="17" spans="1:50" s="695" customFormat="1" ht="12.75" customHeight="1" x14ac:dyDescent="0.2">
      <c r="A17" s="697">
        <v>3</v>
      </c>
      <c r="B17" s="698">
        <v>3469</v>
      </c>
      <c r="C17" s="698">
        <v>691003548</v>
      </c>
      <c r="D17" s="698">
        <v>72550384</v>
      </c>
      <c r="E17" s="699" t="s">
        <v>12</v>
      </c>
      <c r="F17" s="698">
        <v>3111</v>
      </c>
      <c r="G17" s="700" t="s">
        <v>317</v>
      </c>
      <c r="H17" s="701" t="s">
        <v>283</v>
      </c>
      <c r="I17" s="495">
        <v>6279809</v>
      </c>
      <c r="J17" s="496">
        <v>4477812</v>
      </c>
      <c r="K17" s="496">
        <v>30000</v>
      </c>
      <c r="L17" s="496">
        <v>0</v>
      </c>
      <c r="M17" s="496">
        <v>1523640</v>
      </c>
      <c r="N17" s="496">
        <v>89556</v>
      </c>
      <c r="O17" s="496">
        <v>158801</v>
      </c>
      <c r="P17" s="497">
        <v>10.7082</v>
      </c>
      <c r="Q17" s="412">
        <v>8</v>
      </c>
      <c r="R17" s="498">
        <v>2.7081999999999997</v>
      </c>
      <c r="S17" s="530">
        <f t="shared" ref="S17:S18" si="5">W17*-1</f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319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 t="shared" si="1"/>
        <v>0</v>
      </c>
      <c r="AF17" s="486">
        <f t="shared" si="2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ref="AL17:AL18" si="6">AG17+AI17+AJ17</f>
        <v>0</v>
      </c>
      <c r="AM17" s="501">
        <f t="shared" ref="AM17:AM18" si="7">AH17+AK17</f>
        <v>0</v>
      </c>
      <c r="AN17" s="529">
        <f t="shared" si="3"/>
        <v>0</v>
      </c>
      <c r="AO17" s="530">
        <f>I17+AF17</f>
        <v>6279809</v>
      </c>
      <c r="AP17" s="486">
        <f>J17+V17</f>
        <v>4477812</v>
      </c>
      <c r="AQ17" s="486">
        <f>K17+Y17</f>
        <v>30000</v>
      </c>
      <c r="AR17" s="486">
        <f>L17</f>
        <v>0</v>
      </c>
      <c r="AS17" s="486">
        <f>M17+AA17</f>
        <v>1523640</v>
      </c>
      <c r="AT17" s="486">
        <f>N17+AB17</f>
        <v>89556</v>
      </c>
      <c r="AU17" s="486">
        <f>O17+AE17</f>
        <v>158801</v>
      </c>
      <c r="AV17" s="501">
        <f>P17+AN17</f>
        <v>10.7082</v>
      </c>
      <c r="AW17" s="501">
        <f>Q17+AL17</f>
        <v>8</v>
      </c>
      <c r="AX17" s="502">
        <f>R17+AM17</f>
        <v>2.7081999999999997</v>
      </c>
    </row>
    <row r="18" spans="1:50" s="695" customFormat="1" ht="12.75" customHeight="1" x14ac:dyDescent="0.2">
      <c r="A18" s="697">
        <v>3</v>
      </c>
      <c r="B18" s="698">
        <v>3469</v>
      </c>
      <c r="C18" s="698">
        <v>691003548</v>
      </c>
      <c r="D18" s="698">
        <v>72550384</v>
      </c>
      <c r="E18" s="699" t="s">
        <v>12</v>
      </c>
      <c r="F18" s="698">
        <v>3141</v>
      </c>
      <c r="G18" s="700" t="s">
        <v>321</v>
      </c>
      <c r="H18" s="701" t="s">
        <v>284</v>
      </c>
      <c r="I18" s="495">
        <v>910233</v>
      </c>
      <c r="J18" s="496">
        <v>646982</v>
      </c>
      <c r="K18" s="475">
        <v>20000</v>
      </c>
      <c r="L18" s="475">
        <v>0</v>
      </c>
      <c r="M18" s="319">
        <v>225440</v>
      </c>
      <c r="N18" s="319">
        <v>12939</v>
      </c>
      <c r="O18" s="496">
        <v>4872</v>
      </c>
      <c r="P18" s="497">
        <v>2.2699999999999996</v>
      </c>
      <c r="Q18" s="412">
        <v>0</v>
      </c>
      <c r="R18" s="498">
        <v>2.2699999999999996</v>
      </c>
      <c r="S18" s="530">
        <f t="shared" si="5"/>
        <v>0</v>
      </c>
      <c r="T18" s="486">
        <v>0</v>
      </c>
      <c r="U18" s="486">
        <v>0</v>
      </c>
      <c r="V18" s="486">
        <f>SUM(S18:U18)</f>
        <v>0</v>
      </c>
      <c r="W18" s="486">
        <v>0</v>
      </c>
      <c r="X18" s="486">
        <v>0</v>
      </c>
      <c r="Y18" s="486">
        <f>SUM(W18:X18)</f>
        <v>0</v>
      </c>
      <c r="Z18" s="486">
        <f>V18+Y18</f>
        <v>0</v>
      </c>
      <c r="AA18" s="319">
        <f>ROUND((V18+W18)*33.8%,0)</f>
        <v>0</v>
      </c>
      <c r="AB18" s="178">
        <f>ROUND(V18*2%,0)</f>
        <v>0</v>
      </c>
      <c r="AC18" s="486">
        <v>0</v>
      </c>
      <c r="AD18" s="486">
        <v>0</v>
      </c>
      <c r="AE18" s="486">
        <f t="shared" si="1"/>
        <v>0</v>
      </c>
      <c r="AF18" s="486">
        <f t="shared" si="2"/>
        <v>0</v>
      </c>
      <c r="AG18" s="501">
        <v>0</v>
      </c>
      <c r="AH18" s="501">
        <v>0</v>
      </c>
      <c r="AI18" s="501">
        <v>0</v>
      </c>
      <c r="AJ18" s="501">
        <v>0</v>
      </c>
      <c r="AK18" s="501">
        <v>0</v>
      </c>
      <c r="AL18" s="501">
        <f t="shared" si="6"/>
        <v>0</v>
      </c>
      <c r="AM18" s="501">
        <f t="shared" si="7"/>
        <v>0</v>
      </c>
      <c r="AN18" s="529">
        <f t="shared" si="3"/>
        <v>0</v>
      </c>
      <c r="AO18" s="530">
        <f>I18+AF18</f>
        <v>910233</v>
      </c>
      <c r="AP18" s="486">
        <f>J18+V18</f>
        <v>646982</v>
      </c>
      <c r="AQ18" s="486">
        <f>K18+Y18</f>
        <v>20000</v>
      </c>
      <c r="AR18" s="486">
        <f>L18</f>
        <v>0</v>
      </c>
      <c r="AS18" s="486">
        <f>M18+AA18</f>
        <v>225440</v>
      </c>
      <c r="AT18" s="486">
        <f>N18+AB18</f>
        <v>12939</v>
      </c>
      <c r="AU18" s="486">
        <f>O18+AE18</f>
        <v>4872</v>
      </c>
      <c r="AV18" s="501">
        <f>P18+AN18</f>
        <v>2.2699999999999996</v>
      </c>
      <c r="AW18" s="501">
        <f>Q18+AL18</f>
        <v>0</v>
      </c>
      <c r="AX18" s="502">
        <f>R18+AM18</f>
        <v>2.2699999999999996</v>
      </c>
    </row>
    <row r="19" spans="1:50" s="695" customFormat="1" ht="12.75" customHeight="1" x14ac:dyDescent="0.2">
      <c r="A19" s="279">
        <v>3</v>
      </c>
      <c r="B19" s="21">
        <v>3469</v>
      </c>
      <c r="C19" s="277">
        <v>691003548</v>
      </c>
      <c r="D19" s="277">
        <v>72550384</v>
      </c>
      <c r="E19" s="696" t="s">
        <v>13</v>
      </c>
      <c r="F19" s="21"/>
      <c r="G19" s="278"/>
      <c r="H19" s="749"/>
      <c r="I19" s="29">
        <v>7190042</v>
      </c>
      <c r="J19" s="266">
        <v>5124794</v>
      </c>
      <c r="K19" s="266">
        <v>50000</v>
      </c>
      <c r="L19" s="266">
        <v>0</v>
      </c>
      <c r="M19" s="266">
        <v>1749080</v>
      </c>
      <c r="N19" s="266">
        <v>102495</v>
      </c>
      <c r="O19" s="266">
        <v>163673</v>
      </c>
      <c r="P19" s="750">
        <v>12.978199999999999</v>
      </c>
      <c r="Q19" s="750">
        <v>8</v>
      </c>
      <c r="R19" s="751">
        <v>4.9781999999999993</v>
      </c>
      <c r="S19" s="29">
        <f t="shared" ref="S19:AX19" si="8">SUM(S17:S18)</f>
        <v>0</v>
      </c>
      <c r="T19" s="22">
        <f t="shared" si="8"/>
        <v>0</v>
      </c>
      <c r="U19" s="22">
        <f t="shared" si="8"/>
        <v>0</v>
      </c>
      <c r="V19" s="22">
        <f t="shared" si="8"/>
        <v>0</v>
      </c>
      <c r="W19" s="22">
        <f t="shared" si="8"/>
        <v>0</v>
      </c>
      <c r="X19" s="22">
        <f t="shared" si="8"/>
        <v>0</v>
      </c>
      <c r="Y19" s="22">
        <f t="shared" si="8"/>
        <v>0</v>
      </c>
      <c r="Z19" s="22">
        <f t="shared" si="8"/>
        <v>0</v>
      </c>
      <c r="AA19" s="22">
        <f t="shared" si="8"/>
        <v>0</v>
      </c>
      <c r="AB19" s="22">
        <f t="shared" si="8"/>
        <v>0</v>
      </c>
      <c r="AC19" s="22">
        <f t="shared" si="8"/>
        <v>0</v>
      </c>
      <c r="AD19" s="22">
        <f t="shared" si="8"/>
        <v>0</v>
      </c>
      <c r="AE19" s="22">
        <f t="shared" si="8"/>
        <v>0</v>
      </c>
      <c r="AF19" s="22">
        <f t="shared" si="8"/>
        <v>0</v>
      </c>
      <c r="AG19" s="23">
        <f t="shared" si="8"/>
        <v>0</v>
      </c>
      <c r="AH19" s="23">
        <f t="shared" si="8"/>
        <v>0</v>
      </c>
      <c r="AI19" s="23">
        <f t="shared" si="8"/>
        <v>0</v>
      </c>
      <c r="AJ19" s="23">
        <f t="shared" si="8"/>
        <v>0</v>
      </c>
      <c r="AK19" s="23">
        <f t="shared" si="8"/>
        <v>0</v>
      </c>
      <c r="AL19" s="23">
        <f t="shared" si="8"/>
        <v>0</v>
      </c>
      <c r="AM19" s="23">
        <f t="shared" si="8"/>
        <v>0</v>
      </c>
      <c r="AN19" s="752">
        <f t="shared" si="8"/>
        <v>0</v>
      </c>
      <c r="AO19" s="29">
        <f t="shared" si="8"/>
        <v>7190042</v>
      </c>
      <c r="AP19" s="22">
        <f t="shared" si="8"/>
        <v>5124794</v>
      </c>
      <c r="AQ19" s="22">
        <f t="shared" si="8"/>
        <v>50000</v>
      </c>
      <c r="AR19" s="67">
        <f t="shared" si="8"/>
        <v>0</v>
      </c>
      <c r="AS19" s="22">
        <f t="shared" si="8"/>
        <v>1749080</v>
      </c>
      <c r="AT19" s="22">
        <f t="shared" si="8"/>
        <v>102495</v>
      </c>
      <c r="AU19" s="22">
        <f t="shared" si="8"/>
        <v>163673</v>
      </c>
      <c r="AV19" s="23">
        <f t="shared" si="8"/>
        <v>12.978199999999999</v>
      </c>
      <c r="AW19" s="23">
        <f t="shared" si="8"/>
        <v>8</v>
      </c>
      <c r="AX19" s="55">
        <f t="shared" si="8"/>
        <v>4.9781999999999993</v>
      </c>
    </row>
    <row r="20" spans="1:50" s="695" customFormat="1" ht="12.75" customHeight="1" x14ac:dyDescent="0.2">
      <c r="A20" s="697">
        <v>4</v>
      </c>
      <c r="B20" s="698">
        <v>3462</v>
      </c>
      <c r="C20" s="698">
        <v>691001294</v>
      </c>
      <c r="D20" s="698">
        <v>72048115</v>
      </c>
      <c r="E20" s="699" t="s">
        <v>14</v>
      </c>
      <c r="F20" s="698">
        <v>3111</v>
      </c>
      <c r="G20" s="700" t="s">
        <v>317</v>
      </c>
      <c r="H20" s="701" t="s">
        <v>283</v>
      </c>
      <c r="I20" s="495">
        <v>4736573</v>
      </c>
      <c r="J20" s="496">
        <v>3435695</v>
      </c>
      <c r="K20" s="496">
        <v>0</v>
      </c>
      <c r="L20" s="496">
        <v>0</v>
      </c>
      <c r="M20" s="496">
        <v>1161265</v>
      </c>
      <c r="N20" s="496">
        <v>68714</v>
      </c>
      <c r="O20" s="496">
        <v>70899</v>
      </c>
      <c r="P20" s="497">
        <v>8.1341999999999999</v>
      </c>
      <c r="Q20" s="412">
        <v>6</v>
      </c>
      <c r="R20" s="498">
        <v>2.1341999999999999</v>
      </c>
      <c r="S20" s="530">
        <f t="shared" ref="S20:S21" si="9">W20*-1</f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1"/>
        <v>0</v>
      </c>
      <c r="AF20" s="486">
        <f t="shared" si="2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ref="AL20:AL21" si="10">AG20+AI20+AJ20</f>
        <v>0</v>
      </c>
      <c r="AM20" s="501">
        <f t="shared" ref="AM20:AM21" si="11">AH20+AK20</f>
        <v>0</v>
      </c>
      <c r="AN20" s="529">
        <f t="shared" si="3"/>
        <v>0</v>
      </c>
      <c r="AO20" s="530">
        <f>I20+AF20</f>
        <v>4736573</v>
      </c>
      <c r="AP20" s="486">
        <f>J20+V20</f>
        <v>3435695</v>
      </c>
      <c r="AQ20" s="486">
        <f>K20+Y20</f>
        <v>0</v>
      </c>
      <c r="AR20" s="486">
        <f>L20</f>
        <v>0</v>
      </c>
      <c r="AS20" s="486">
        <f>M20+AA20</f>
        <v>1161265</v>
      </c>
      <c r="AT20" s="486">
        <f>N20+AB20</f>
        <v>68714</v>
      </c>
      <c r="AU20" s="486">
        <f>O20+AE20</f>
        <v>70899</v>
      </c>
      <c r="AV20" s="501">
        <f>P20+AN20</f>
        <v>8.1341999999999999</v>
      </c>
      <c r="AW20" s="501">
        <f>Q20+AL20</f>
        <v>6</v>
      </c>
      <c r="AX20" s="502">
        <f>R20+AM20</f>
        <v>2.1341999999999999</v>
      </c>
    </row>
    <row r="21" spans="1:50" s="695" customFormat="1" ht="12.75" customHeight="1" x14ac:dyDescent="0.2">
      <c r="A21" s="697">
        <v>4</v>
      </c>
      <c r="B21" s="698">
        <v>3462</v>
      </c>
      <c r="C21" s="698">
        <v>691001294</v>
      </c>
      <c r="D21" s="698">
        <v>72048115</v>
      </c>
      <c r="E21" s="699" t="s">
        <v>14</v>
      </c>
      <c r="F21" s="698">
        <v>3141</v>
      </c>
      <c r="G21" s="700" t="s">
        <v>321</v>
      </c>
      <c r="H21" s="701" t="s">
        <v>284</v>
      </c>
      <c r="I21" s="495">
        <v>776539</v>
      </c>
      <c r="J21" s="496">
        <v>568964</v>
      </c>
      <c r="K21" s="475">
        <v>0</v>
      </c>
      <c r="L21" s="475">
        <v>0</v>
      </c>
      <c r="M21" s="319">
        <v>192310</v>
      </c>
      <c r="N21" s="319">
        <v>11379</v>
      </c>
      <c r="O21" s="496">
        <v>3886</v>
      </c>
      <c r="P21" s="497">
        <v>1.94</v>
      </c>
      <c r="Q21" s="412">
        <v>0</v>
      </c>
      <c r="R21" s="498">
        <v>1.94</v>
      </c>
      <c r="S21" s="530">
        <f t="shared" si="9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1"/>
        <v>0</v>
      </c>
      <c r="AF21" s="486">
        <f t="shared" si="2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0"/>
        <v>0</v>
      </c>
      <c r="AM21" s="501">
        <f t="shared" si="11"/>
        <v>0</v>
      </c>
      <c r="AN21" s="529">
        <f t="shared" si="3"/>
        <v>0</v>
      </c>
      <c r="AO21" s="530">
        <f>I21+AF21</f>
        <v>776539</v>
      </c>
      <c r="AP21" s="486">
        <f>J21+V21</f>
        <v>568964</v>
      </c>
      <c r="AQ21" s="486">
        <f>K21+Y21</f>
        <v>0</v>
      </c>
      <c r="AR21" s="486">
        <f>L21</f>
        <v>0</v>
      </c>
      <c r="AS21" s="486">
        <f>M21+AA21</f>
        <v>192310</v>
      </c>
      <c r="AT21" s="486">
        <f>N21+AB21</f>
        <v>11379</v>
      </c>
      <c r="AU21" s="486">
        <f>O21+AE21</f>
        <v>3886</v>
      </c>
      <c r="AV21" s="501">
        <f>P21+AN21</f>
        <v>1.94</v>
      </c>
      <c r="AW21" s="501">
        <f>Q21+AL21</f>
        <v>0</v>
      </c>
      <c r="AX21" s="502">
        <f>R21+AM21</f>
        <v>1.94</v>
      </c>
    </row>
    <row r="22" spans="1:50" s="695" customFormat="1" ht="12.75" customHeight="1" x14ac:dyDescent="0.2">
      <c r="A22" s="279">
        <v>4</v>
      </c>
      <c r="B22" s="21">
        <v>3462</v>
      </c>
      <c r="C22" s="277">
        <v>691001294</v>
      </c>
      <c r="D22" s="277">
        <v>72048115</v>
      </c>
      <c r="E22" s="696" t="s">
        <v>15</v>
      </c>
      <c r="F22" s="21"/>
      <c r="G22" s="278"/>
      <c r="H22" s="749"/>
      <c r="I22" s="29">
        <v>5513112</v>
      </c>
      <c r="J22" s="266">
        <v>4004659</v>
      </c>
      <c r="K22" s="266">
        <v>0</v>
      </c>
      <c r="L22" s="266">
        <v>0</v>
      </c>
      <c r="M22" s="266">
        <v>1353575</v>
      </c>
      <c r="N22" s="266">
        <v>80093</v>
      </c>
      <c r="O22" s="266">
        <v>74785</v>
      </c>
      <c r="P22" s="750">
        <v>10.074199999999999</v>
      </c>
      <c r="Q22" s="750">
        <v>6</v>
      </c>
      <c r="R22" s="751">
        <v>4.0741999999999994</v>
      </c>
      <c r="S22" s="29">
        <f t="shared" ref="S22:AX22" si="12">SUM(S20:S21)</f>
        <v>0</v>
      </c>
      <c r="T22" s="22">
        <f t="shared" si="12"/>
        <v>0</v>
      </c>
      <c r="U22" s="22">
        <f t="shared" si="12"/>
        <v>0</v>
      </c>
      <c r="V22" s="22">
        <f t="shared" si="12"/>
        <v>0</v>
      </c>
      <c r="W22" s="22">
        <f t="shared" si="12"/>
        <v>0</v>
      </c>
      <c r="X22" s="22">
        <f t="shared" si="12"/>
        <v>0</v>
      </c>
      <c r="Y22" s="22">
        <f t="shared" si="12"/>
        <v>0</v>
      </c>
      <c r="Z22" s="22">
        <f t="shared" si="12"/>
        <v>0</v>
      </c>
      <c r="AA22" s="22">
        <f t="shared" si="12"/>
        <v>0</v>
      </c>
      <c r="AB22" s="22">
        <f t="shared" si="12"/>
        <v>0</v>
      </c>
      <c r="AC22" s="22">
        <f t="shared" si="12"/>
        <v>0</v>
      </c>
      <c r="AD22" s="22">
        <f t="shared" si="12"/>
        <v>0</v>
      </c>
      <c r="AE22" s="22">
        <f t="shared" si="12"/>
        <v>0</v>
      </c>
      <c r="AF22" s="22">
        <f t="shared" si="12"/>
        <v>0</v>
      </c>
      <c r="AG22" s="23">
        <f t="shared" si="12"/>
        <v>0</v>
      </c>
      <c r="AH22" s="23">
        <f t="shared" si="12"/>
        <v>0</v>
      </c>
      <c r="AI22" s="23">
        <f t="shared" si="12"/>
        <v>0</v>
      </c>
      <c r="AJ22" s="23">
        <f t="shared" si="12"/>
        <v>0</v>
      </c>
      <c r="AK22" s="23">
        <f t="shared" si="12"/>
        <v>0</v>
      </c>
      <c r="AL22" s="23">
        <f t="shared" si="12"/>
        <v>0</v>
      </c>
      <c r="AM22" s="23">
        <f t="shared" si="12"/>
        <v>0</v>
      </c>
      <c r="AN22" s="752">
        <f t="shared" si="12"/>
        <v>0</v>
      </c>
      <c r="AO22" s="29">
        <f t="shared" si="12"/>
        <v>5513112</v>
      </c>
      <c r="AP22" s="22">
        <f t="shared" si="12"/>
        <v>4004659</v>
      </c>
      <c r="AQ22" s="22">
        <f t="shared" si="12"/>
        <v>0</v>
      </c>
      <c r="AR22" s="67">
        <f t="shared" si="12"/>
        <v>0</v>
      </c>
      <c r="AS22" s="22">
        <f t="shared" si="12"/>
        <v>1353575</v>
      </c>
      <c r="AT22" s="22">
        <f t="shared" si="12"/>
        <v>80093</v>
      </c>
      <c r="AU22" s="22">
        <f t="shared" si="12"/>
        <v>74785</v>
      </c>
      <c r="AV22" s="23">
        <f t="shared" si="12"/>
        <v>10.074199999999999</v>
      </c>
      <c r="AW22" s="23">
        <f t="shared" si="12"/>
        <v>6</v>
      </c>
      <c r="AX22" s="55">
        <f t="shared" si="12"/>
        <v>4.0741999999999994</v>
      </c>
    </row>
    <row r="23" spans="1:50" s="695" customFormat="1" ht="12.75" customHeight="1" x14ac:dyDescent="0.2">
      <c r="A23" s="697">
        <v>5</v>
      </c>
      <c r="B23" s="698">
        <v>3464</v>
      </c>
      <c r="C23" s="698">
        <v>691001316</v>
      </c>
      <c r="D23" s="698">
        <v>72048140</v>
      </c>
      <c r="E23" s="699" t="s">
        <v>16</v>
      </c>
      <c r="F23" s="698">
        <v>3111</v>
      </c>
      <c r="G23" s="700" t="s">
        <v>317</v>
      </c>
      <c r="H23" s="701" t="s">
        <v>283</v>
      </c>
      <c r="I23" s="495">
        <v>6258033</v>
      </c>
      <c r="J23" s="496">
        <v>4499638</v>
      </c>
      <c r="K23" s="496">
        <v>26400</v>
      </c>
      <c r="L23" s="496">
        <v>0</v>
      </c>
      <c r="M23" s="496">
        <v>1529801</v>
      </c>
      <c r="N23" s="496">
        <v>89993</v>
      </c>
      <c r="O23" s="496">
        <v>112201</v>
      </c>
      <c r="P23" s="497">
        <v>10.712599999999998</v>
      </c>
      <c r="Q23" s="412">
        <v>7.9844000000000008</v>
      </c>
      <c r="R23" s="498">
        <v>2.7281999999999988</v>
      </c>
      <c r="S23" s="530">
        <f t="shared" ref="S23:S24" si="13">W23*-1</f>
        <v>0</v>
      </c>
      <c r="T23" s="486">
        <v>0</v>
      </c>
      <c r="U23" s="486">
        <v>0</v>
      </c>
      <c r="V23" s="486">
        <f>SUM(S23:U23)</f>
        <v>0</v>
      </c>
      <c r="W23" s="486">
        <v>0</v>
      </c>
      <c r="X23" s="486">
        <v>0</v>
      </c>
      <c r="Y23" s="486">
        <f>SUM(W23:X23)</f>
        <v>0</v>
      </c>
      <c r="Z23" s="486">
        <f>V23+Y23</f>
        <v>0</v>
      </c>
      <c r="AA23" s="319">
        <f>ROUND((V23+W23)*33.8%,0)</f>
        <v>0</v>
      </c>
      <c r="AB23" s="178">
        <f>ROUND(V23*2%,0)</f>
        <v>0</v>
      </c>
      <c r="AC23" s="486">
        <v>0</v>
      </c>
      <c r="AD23" s="486">
        <v>0</v>
      </c>
      <c r="AE23" s="486">
        <f t="shared" si="1"/>
        <v>0</v>
      </c>
      <c r="AF23" s="486">
        <f t="shared" si="2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ref="AL23:AL24" si="14">AG23+AI23+AJ23</f>
        <v>0</v>
      </c>
      <c r="AM23" s="501">
        <f t="shared" ref="AM23:AM24" si="15">AH23+AK23</f>
        <v>0</v>
      </c>
      <c r="AN23" s="529">
        <f t="shared" si="3"/>
        <v>0</v>
      </c>
      <c r="AO23" s="530">
        <f>I23+AF23</f>
        <v>6258033</v>
      </c>
      <c r="AP23" s="486">
        <f>J23+V23</f>
        <v>4499638</v>
      </c>
      <c r="AQ23" s="486">
        <f>K23+Y23</f>
        <v>26400</v>
      </c>
      <c r="AR23" s="486">
        <f>L23</f>
        <v>0</v>
      </c>
      <c r="AS23" s="486">
        <f>M23+AA23</f>
        <v>1529801</v>
      </c>
      <c r="AT23" s="486">
        <f>N23+AB23</f>
        <v>89993</v>
      </c>
      <c r="AU23" s="486">
        <f>O23+AE23</f>
        <v>112201</v>
      </c>
      <c r="AV23" s="501">
        <f>P23+AN23</f>
        <v>10.712599999999998</v>
      </c>
      <c r="AW23" s="501">
        <f>Q23+AL23</f>
        <v>7.9844000000000008</v>
      </c>
      <c r="AX23" s="502">
        <f>R23+AM23</f>
        <v>2.7281999999999988</v>
      </c>
    </row>
    <row r="24" spans="1:50" s="695" customFormat="1" ht="12.75" customHeight="1" x14ac:dyDescent="0.2">
      <c r="A24" s="697">
        <v>5</v>
      </c>
      <c r="B24" s="698">
        <v>3464</v>
      </c>
      <c r="C24" s="698">
        <v>691001316</v>
      </c>
      <c r="D24" s="698">
        <v>72048140</v>
      </c>
      <c r="E24" s="699" t="s">
        <v>16</v>
      </c>
      <c r="F24" s="698">
        <v>3141</v>
      </c>
      <c r="G24" s="700" t="s">
        <v>321</v>
      </c>
      <c r="H24" s="701" t="s">
        <v>284</v>
      </c>
      <c r="I24" s="495">
        <v>920590</v>
      </c>
      <c r="J24" s="496">
        <v>674228</v>
      </c>
      <c r="K24" s="475">
        <v>0</v>
      </c>
      <c r="L24" s="475">
        <v>0</v>
      </c>
      <c r="M24" s="319">
        <v>227889</v>
      </c>
      <c r="N24" s="319">
        <v>13485</v>
      </c>
      <c r="O24" s="496">
        <v>4988</v>
      </c>
      <c r="P24" s="497">
        <v>2.29</v>
      </c>
      <c r="Q24" s="412">
        <v>0</v>
      </c>
      <c r="R24" s="498">
        <v>2.29</v>
      </c>
      <c r="S24" s="530">
        <f t="shared" si="13"/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1"/>
        <v>0</v>
      </c>
      <c r="AF24" s="486">
        <f t="shared" si="2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14"/>
        <v>0</v>
      </c>
      <c r="AM24" s="501">
        <f t="shared" si="15"/>
        <v>0</v>
      </c>
      <c r="AN24" s="529">
        <f t="shared" si="3"/>
        <v>0</v>
      </c>
      <c r="AO24" s="530">
        <f>I24+AF24</f>
        <v>920590</v>
      </c>
      <c r="AP24" s="486">
        <f>J24+V24</f>
        <v>674228</v>
      </c>
      <c r="AQ24" s="486">
        <f>K24+Y24</f>
        <v>0</v>
      </c>
      <c r="AR24" s="486">
        <f>L24</f>
        <v>0</v>
      </c>
      <c r="AS24" s="486">
        <f>M24+AA24</f>
        <v>227889</v>
      </c>
      <c r="AT24" s="486">
        <f>N24+AB24</f>
        <v>13485</v>
      </c>
      <c r="AU24" s="486">
        <f>O24+AE24</f>
        <v>4988</v>
      </c>
      <c r="AV24" s="501">
        <f>P24+AN24</f>
        <v>2.29</v>
      </c>
      <c r="AW24" s="501">
        <f>Q24+AL24</f>
        <v>0</v>
      </c>
      <c r="AX24" s="502">
        <f>R24+AM24</f>
        <v>2.29</v>
      </c>
    </row>
    <row r="25" spans="1:50" s="695" customFormat="1" ht="12.75" customHeight="1" x14ac:dyDescent="0.2">
      <c r="A25" s="279">
        <v>5</v>
      </c>
      <c r="B25" s="21">
        <v>3464</v>
      </c>
      <c r="C25" s="277">
        <v>691001316</v>
      </c>
      <c r="D25" s="277">
        <v>72048140</v>
      </c>
      <c r="E25" s="696" t="s">
        <v>17</v>
      </c>
      <c r="F25" s="21"/>
      <c r="G25" s="278"/>
      <c r="H25" s="749"/>
      <c r="I25" s="29">
        <v>7178623</v>
      </c>
      <c r="J25" s="266">
        <v>5173866</v>
      </c>
      <c r="K25" s="266">
        <v>26400</v>
      </c>
      <c r="L25" s="266">
        <v>0</v>
      </c>
      <c r="M25" s="266">
        <v>1757690</v>
      </c>
      <c r="N25" s="266">
        <v>103478</v>
      </c>
      <c r="O25" s="266">
        <v>117189</v>
      </c>
      <c r="P25" s="750">
        <v>13.002599999999997</v>
      </c>
      <c r="Q25" s="750">
        <v>7.9844000000000008</v>
      </c>
      <c r="R25" s="751">
        <v>5.0181999999999984</v>
      </c>
      <c r="S25" s="29">
        <f t="shared" ref="S25:AX25" si="16">SUM(S23:S24)</f>
        <v>0</v>
      </c>
      <c r="T25" s="22">
        <f t="shared" si="16"/>
        <v>0</v>
      </c>
      <c r="U25" s="22">
        <f t="shared" si="16"/>
        <v>0</v>
      </c>
      <c r="V25" s="22">
        <f t="shared" si="16"/>
        <v>0</v>
      </c>
      <c r="W25" s="22">
        <f t="shared" si="16"/>
        <v>0</v>
      </c>
      <c r="X25" s="22">
        <f t="shared" si="16"/>
        <v>0</v>
      </c>
      <c r="Y25" s="22">
        <f t="shared" si="16"/>
        <v>0</v>
      </c>
      <c r="Z25" s="22">
        <f t="shared" si="16"/>
        <v>0</v>
      </c>
      <c r="AA25" s="22">
        <f t="shared" si="16"/>
        <v>0</v>
      </c>
      <c r="AB25" s="22">
        <f t="shared" si="16"/>
        <v>0</v>
      </c>
      <c r="AC25" s="22">
        <f t="shared" si="16"/>
        <v>0</v>
      </c>
      <c r="AD25" s="22">
        <f t="shared" si="16"/>
        <v>0</v>
      </c>
      <c r="AE25" s="22">
        <f t="shared" si="16"/>
        <v>0</v>
      </c>
      <c r="AF25" s="22">
        <f t="shared" si="16"/>
        <v>0</v>
      </c>
      <c r="AG25" s="23">
        <f t="shared" si="16"/>
        <v>0</v>
      </c>
      <c r="AH25" s="23">
        <f t="shared" si="16"/>
        <v>0</v>
      </c>
      <c r="AI25" s="23">
        <f t="shared" si="16"/>
        <v>0</v>
      </c>
      <c r="AJ25" s="23">
        <f t="shared" si="16"/>
        <v>0</v>
      </c>
      <c r="AK25" s="23">
        <f t="shared" si="16"/>
        <v>0</v>
      </c>
      <c r="AL25" s="23">
        <f t="shared" si="16"/>
        <v>0</v>
      </c>
      <c r="AM25" s="23">
        <f t="shared" si="16"/>
        <v>0</v>
      </c>
      <c r="AN25" s="752">
        <f t="shared" si="16"/>
        <v>0</v>
      </c>
      <c r="AO25" s="29">
        <f t="shared" si="16"/>
        <v>7178623</v>
      </c>
      <c r="AP25" s="22">
        <f t="shared" si="16"/>
        <v>5173866</v>
      </c>
      <c r="AQ25" s="22">
        <f t="shared" si="16"/>
        <v>26400</v>
      </c>
      <c r="AR25" s="67">
        <f t="shared" si="16"/>
        <v>0</v>
      </c>
      <c r="AS25" s="22">
        <f t="shared" si="16"/>
        <v>1757690</v>
      </c>
      <c r="AT25" s="22">
        <f t="shared" si="16"/>
        <v>103478</v>
      </c>
      <c r="AU25" s="22">
        <f t="shared" si="16"/>
        <v>117189</v>
      </c>
      <c r="AV25" s="23">
        <f t="shared" si="16"/>
        <v>13.002599999999997</v>
      </c>
      <c r="AW25" s="23">
        <f t="shared" si="16"/>
        <v>7.9844000000000008</v>
      </c>
      <c r="AX25" s="55">
        <f t="shared" si="16"/>
        <v>5.0181999999999984</v>
      </c>
    </row>
    <row r="26" spans="1:50" s="695" customFormat="1" ht="12.75" customHeight="1" x14ac:dyDescent="0.2">
      <c r="A26" s="697">
        <v>6</v>
      </c>
      <c r="B26" s="698">
        <v>3453</v>
      </c>
      <c r="C26" s="698">
        <v>667101411</v>
      </c>
      <c r="D26" s="698">
        <v>75109522</v>
      </c>
      <c r="E26" s="699" t="s">
        <v>18</v>
      </c>
      <c r="F26" s="698">
        <v>3111</v>
      </c>
      <c r="G26" s="700" t="s">
        <v>317</v>
      </c>
      <c r="H26" s="701" t="s">
        <v>283</v>
      </c>
      <c r="I26" s="495">
        <v>6130753</v>
      </c>
      <c r="J26" s="496">
        <v>4438596</v>
      </c>
      <c r="K26" s="496">
        <v>30000</v>
      </c>
      <c r="L26" s="496">
        <v>0</v>
      </c>
      <c r="M26" s="496">
        <v>1510385</v>
      </c>
      <c r="N26" s="496">
        <v>88772</v>
      </c>
      <c r="O26" s="496">
        <v>63000</v>
      </c>
      <c r="P26" s="497">
        <v>10.6082</v>
      </c>
      <c r="Q26" s="412">
        <v>7.5</v>
      </c>
      <c r="R26" s="498">
        <v>3.1082000000000001</v>
      </c>
      <c r="S26" s="530">
        <f t="shared" ref="S26:S27" si="17">W26*-1</f>
        <v>0</v>
      </c>
      <c r="T26" s="486">
        <v>0</v>
      </c>
      <c r="U26" s="486">
        <v>0</v>
      </c>
      <c r="V26" s="486">
        <f>SUM(S26:U26)</f>
        <v>0</v>
      </c>
      <c r="W26" s="486">
        <v>0</v>
      </c>
      <c r="X26" s="486">
        <v>0</v>
      </c>
      <c r="Y26" s="486">
        <f>SUM(W26:X26)</f>
        <v>0</v>
      </c>
      <c r="Z26" s="486">
        <f>V26+Y26</f>
        <v>0</v>
      </c>
      <c r="AA26" s="319">
        <f>ROUND((V26+W26)*33.8%,0)</f>
        <v>0</v>
      </c>
      <c r="AB26" s="178">
        <f>ROUND(V26*2%,0)</f>
        <v>0</v>
      </c>
      <c r="AC26" s="486">
        <v>0</v>
      </c>
      <c r="AD26" s="486">
        <v>0</v>
      </c>
      <c r="AE26" s="486">
        <f t="shared" si="1"/>
        <v>0</v>
      </c>
      <c r="AF26" s="486">
        <f t="shared" si="2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ref="AL26:AL27" si="18">AG26+AI26+AJ26</f>
        <v>0</v>
      </c>
      <c r="AM26" s="501">
        <f t="shared" ref="AM26:AM27" si="19">AH26+AK26</f>
        <v>0</v>
      </c>
      <c r="AN26" s="529">
        <f t="shared" si="3"/>
        <v>0</v>
      </c>
      <c r="AO26" s="530">
        <f>I26+AF26</f>
        <v>6130753</v>
      </c>
      <c r="AP26" s="486">
        <f>J26+V26</f>
        <v>4438596</v>
      </c>
      <c r="AQ26" s="486">
        <f>K26+Y26</f>
        <v>30000</v>
      </c>
      <c r="AR26" s="486">
        <f>L26</f>
        <v>0</v>
      </c>
      <c r="AS26" s="486">
        <f>M26+AA26</f>
        <v>1510385</v>
      </c>
      <c r="AT26" s="486">
        <f>N26+AB26</f>
        <v>88772</v>
      </c>
      <c r="AU26" s="486">
        <f>O26+AE26</f>
        <v>63000</v>
      </c>
      <c r="AV26" s="501">
        <f>P26+AN26</f>
        <v>10.6082</v>
      </c>
      <c r="AW26" s="501">
        <f>Q26+AL26</f>
        <v>7.5</v>
      </c>
      <c r="AX26" s="502">
        <f>R26+AM26</f>
        <v>3.1082000000000001</v>
      </c>
    </row>
    <row r="27" spans="1:50" s="695" customFormat="1" ht="12.75" customHeight="1" x14ac:dyDescent="0.2">
      <c r="A27" s="697">
        <v>6</v>
      </c>
      <c r="B27" s="698">
        <v>3453</v>
      </c>
      <c r="C27" s="698">
        <v>667101411</v>
      </c>
      <c r="D27" s="698">
        <v>75109522</v>
      </c>
      <c r="E27" s="699" t="s">
        <v>18</v>
      </c>
      <c r="F27" s="698">
        <v>3141</v>
      </c>
      <c r="G27" s="700" t="s">
        <v>321</v>
      </c>
      <c r="H27" s="701" t="s">
        <v>284</v>
      </c>
      <c r="I27" s="495">
        <v>789541</v>
      </c>
      <c r="J27" s="496">
        <v>578410</v>
      </c>
      <c r="K27" s="475">
        <v>0</v>
      </c>
      <c r="L27" s="475">
        <v>0</v>
      </c>
      <c r="M27" s="319">
        <v>195503</v>
      </c>
      <c r="N27" s="319">
        <v>11568</v>
      </c>
      <c r="O27" s="496">
        <v>4060</v>
      </c>
      <c r="P27" s="497">
        <v>1.97</v>
      </c>
      <c r="Q27" s="412">
        <v>0</v>
      </c>
      <c r="R27" s="498">
        <v>1.97</v>
      </c>
      <c r="S27" s="530">
        <f t="shared" si="17"/>
        <v>0</v>
      </c>
      <c r="T27" s="486">
        <v>0</v>
      </c>
      <c r="U27" s="486">
        <v>0</v>
      </c>
      <c r="V27" s="486">
        <f>SUM(S27:U27)</f>
        <v>0</v>
      </c>
      <c r="W27" s="486">
        <v>0</v>
      </c>
      <c r="X27" s="486">
        <v>0</v>
      </c>
      <c r="Y27" s="486">
        <f>SUM(W27:X27)</f>
        <v>0</v>
      </c>
      <c r="Z27" s="486">
        <f>V27+Y27</f>
        <v>0</v>
      </c>
      <c r="AA27" s="319">
        <f>ROUND((V27+W27)*33.8%,0)</f>
        <v>0</v>
      </c>
      <c r="AB27" s="178">
        <f>ROUND(V27*2%,0)</f>
        <v>0</v>
      </c>
      <c r="AC27" s="486">
        <v>0</v>
      </c>
      <c r="AD27" s="486">
        <v>0</v>
      </c>
      <c r="AE27" s="486">
        <f t="shared" si="1"/>
        <v>0</v>
      </c>
      <c r="AF27" s="486">
        <f t="shared" si="2"/>
        <v>0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 t="shared" si="18"/>
        <v>0</v>
      </c>
      <c r="AM27" s="501">
        <f t="shared" si="19"/>
        <v>0</v>
      </c>
      <c r="AN27" s="529">
        <f t="shared" si="3"/>
        <v>0</v>
      </c>
      <c r="AO27" s="530">
        <f>I27+AF27</f>
        <v>789541</v>
      </c>
      <c r="AP27" s="486">
        <f>J27+V27</f>
        <v>578410</v>
      </c>
      <c r="AQ27" s="486">
        <f>K27+Y27</f>
        <v>0</v>
      </c>
      <c r="AR27" s="486">
        <f>L27</f>
        <v>0</v>
      </c>
      <c r="AS27" s="486">
        <f>M27+AA27</f>
        <v>195503</v>
      </c>
      <c r="AT27" s="486">
        <f>N27+AB27</f>
        <v>11568</v>
      </c>
      <c r="AU27" s="486">
        <f>O27+AE27</f>
        <v>4060</v>
      </c>
      <c r="AV27" s="501">
        <f>P27+AN27</f>
        <v>1.97</v>
      </c>
      <c r="AW27" s="501">
        <f>Q27+AL27</f>
        <v>0</v>
      </c>
      <c r="AX27" s="502">
        <f>R27+AM27</f>
        <v>1.97</v>
      </c>
    </row>
    <row r="28" spans="1:50" s="695" customFormat="1" ht="12.75" customHeight="1" x14ac:dyDescent="0.2">
      <c r="A28" s="279">
        <v>6</v>
      </c>
      <c r="B28" s="21">
        <v>3453</v>
      </c>
      <c r="C28" s="277">
        <v>667101411</v>
      </c>
      <c r="D28" s="277">
        <v>75109522</v>
      </c>
      <c r="E28" s="696" t="s">
        <v>19</v>
      </c>
      <c r="F28" s="21"/>
      <c r="G28" s="278"/>
      <c r="H28" s="749"/>
      <c r="I28" s="29">
        <v>6920294</v>
      </c>
      <c r="J28" s="266">
        <v>5017006</v>
      </c>
      <c r="K28" s="266">
        <v>30000</v>
      </c>
      <c r="L28" s="266">
        <v>0</v>
      </c>
      <c r="M28" s="266">
        <v>1705888</v>
      </c>
      <c r="N28" s="266">
        <v>100340</v>
      </c>
      <c r="O28" s="266">
        <v>67060</v>
      </c>
      <c r="P28" s="750">
        <v>12.578200000000001</v>
      </c>
      <c r="Q28" s="750">
        <v>7.5</v>
      </c>
      <c r="R28" s="751">
        <v>5.0781999999999998</v>
      </c>
      <c r="S28" s="29">
        <f t="shared" ref="S28:AX28" si="20">SUM(S26:S27)</f>
        <v>0</v>
      </c>
      <c r="T28" s="22">
        <f t="shared" si="20"/>
        <v>0</v>
      </c>
      <c r="U28" s="22">
        <f t="shared" si="20"/>
        <v>0</v>
      </c>
      <c r="V28" s="22">
        <f t="shared" si="20"/>
        <v>0</v>
      </c>
      <c r="W28" s="22">
        <f t="shared" si="20"/>
        <v>0</v>
      </c>
      <c r="X28" s="22">
        <f t="shared" si="20"/>
        <v>0</v>
      </c>
      <c r="Y28" s="22">
        <f t="shared" si="20"/>
        <v>0</v>
      </c>
      <c r="Z28" s="22">
        <f t="shared" si="20"/>
        <v>0</v>
      </c>
      <c r="AA28" s="22">
        <f t="shared" si="20"/>
        <v>0</v>
      </c>
      <c r="AB28" s="22">
        <f t="shared" si="20"/>
        <v>0</v>
      </c>
      <c r="AC28" s="22">
        <f t="shared" si="20"/>
        <v>0</v>
      </c>
      <c r="AD28" s="22">
        <f t="shared" si="20"/>
        <v>0</v>
      </c>
      <c r="AE28" s="22">
        <f t="shared" si="20"/>
        <v>0</v>
      </c>
      <c r="AF28" s="22">
        <f t="shared" si="20"/>
        <v>0</v>
      </c>
      <c r="AG28" s="23">
        <f t="shared" si="20"/>
        <v>0</v>
      </c>
      <c r="AH28" s="23">
        <f t="shared" si="20"/>
        <v>0</v>
      </c>
      <c r="AI28" s="23">
        <f t="shared" si="20"/>
        <v>0</v>
      </c>
      <c r="AJ28" s="23">
        <f t="shared" si="20"/>
        <v>0</v>
      </c>
      <c r="AK28" s="23">
        <f t="shared" si="20"/>
        <v>0</v>
      </c>
      <c r="AL28" s="23">
        <f t="shared" si="20"/>
        <v>0</v>
      </c>
      <c r="AM28" s="23">
        <f t="shared" si="20"/>
        <v>0</v>
      </c>
      <c r="AN28" s="752">
        <f t="shared" si="20"/>
        <v>0</v>
      </c>
      <c r="AO28" s="29">
        <f t="shared" si="20"/>
        <v>6920294</v>
      </c>
      <c r="AP28" s="22">
        <f t="shared" si="20"/>
        <v>5017006</v>
      </c>
      <c r="AQ28" s="22">
        <f t="shared" si="20"/>
        <v>30000</v>
      </c>
      <c r="AR28" s="67">
        <f t="shared" si="20"/>
        <v>0</v>
      </c>
      <c r="AS28" s="22">
        <f t="shared" si="20"/>
        <v>1705888</v>
      </c>
      <c r="AT28" s="22">
        <f t="shared" si="20"/>
        <v>100340</v>
      </c>
      <c r="AU28" s="22">
        <f t="shared" si="20"/>
        <v>67060</v>
      </c>
      <c r="AV28" s="23">
        <f t="shared" si="20"/>
        <v>12.578200000000001</v>
      </c>
      <c r="AW28" s="23">
        <f t="shared" si="20"/>
        <v>7.5</v>
      </c>
      <c r="AX28" s="55">
        <f t="shared" si="20"/>
        <v>5.0781999999999998</v>
      </c>
    </row>
    <row r="29" spans="1:50" s="695" customFormat="1" ht="12.75" customHeight="1" x14ac:dyDescent="0.2">
      <c r="A29" s="697">
        <v>7</v>
      </c>
      <c r="B29" s="698">
        <v>3471</v>
      </c>
      <c r="C29" s="698">
        <v>691003491</v>
      </c>
      <c r="D29" s="698">
        <v>72550376</v>
      </c>
      <c r="E29" s="699" t="s">
        <v>20</v>
      </c>
      <c r="F29" s="698">
        <v>3111</v>
      </c>
      <c r="G29" s="700" t="s">
        <v>317</v>
      </c>
      <c r="H29" s="701" t="s">
        <v>283</v>
      </c>
      <c r="I29" s="495">
        <v>6413197</v>
      </c>
      <c r="J29" s="496">
        <v>4673046</v>
      </c>
      <c r="K29" s="496">
        <v>0</v>
      </c>
      <c r="L29" s="496">
        <v>0</v>
      </c>
      <c r="M29" s="496">
        <v>1579490</v>
      </c>
      <c r="N29" s="496">
        <v>93461</v>
      </c>
      <c r="O29" s="496">
        <v>67200</v>
      </c>
      <c r="P29" s="497">
        <v>10.8682</v>
      </c>
      <c r="Q29" s="412">
        <v>8</v>
      </c>
      <c r="R29" s="498">
        <v>2.8681999999999999</v>
      </c>
      <c r="S29" s="530">
        <f t="shared" ref="S29:S30" si="21">W29*-1</f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486">
        <v>0</v>
      </c>
      <c r="Y29" s="486">
        <f>SUM(W29:X29)</f>
        <v>0</v>
      </c>
      <c r="Z29" s="486">
        <f>V29+Y29</f>
        <v>0</v>
      </c>
      <c r="AA29" s="319">
        <f>ROUND((V29+W29)*33.8%,0)</f>
        <v>0</v>
      </c>
      <c r="AB29" s="178">
        <f>ROUND(V29*2%,0)</f>
        <v>0</v>
      </c>
      <c r="AC29" s="486">
        <v>0</v>
      </c>
      <c r="AD29" s="486">
        <v>0</v>
      </c>
      <c r="AE29" s="486">
        <f t="shared" si="1"/>
        <v>0</v>
      </c>
      <c r="AF29" s="486">
        <f t="shared" si="2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ref="AL29:AL30" si="22">AG29+AI29+AJ29</f>
        <v>0</v>
      </c>
      <c r="AM29" s="501">
        <f t="shared" ref="AM29:AM30" si="23">AH29+AK29</f>
        <v>0</v>
      </c>
      <c r="AN29" s="529">
        <f t="shared" si="3"/>
        <v>0</v>
      </c>
      <c r="AO29" s="530">
        <f>I29+AF29</f>
        <v>6413197</v>
      </c>
      <c r="AP29" s="486">
        <f>J29+V29</f>
        <v>4673046</v>
      </c>
      <c r="AQ29" s="486">
        <f>K29+Y29</f>
        <v>0</v>
      </c>
      <c r="AR29" s="486">
        <f>L29</f>
        <v>0</v>
      </c>
      <c r="AS29" s="486">
        <f>M29+AA29</f>
        <v>1579490</v>
      </c>
      <c r="AT29" s="486">
        <f>N29+AB29</f>
        <v>93461</v>
      </c>
      <c r="AU29" s="486">
        <f>O29+AE29</f>
        <v>67200</v>
      </c>
      <c r="AV29" s="501">
        <f>P29+AN29</f>
        <v>10.8682</v>
      </c>
      <c r="AW29" s="501">
        <f>Q29+AL29</f>
        <v>8</v>
      </c>
      <c r="AX29" s="502">
        <f>R29+AM29</f>
        <v>2.8681999999999999</v>
      </c>
    </row>
    <row r="30" spans="1:50" s="695" customFormat="1" ht="12.75" customHeight="1" x14ac:dyDescent="0.2">
      <c r="A30" s="697">
        <v>7</v>
      </c>
      <c r="B30" s="698">
        <v>3471</v>
      </c>
      <c r="C30" s="698">
        <v>691003491</v>
      </c>
      <c r="D30" s="698">
        <v>72550376</v>
      </c>
      <c r="E30" s="699" t="s">
        <v>20</v>
      </c>
      <c r="F30" s="698">
        <v>3141</v>
      </c>
      <c r="G30" s="700" t="s">
        <v>321</v>
      </c>
      <c r="H30" s="701" t="s">
        <v>284</v>
      </c>
      <c r="I30" s="495">
        <v>1197579</v>
      </c>
      <c r="J30" s="496">
        <v>866909</v>
      </c>
      <c r="K30" s="475">
        <v>10000</v>
      </c>
      <c r="L30" s="475">
        <v>0</v>
      </c>
      <c r="M30" s="319">
        <v>296396</v>
      </c>
      <c r="N30" s="319">
        <v>17338</v>
      </c>
      <c r="O30" s="496">
        <v>6936</v>
      </c>
      <c r="P30" s="497">
        <v>2.99</v>
      </c>
      <c r="Q30" s="412">
        <v>0</v>
      </c>
      <c r="R30" s="498">
        <v>2.99</v>
      </c>
      <c r="S30" s="530">
        <f t="shared" si="21"/>
        <v>0</v>
      </c>
      <c r="T30" s="486">
        <v>0</v>
      </c>
      <c r="U30" s="486">
        <v>0</v>
      </c>
      <c r="V30" s="486">
        <f>SUM(S30:U30)</f>
        <v>0</v>
      </c>
      <c r="W30" s="486">
        <v>0</v>
      </c>
      <c r="X30" s="486">
        <v>0</v>
      </c>
      <c r="Y30" s="486">
        <f>SUM(W30:X30)</f>
        <v>0</v>
      </c>
      <c r="Z30" s="486">
        <f>V30+Y30</f>
        <v>0</v>
      </c>
      <c r="AA30" s="319">
        <f>ROUND((V30+W30)*33.8%,0)</f>
        <v>0</v>
      </c>
      <c r="AB30" s="178">
        <f>ROUND(V30*2%,0)</f>
        <v>0</v>
      </c>
      <c r="AC30" s="486">
        <v>0</v>
      </c>
      <c r="AD30" s="486">
        <v>0</v>
      </c>
      <c r="AE30" s="486">
        <f t="shared" si="1"/>
        <v>0</v>
      </c>
      <c r="AF30" s="486">
        <f t="shared" si="2"/>
        <v>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si="22"/>
        <v>0</v>
      </c>
      <c r="AM30" s="501">
        <f t="shared" si="23"/>
        <v>0</v>
      </c>
      <c r="AN30" s="529">
        <f t="shared" si="3"/>
        <v>0</v>
      </c>
      <c r="AO30" s="530">
        <f>I30+AF30</f>
        <v>1197579</v>
      </c>
      <c r="AP30" s="486">
        <f>J30+V30</f>
        <v>866909</v>
      </c>
      <c r="AQ30" s="486">
        <f>K30+Y30</f>
        <v>10000</v>
      </c>
      <c r="AR30" s="486">
        <f>L30</f>
        <v>0</v>
      </c>
      <c r="AS30" s="486">
        <f>M30+AA30</f>
        <v>296396</v>
      </c>
      <c r="AT30" s="486">
        <f>N30+AB30</f>
        <v>17338</v>
      </c>
      <c r="AU30" s="486">
        <f>O30+AE30</f>
        <v>6936</v>
      </c>
      <c r="AV30" s="501">
        <f>P30+AN30</f>
        <v>2.99</v>
      </c>
      <c r="AW30" s="501">
        <f>Q30+AL30</f>
        <v>0</v>
      </c>
      <c r="AX30" s="502">
        <f>R30+AM30</f>
        <v>2.99</v>
      </c>
    </row>
    <row r="31" spans="1:50" s="695" customFormat="1" ht="12.75" customHeight="1" x14ac:dyDescent="0.2">
      <c r="A31" s="279">
        <v>7</v>
      </c>
      <c r="B31" s="21">
        <v>3471</v>
      </c>
      <c r="C31" s="277">
        <v>691003491</v>
      </c>
      <c r="D31" s="277">
        <v>72550376</v>
      </c>
      <c r="E31" s="696" t="s">
        <v>21</v>
      </c>
      <c r="F31" s="21"/>
      <c r="G31" s="278"/>
      <c r="H31" s="749"/>
      <c r="I31" s="29">
        <v>7610776</v>
      </c>
      <c r="J31" s="266">
        <v>5539955</v>
      </c>
      <c r="K31" s="266">
        <v>10000</v>
      </c>
      <c r="L31" s="266">
        <v>0</v>
      </c>
      <c r="M31" s="266">
        <v>1875886</v>
      </c>
      <c r="N31" s="266">
        <v>110799</v>
      </c>
      <c r="O31" s="266">
        <v>74136</v>
      </c>
      <c r="P31" s="750">
        <v>13.8582</v>
      </c>
      <c r="Q31" s="750">
        <v>8</v>
      </c>
      <c r="R31" s="751">
        <v>5.8582000000000001</v>
      </c>
      <c r="S31" s="29">
        <f t="shared" ref="S31:AX31" si="24">SUM(S29:S30)</f>
        <v>0</v>
      </c>
      <c r="T31" s="22">
        <f t="shared" si="24"/>
        <v>0</v>
      </c>
      <c r="U31" s="22">
        <f t="shared" si="24"/>
        <v>0</v>
      </c>
      <c r="V31" s="22">
        <f t="shared" si="24"/>
        <v>0</v>
      </c>
      <c r="W31" s="22">
        <f t="shared" si="24"/>
        <v>0</v>
      </c>
      <c r="X31" s="22">
        <f t="shared" si="24"/>
        <v>0</v>
      </c>
      <c r="Y31" s="22">
        <f t="shared" si="24"/>
        <v>0</v>
      </c>
      <c r="Z31" s="22">
        <f t="shared" si="24"/>
        <v>0</v>
      </c>
      <c r="AA31" s="22">
        <f t="shared" si="24"/>
        <v>0</v>
      </c>
      <c r="AB31" s="22">
        <f t="shared" si="24"/>
        <v>0</v>
      </c>
      <c r="AC31" s="22">
        <f t="shared" si="24"/>
        <v>0</v>
      </c>
      <c r="AD31" s="22">
        <f t="shared" si="24"/>
        <v>0</v>
      </c>
      <c r="AE31" s="22">
        <f t="shared" si="24"/>
        <v>0</v>
      </c>
      <c r="AF31" s="22">
        <f t="shared" si="24"/>
        <v>0</v>
      </c>
      <c r="AG31" s="23">
        <f t="shared" si="24"/>
        <v>0</v>
      </c>
      <c r="AH31" s="23">
        <f t="shared" si="24"/>
        <v>0</v>
      </c>
      <c r="AI31" s="23">
        <f t="shared" si="24"/>
        <v>0</v>
      </c>
      <c r="AJ31" s="23">
        <f t="shared" si="24"/>
        <v>0</v>
      </c>
      <c r="AK31" s="23">
        <f t="shared" si="24"/>
        <v>0</v>
      </c>
      <c r="AL31" s="23">
        <f t="shared" si="24"/>
        <v>0</v>
      </c>
      <c r="AM31" s="23">
        <f t="shared" si="24"/>
        <v>0</v>
      </c>
      <c r="AN31" s="752">
        <f t="shared" si="24"/>
        <v>0</v>
      </c>
      <c r="AO31" s="29">
        <f t="shared" si="24"/>
        <v>7610776</v>
      </c>
      <c r="AP31" s="22">
        <f t="shared" si="24"/>
        <v>5539955</v>
      </c>
      <c r="AQ31" s="22">
        <f t="shared" si="24"/>
        <v>10000</v>
      </c>
      <c r="AR31" s="67">
        <f t="shared" si="24"/>
        <v>0</v>
      </c>
      <c r="AS31" s="22">
        <f t="shared" si="24"/>
        <v>1875886</v>
      </c>
      <c r="AT31" s="22">
        <f t="shared" si="24"/>
        <v>110799</v>
      </c>
      <c r="AU31" s="22">
        <f t="shared" si="24"/>
        <v>74136</v>
      </c>
      <c r="AV31" s="23">
        <f t="shared" si="24"/>
        <v>13.8582</v>
      </c>
      <c r="AW31" s="23">
        <f t="shared" si="24"/>
        <v>8</v>
      </c>
      <c r="AX31" s="55">
        <f t="shared" si="24"/>
        <v>5.8582000000000001</v>
      </c>
    </row>
    <row r="32" spans="1:50" s="695" customFormat="1" ht="12.75" customHeight="1" x14ac:dyDescent="0.2">
      <c r="A32" s="697">
        <v>8</v>
      </c>
      <c r="B32" s="698">
        <v>3472</v>
      </c>
      <c r="C32" s="698">
        <v>691003564</v>
      </c>
      <c r="D32" s="698">
        <v>72550368</v>
      </c>
      <c r="E32" s="699" t="s">
        <v>22</v>
      </c>
      <c r="F32" s="698">
        <v>3111</v>
      </c>
      <c r="G32" s="700" t="s">
        <v>317</v>
      </c>
      <c r="H32" s="701" t="s">
        <v>283</v>
      </c>
      <c r="I32" s="495">
        <v>4538315</v>
      </c>
      <c r="J32" s="496">
        <v>3272956</v>
      </c>
      <c r="K32" s="496">
        <v>30000</v>
      </c>
      <c r="L32" s="496">
        <v>0</v>
      </c>
      <c r="M32" s="496">
        <v>1116399</v>
      </c>
      <c r="N32" s="496">
        <v>65459</v>
      </c>
      <c r="O32" s="496">
        <v>53501</v>
      </c>
      <c r="P32" s="497">
        <v>7.8242000000000003</v>
      </c>
      <c r="Q32" s="412">
        <v>6</v>
      </c>
      <c r="R32" s="498">
        <v>1.8242000000000005</v>
      </c>
      <c r="S32" s="530">
        <f t="shared" ref="S32:S33" si="25">W32*-1</f>
        <v>0</v>
      </c>
      <c r="T32" s="486">
        <v>0</v>
      </c>
      <c r="U32" s="486">
        <v>0</v>
      </c>
      <c r="V32" s="486">
        <f>SUM(S32:U32)</f>
        <v>0</v>
      </c>
      <c r="W32" s="486">
        <v>0</v>
      </c>
      <c r="X32" s="486">
        <v>0</v>
      </c>
      <c r="Y32" s="486">
        <f>SUM(W32:X32)</f>
        <v>0</v>
      </c>
      <c r="Z32" s="486">
        <f>V32+Y32</f>
        <v>0</v>
      </c>
      <c r="AA32" s="319">
        <f>ROUND((V32+W32)*33.8%,0)</f>
        <v>0</v>
      </c>
      <c r="AB32" s="178">
        <f>ROUND(V32*2%,0)</f>
        <v>0</v>
      </c>
      <c r="AC32" s="486">
        <v>0</v>
      </c>
      <c r="AD32" s="486">
        <v>0</v>
      </c>
      <c r="AE32" s="486">
        <f t="shared" si="1"/>
        <v>0</v>
      </c>
      <c r="AF32" s="486">
        <f t="shared" si="2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ref="AL32:AL33" si="26">AG32+AI32+AJ32</f>
        <v>0</v>
      </c>
      <c r="AM32" s="501">
        <f t="shared" ref="AM32:AM33" si="27">AH32+AK32</f>
        <v>0</v>
      </c>
      <c r="AN32" s="529">
        <f t="shared" si="3"/>
        <v>0</v>
      </c>
      <c r="AO32" s="530">
        <f>I32+AF32</f>
        <v>4538315</v>
      </c>
      <c r="AP32" s="486">
        <f>J32+V32</f>
        <v>3272956</v>
      </c>
      <c r="AQ32" s="486">
        <f>K32+Y32</f>
        <v>30000</v>
      </c>
      <c r="AR32" s="486">
        <f>L32</f>
        <v>0</v>
      </c>
      <c r="AS32" s="486">
        <f>M32+AA32</f>
        <v>1116399</v>
      </c>
      <c r="AT32" s="486">
        <f>N32+AB32</f>
        <v>65459</v>
      </c>
      <c r="AU32" s="486">
        <f>O32+AE32</f>
        <v>53501</v>
      </c>
      <c r="AV32" s="501">
        <f>P32+AN32</f>
        <v>7.8242000000000003</v>
      </c>
      <c r="AW32" s="501">
        <f>Q32+AL32</f>
        <v>6</v>
      </c>
      <c r="AX32" s="502">
        <f>R32+AM32</f>
        <v>1.8242000000000005</v>
      </c>
    </row>
    <row r="33" spans="1:50" s="695" customFormat="1" ht="12.75" customHeight="1" x14ac:dyDescent="0.2">
      <c r="A33" s="697">
        <v>8</v>
      </c>
      <c r="B33" s="698">
        <v>3472</v>
      </c>
      <c r="C33" s="698">
        <v>691003564</v>
      </c>
      <c r="D33" s="698">
        <v>72550368</v>
      </c>
      <c r="E33" s="699" t="s">
        <v>22</v>
      </c>
      <c r="F33" s="698">
        <v>3141</v>
      </c>
      <c r="G33" s="700" t="s">
        <v>321</v>
      </c>
      <c r="H33" s="701" t="s">
        <v>284</v>
      </c>
      <c r="I33" s="495">
        <v>662673</v>
      </c>
      <c r="J33" s="496">
        <v>485756</v>
      </c>
      <c r="K33" s="475">
        <v>0</v>
      </c>
      <c r="L33" s="475">
        <v>0</v>
      </c>
      <c r="M33" s="319">
        <v>164186</v>
      </c>
      <c r="N33" s="319">
        <v>9715</v>
      </c>
      <c r="O33" s="496">
        <v>3016</v>
      </c>
      <c r="P33" s="497">
        <v>1.65</v>
      </c>
      <c r="Q33" s="412">
        <v>0</v>
      </c>
      <c r="R33" s="498">
        <v>1.65</v>
      </c>
      <c r="S33" s="530">
        <f t="shared" si="25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1"/>
        <v>0</v>
      </c>
      <c r="AF33" s="486">
        <f t="shared" si="2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26"/>
        <v>0</v>
      </c>
      <c r="AM33" s="501">
        <f t="shared" si="27"/>
        <v>0</v>
      </c>
      <c r="AN33" s="529">
        <f t="shared" si="3"/>
        <v>0</v>
      </c>
      <c r="AO33" s="530">
        <f>I33+AF33</f>
        <v>662673</v>
      </c>
      <c r="AP33" s="486">
        <f>J33+V33</f>
        <v>485756</v>
      </c>
      <c r="AQ33" s="486">
        <f>K33+Y33</f>
        <v>0</v>
      </c>
      <c r="AR33" s="486">
        <f>L33</f>
        <v>0</v>
      </c>
      <c r="AS33" s="486">
        <f>M33+AA33</f>
        <v>164186</v>
      </c>
      <c r="AT33" s="486">
        <f>N33+AB33</f>
        <v>9715</v>
      </c>
      <c r="AU33" s="486">
        <f>O33+AE33</f>
        <v>3016</v>
      </c>
      <c r="AV33" s="501">
        <f>P33+AN33</f>
        <v>1.65</v>
      </c>
      <c r="AW33" s="501">
        <f>Q33+AL33</f>
        <v>0</v>
      </c>
      <c r="AX33" s="502">
        <f>R33+AM33</f>
        <v>1.65</v>
      </c>
    </row>
    <row r="34" spans="1:50" s="695" customFormat="1" ht="12.75" customHeight="1" x14ac:dyDescent="0.2">
      <c r="A34" s="279">
        <v>8</v>
      </c>
      <c r="B34" s="21">
        <v>3472</v>
      </c>
      <c r="C34" s="277">
        <v>691003564</v>
      </c>
      <c r="D34" s="277">
        <v>72550368</v>
      </c>
      <c r="E34" s="696" t="s">
        <v>23</v>
      </c>
      <c r="F34" s="21"/>
      <c r="G34" s="278"/>
      <c r="H34" s="749"/>
      <c r="I34" s="29">
        <v>5200988</v>
      </c>
      <c r="J34" s="266">
        <v>3758712</v>
      </c>
      <c r="K34" s="266">
        <v>30000</v>
      </c>
      <c r="L34" s="266">
        <v>0</v>
      </c>
      <c r="M34" s="266">
        <v>1280585</v>
      </c>
      <c r="N34" s="266">
        <v>75174</v>
      </c>
      <c r="O34" s="266">
        <v>56517</v>
      </c>
      <c r="P34" s="750">
        <v>9.4741999999999997</v>
      </c>
      <c r="Q34" s="750">
        <v>6</v>
      </c>
      <c r="R34" s="751">
        <v>3.4742000000000006</v>
      </c>
      <c r="S34" s="29">
        <f t="shared" ref="S34:AX34" si="28">SUM(S32:S33)</f>
        <v>0</v>
      </c>
      <c r="T34" s="22">
        <f t="shared" si="28"/>
        <v>0</v>
      </c>
      <c r="U34" s="22">
        <f t="shared" si="28"/>
        <v>0</v>
      </c>
      <c r="V34" s="22">
        <f t="shared" si="28"/>
        <v>0</v>
      </c>
      <c r="W34" s="22">
        <f t="shared" si="28"/>
        <v>0</v>
      </c>
      <c r="X34" s="22">
        <f t="shared" si="28"/>
        <v>0</v>
      </c>
      <c r="Y34" s="22">
        <f t="shared" si="28"/>
        <v>0</v>
      </c>
      <c r="Z34" s="22">
        <f t="shared" si="28"/>
        <v>0</v>
      </c>
      <c r="AA34" s="22">
        <f t="shared" si="28"/>
        <v>0</v>
      </c>
      <c r="AB34" s="22">
        <f t="shared" si="28"/>
        <v>0</v>
      </c>
      <c r="AC34" s="22">
        <f t="shared" si="28"/>
        <v>0</v>
      </c>
      <c r="AD34" s="22">
        <f t="shared" si="28"/>
        <v>0</v>
      </c>
      <c r="AE34" s="22">
        <f t="shared" si="28"/>
        <v>0</v>
      </c>
      <c r="AF34" s="22">
        <f t="shared" si="28"/>
        <v>0</v>
      </c>
      <c r="AG34" s="23">
        <f t="shared" si="28"/>
        <v>0</v>
      </c>
      <c r="AH34" s="23">
        <f t="shared" si="28"/>
        <v>0</v>
      </c>
      <c r="AI34" s="23">
        <f t="shared" si="28"/>
        <v>0</v>
      </c>
      <c r="AJ34" s="23">
        <f t="shared" si="28"/>
        <v>0</v>
      </c>
      <c r="AK34" s="23">
        <f t="shared" si="28"/>
        <v>0</v>
      </c>
      <c r="AL34" s="23">
        <f t="shared" si="28"/>
        <v>0</v>
      </c>
      <c r="AM34" s="23">
        <f t="shared" si="28"/>
        <v>0</v>
      </c>
      <c r="AN34" s="752">
        <f t="shared" si="28"/>
        <v>0</v>
      </c>
      <c r="AO34" s="29">
        <f t="shared" si="28"/>
        <v>5200988</v>
      </c>
      <c r="AP34" s="22">
        <f t="shared" si="28"/>
        <v>3758712</v>
      </c>
      <c r="AQ34" s="22">
        <f t="shared" si="28"/>
        <v>30000</v>
      </c>
      <c r="AR34" s="67">
        <f t="shared" si="28"/>
        <v>0</v>
      </c>
      <c r="AS34" s="22">
        <f t="shared" si="28"/>
        <v>1280585</v>
      </c>
      <c r="AT34" s="22">
        <f t="shared" si="28"/>
        <v>75174</v>
      </c>
      <c r="AU34" s="22">
        <f t="shared" si="28"/>
        <v>56517</v>
      </c>
      <c r="AV34" s="23">
        <f t="shared" si="28"/>
        <v>9.4741999999999997</v>
      </c>
      <c r="AW34" s="23">
        <f t="shared" si="28"/>
        <v>6</v>
      </c>
      <c r="AX34" s="55">
        <f t="shared" si="28"/>
        <v>3.4742000000000006</v>
      </c>
    </row>
    <row r="35" spans="1:50" s="695" customFormat="1" ht="12.75" customHeight="1" x14ac:dyDescent="0.2">
      <c r="A35" s="697">
        <v>9</v>
      </c>
      <c r="B35" s="698">
        <v>3467</v>
      </c>
      <c r="C35" s="698">
        <v>691001243</v>
      </c>
      <c r="D35" s="698">
        <v>72048174</v>
      </c>
      <c r="E35" s="699" t="s">
        <v>24</v>
      </c>
      <c r="F35" s="698">
        <v>3111</v>
      </c>
      <c r="G35" s="700" t="s">
        <v>317</v>
      </c>
      <c r="H35" s="701" t="s">
        <v>283</v>
      </c>
      <c r="I35" s="495">
        <v>8188872</v>
      </c>
      <c r="J35" s="496">
        <v>5948654</v>
      </c>
      <c r="K35" s="496">
        <v>0</v>
      </c>
      <c r="L35" s="496">
        <v>0</v>
      </c>
      <c r="M35" s="496">
        <v>2010645</v>
      </c>
      <c r="N35" s="496">
        <v>118974</v>
      </c>
      <c r="O35" s="496">
        <v>110599</v>
      </c>
      <c r="P35" s="497">
        <v>14.5167</v>
      </c>
      <c r="Q35" s="412">
        <v>10.564500000000001</v>
      </c>
      <c r="R35" s="498">
        <v>3.9521999999999995</v>
      </c>
      <c r="S35" s="530">
        <f t="shared" ref="S35:S37" si="29">W35*-1</f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1"/>
        <v>0</v>
      </c>
      <c r="AF35" s="486">
        <f t="shared" si="2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ref="AL35:AL37" si="30">AG35+AI35+AJ35</f>
        <v>0</v>
      </c>
      <c r="AM35" s="501">
        <f t="shared" ref="AM35:AM37" si="31">AH35+AK35</f>
        <v>0</v>
      </c>
      <c r="AN35" s="529">
        <f t="shared" si="3"/>
        <v>0</v>
      </c>
      <c r="AO35" s="530">
        <f>I35+AF35</f>
        <v>8188872</v>
      </c>
      <c r="AP35" s="486">
        <f>J35+V35</f>
        <v>5948654</v>
      </c>
      <c r="AQ35" s="486">
        <f>K35+Y35</f>
        <v>0</v>
      </c>
      <c r="AR35" s="486">
        <f>L35</f>
        <v>0</v>
      </c>
      <c r="AS35" s="486">
        <f t="shared" ref="AS35:AT37" si="32">M35+AA35</f>
        <v>2010645</v>
      </c>
      <c r="AT35" s="486">
        <f t="shared" si="32"/>
        <v>118974</v>
      </c>
      <c r="AU35" s="486">
        <f>O35+AE35</f>
        <v>110599</v>
      </c>
      <c r="AV35" s="501">
        <f>P35+AN35</f>
        <v>14.5167</v>
      </c>
      <c r="AW35" s="501">
        <f t="shared" ref="AW35:AX37" si="33">Q35+AL35</f>
        <v>10.564500000000001</v>
      </c>
      <c r="AX35" s="502">
        <f t="shared" si="33"/>
        <v>3.9521999999999995</v>
      </c>
    </row>
    <row r="36" spans="1:50" s="695" customFormat="1" x14ac:dyDescent="0.2">
      <c r="A36" s="697">
        <v>9</v>
      </c>
      <c r="B36" s="698">
        <v>3467</v>
      </c>
      <c r="C36" s="698">
        <v>691001243</v>
      </c>
      <c r="D36" s="698">
        <v>72048174</v>
      </c>
      <c r="E36" s="699" t="s">
        <v>24</v>
      </c>
      <c r="F36" s="698">
        <v>3111</v>
      </c>
      <c r="G36" s="700" t="s">
        <v>318</v>
      </c>
      <c r="H36" s="701" t="s">
        <v>284</v>
      </c>
      <c r="I36" s="495">
        <v>348885</v>
      </c>
      <c r="J36" s="496">
        <v>254702</v>
      </c>
      <c r="K36" s="475">
        <v>0</v>
      </c>
      <c r="L36" s="475">
        <v>0</v>
      </c>
      <c r="M36" s="319">
        <v>86089</v>
      </c>
      <c r="N36" s="319">
        <v>5094</v>
      </c>
      <c r="O36" s="496">
        <v>3000</v>
      </c>
      <c r="P36" s="497">
        <v>0.75</v>
      </c>
      <c r="Q36" s="412">
        <v>0.75</v>
      </c>
      <c r="R36" s="498">
        <v>0</v>
      </c>
      <c r="S36" s="530">
        <f t="shared" si="29"/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319">
        <f>ROUND((V36+W36)*33.8%,0)</f>
        <v>0</v>
      </c>
      <c r="AB36" s="178">
        <f>ROUND(V36*2%,0)</f>
        <v>0</v>
      </c>
      <c r="AC36" s="486">
        <v>0</v>
      </c>
      <c r="AD36" s="486">
        <v>0</v>
      </c>
      <c r="AE36" s="486">
        <f t="shared" si="1"/>
        <v>0</v>
      </c>
      <c r="AF36" s="486">
        <f t="shared" si="2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30"/>
        <v>0</v>
      </c>
      <c r="AM36" s="501">
        <f t="shared" si="31"/>
        <v>0</v>
      </c>
      <c r="AN36" s="529">
        <f t="shared" si="3"/>
        <v>0</v>
      </c>
      <c r="AO36" s="530">
        <f>I36+AF36</f>
        <v>348885</v>
      </c>
      <c r="AP36" s="486">
        <f>J36+V36</f>
        <v>254702</v>
      </c>
      <c r="AQ36" s="486">
        <f>K36+Y36</f>
        <v>0</v>
      </c>
      <c r="AR36" s="486">
        <f>L36</f>
        <v>0</v>
      </c>
      <c r="AS36" s="486">
        <f t="shared" si="32"/>
        <v>86089</v>
      </c>
      <c r="AT36" s="486">
        <f t="shared" si="32"/>
        <v>5094</v>
      </c>
      <c r="AU36" s="486">
        <f>O36+AE36</f>
        <v>3000</v>
      </c>
      <c r="AV36" s="501">
        <f>P36+AN36</f>
        <v>0.75</v>
      </c>
      <c r="AW36" s="501">
        <f t="shared" si="33"/>
        <v>0.75</v>
      </c>
      <c r="AX36" s="502">
        <f t="shared" si="33"/>
        <v>0</v>
      </c>
    </row>
    <row r="37" spans="1:50" s="695" customFormat="1" ht="12.75" customHeight="1" x14ac:dyDescent="0.2">
      <c r="A37" s="697">
        <v>9</v>
      </c>
      <c r="B37" s="698">
        <v>3467</v>
      </c>
      <c r="C37" s="698">
        <v>691001243</v>
      </c>
      <c r="D37" s="698">
        <v>72048174</v>
      </c>
      <c r="E37" s="699" t="s">
        <v>24</v>
      </c>
      <c r="F37" s="698">
        <v>3141</v>
      </c>
      <c r="G37" s="700" t="s">
        <v>321</v>
      </c>
      <c r="H37" s="701" t="s">
        <v>284</v>
      </c>
      <c r="I37" s="495">
        <v>1282034</v>
      </c>
      <c r="J37" s="496">
        <v>939166</v>
      </c>
      <c r="K37" s="475">
        <v>0</v>
      </c>
      <c r="L37" s="475">
        <v>0</v>
      </c>
      <c r="M37" s="319">
        <v>317438</v>
      </c>
      <c r="N37" s="319">
        <v>18784</v>
      </c>
      <c r="O37" s="496">
        <v>6646</v>
      </c>
      <c r="P37" s="497">
        <v>3.19</v>
      </c>
      <c r="Q37" s="412">
        <v>0</v>
      </c>
      <c r="R37" s="498">
        <v>3.19</v>
      </c>
      <c r="S37" s="530">
        <f t="shared" si="29"/>
        <v>0</v>
      </c>
      <c r="T37" s="486">
        <v>0</v>
      </c>
      <c r="U37" s="486">
        <v>0</v>
      </c>
      <c r="V37" s="486">
        <f>SUM(S37:U37)</f>
        <v>0</v>
      </c>
      <c r="W37" s="486">
        <v>0</v>
      </c>
      <c r="X37" s="486">
        <v>0</v>
      </c>
      <c r="Y37" s="486">
        <f>SUM(W37:X37)</f>
        <v>0</v>
      </c>
      <c r="Z37" s="486">
        <f>V37+Y37</f>
        <v>0</v>
      </c>
      <c r="AA37" s="319">
        <f>ROUND((V37+W37)*33.8%,0)</f>
        <v>0</v>
      </c>
      <c r="AB37" s="178">
        <f>ROUND(V37*2%,0)</f>
        <v>0</v>
      </c>
      <c r="AC37" s="486">
        <v>0</v>
      </c>
      <c r="AD37" s="486">
        <v>0</v>
      </c>
      <c r="AE37" s="486">
        <f t="shared" si="1"/>
        <v>0</v>
      </c>
      <c r="AF37" s="486">
        <f t="shared" si="2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si="30"/>
        <v>0</v>
      </c>
      <c r="AM37" s="501">
        <f t="shared" si="31"/>
        <v>0</v>
      </c>
      <c r="AN37" s="529">
        <f t="shared" si="3"/>
        <v>0</v>
      </c>
      <c r="AO37" s="530">
        <f>I37+AF37</f>
        <v>1282034</v>
      </c>
      <c r="AP37" s="486">
        <f>J37+V37</f>
        <v>939166</v>
      </c>
      <c r="AQ37" s="486">
        <f>K37+Y37</f>
        <v>0</v>
      </c>
      <c r="AR37" s="486">
        <f>L37</f>
        <v>0</v>
      </c>
      <c r="AS37" s="486">
        <f t="shared" si="32"/>
        <v>317438</v>
      </c>
      <c r="AT37" s="486">
        <f t="shared" si="32"/>
        <v>18784</v>
      </c>
      <c r="AU37" s="486">
        <f>O37+AE37</f>
        <v>6646</v>
      </c>
      <c r="AV37" s="501">
        <f>P37+AN37</f>
        <v>3.19</v>
      </c>
      <c r="AW37" s="501">
        <f t="shared" si="33"/>
        <v>0</v>
      </c>
      <c r="AX37" s="502">
        <f t="shared" si="33"/>
        <v>3.19</v>
      </c>
    </row>
    <row r="38" spans="1:50" s="695" customFormat="1" ht="12.75" customHeight="1" x14ac:dyDescent="0.2">
      <c r="A38" s="279">
        <v>9</v>
      </c>
      <c r="B38" s="21">
        <v>3467</v>
      </c>
      <c r="C38" s="277">
        <v>691001243</v>
      </c>
      <c r="D38" s="277">
        <v>72048174</v>
      </c>
      <c r="E38" s="696" t="s">
        <v>25</v>
      </c>
      <c r="F38" s="21"/>
      <c r="G38" s="278"/>
      <c r="H38" s="749"/>
      <c r="I38" s="29">
        <v>9819791</v>
      </c>
      <c r="J38" s="266">
        <v>7142522</v>
      </c>
      <c r="K38" s="266">
        <v>0</v>
      </c>
      <c r="L38" s="266">
        <v>0</v>
      </c>
      <c r="M38" s="266">
        <v>2414172</v>
      </c>
      <c r="N38" s="266">
        <v>142852</v>
      </c>
      <c r="O38" s="266">
        <v>120245</v>
      </c>
      <c r="P38" s="750">
        <v>18.456700000000001</v>
      </c>
      <c r="Q38" s="750">
        <v>11.314500000000001</v>
      </c>
      <c r="R38" s="751">
        <v>7.142199999999999</v>
      </c>
      <c r="S38" s="29">
        <f t="shared" ref="S38:AX38" si="34">SUM(S35:S37)</f>
        <v>0</v>
      </c>
      <c r="T38" s="22">
        <f t="shared" si="34"/>
        <v>0</v>
      </c>
      <c r="U38" s="22">
        <f t="shared" si="34"/>
        <v>0</v>
      </c>
      <c r="V38" s="22">
        <f t="shared" si="34"/>
        <v>0</v>
      </c>
      <c r="W38" s="22">
        <f t="shared" si="34"/>
        <v>0</v>
      </c>
      <c r="X38" s="22">
        <f t="shared" si="34"/>
        <v>0</v>
      </c>
      <c r="Y38" s="22">
        <f t="shared" si="34"/>
        <v>0</v>
      </c>
      <c r="Z38" s="22">
        <f t="shared" si="34"/>
        <v>0</v>
      </c>
      <c r="AA38" s="22">
        <f t="shared" si="34"/>
        <v>0</v>
      </c>
      <c r="AB38" s="22">
        <f t="shared" si="34"/>
        <v>0</v>
      </c>
      <c r="AC38" s="22">
        <f t="shared" si="34"/>
        <v>0</v>
      </c>
      <c r="AD38" s="22">
        <f t="shared" si="34"/>
        <v>0</v>
      </c>
      <c r="AE38" s="22">
        <f t="shared" si="34"/>
        <v>0</v>
      </c>
      <c r="AF38" s="22">
        <f t="shared" si="34"/>
        <v>0</v>
      </c>
      <c r="AG38" s="23">
        <f t="shared" si="34"/>
        <v>0</v>
      </c>
      <c r="AH38" s="23">
        <f t="shared" si="34"/>
        <v>0</v>
      </c>
      <c r="AI38" s="23">
        <f t="shared" si="34"/>
        <v>0</v>
      </c>
      <c r="AJ38" s="23">
        <f t="shared" si="34"/>
        <v>0</v>
      </c>
      <c r="AK38" s="23">
        <f t="shared" si="34"/>
        <v>0</v>
      </c>
      <c r="AL38" s="23">
        <f t="shared" si="34"/>
        <v>0</v>
      </c>
      <c r="AM38" s="23">
        <f t="shared" si="34"/>
        <v>0</v>
      </c>
      <c r="AN38" s="752">
        <f t="shared" si="34"/>
        <v>0</v>
      </c>
      <c r="AO38" s="29">
        <f t="shared" si="34"/>
        <v>9819791</v>
      </c>
      <c r="AP38" s="22">
        <f t="shared" si="34"/>
        <v>7142522</v>
      </c>
      <c r="AQ38" s="22">
        <f t="shared" si="34"/>
        <v>0</v>
      </c>
      <c r="AR38" s="67">
        <f t="shared" si="34"/>
        <v>0</v>
      </c>
      <c r="AS38" s="22">
        <f t="shared" si="34"/>
        <v>2414172</v>
      </c>
      <c r="AT38" s="22">
        <f t="shared" si="34"/>
        <v>142852</v>
      </c>
      <c r="AU38" s="22">
        <f t="shared" si="34"/>
        <v>120245</v>
      </c>
      <c r="AV38" s="23">
        <f t="shared" si="34"/>
        <v>18.456700000000001</v>
      </c>
      <c r="AW38" s="23">
        <f t="shared" si="34"/>
        <v>11.314500000000001</v>
      </c>
      <c r="AX38" s="55">
        <f t="shared" si="34"/>
        <v>7.142199999999999</v>
      </c>
    </row>
    <row r="39" spans="1:50" s="695" customFormat="1" ht="12.75" customHeight="1" x14ac:dyDescent="0.2">
      <c r="A39" s="697">
        <v>10</v>
      </c>
      <c r="B39" s="698">
        <v>3461</v>
      </c>
      <c r="C39" s="698">
        <v>691001286</v>
      </c>
      <c r="D39" s="698">
        <v>72048107</v>
      </c>
      <c r="E39" s="699" t="s">
        <v>26</v>
      </c>
      <c r="F39" s="698">
        <v>3111</v>
      </c>
      <c r="G39" s="700" t="s">
        <v>317</v>
      </c>
      <c r="H39" s="701" t="s">
        <v>283</v>
      </c>
      <c r="I39" s="495">
        <v>8094550</v>
      </c>
      <c r="J39" s="496">
        <v>5791322</v>
      </c>
      <c r="K39" s="496">
        <v>28800</v>
      </c>
      <c r="L39" s="496">
        <v>0</v>
      </c>
      <c r="M39" s="496">
        <v>1967202</v>
      </c>
      <c r="N39" s="496">
        <v>115827</v>
      </c>
      <c r="O39" s="496">
        <v>191399</v>
      </c>
      <c r="P39" s="497">
        <v>14.052199999999999</v>
      </c>
      <c r="Q39" s="412">
        <v>10.5</v>
      </c>
      <c r="R39" s="498">
        <v>3.5521999999999996</v>
      </c>
      <c r="S39" s="530">
        <f t="shared" ref="S39:S41" si="35">W39*-1</f>
        <v>0</v>
      </c>
      <c r="T39" s="486">
        <v>0</v>
      </c>
      <c r="U39" s="486">
        <v>0</v>
      </c>
      <c r="V39" s="486">
        <f>SUM(S39:U39)</f>
        <v>0</v>
      </c>
      <c r="W39" s="486">
        <v>0</v>
      </c>
      <c r="X39" s="486">
        <v>0</v>
      </c>
      <c r="Y39" s="486">
        <f>SUM(W39:X39)</f>
        <v>0</v>
      </c>
      <c r="Z39" s="486">
        <f>V39+Y39</f>
        <v>0</v>
      </c>
      <c r="AA39" s="319">
        <f>ROUND((V39+W39)*33.8%,0)</f>
        <v>0</v>
      </c>
      <c r="AB39" s="178">
        <f>ROUND(V39*2%,0)</f>
        <v>0</v>
      </c>
      <c r="AC39" s="486">
        <v>0</v>
      </c>
      <c r="AD39" s="486">
        <v>0</v>
      </c>
      <c r="AE39" s="486">
        <f t="shared" si="1"/>
        <v>0</v>
      </c>
      <c r="AF39" s="486">
        <f t="shared" si="2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ref="AL39:AL41" si="36">AG39+AI39+AJ39</f>
        <v>0</v>
      </c>
      <c r="AM39" s="501">
        <f t="shared" ref="AM39:AM41" si="37">AH39+AK39</f>
        <v>0</v>
      </c>
      <c r="AN39" s="529">
        <f t="shared" si="3"/>
        <v>0</v>
      </c>
      <c r="AO39" s="530">
        <f>I39+AF39</f>
        <v>8094550</v>
      </c>
      <c r="AP39" s="486">
        <f>J39+V39</f>
        <v>5791322</v>
      </c>
      <c r="AQ39" s="486">
        <f>K39+Y39</f>
        <v>28800</v>
      </c>
      <c r="AR39" s="486">
        <f>L39</f>
        <v>0</v>
      </c>
      <c r="AS39" s="486">
        <f t="shared" ref="AS39:AT41" si="38">M39+AA39</f>
        <v>1967202</v>
      </c>
      <c r="AT39" s="486">
        <f t="shared" si="38"/>
        <v>115827</v>
      </c>
      <c r="AU39" s="486">
        <f>O39+AE39</f>
        <v>191399</v>
      </c>
      <c r="AV39" s="501">
        <f>P39+AN39</f>
        <v>14.052199999999999</v>
      </c>
      <c r="AW39" s="501">
        <f t="shared" ref="AW39:AX41" si="39">Q39+AL39</f>
        <v>10.5</v>
      </c>
      <c r="AX39" s="502">
        <f t="shared" si="39"/>
        <v>3.5521999999999996</v>
      </c>
    </row>
    <row r="40" spans="1:50" s="695" customFormat="1" x14ac:dyDescent="0.2">
      <c r="A40" s="697">
        <v>10</v>
      </c>
      <c r="B40" s="698">
        <v>3461</v>
      </c>
      <c r="C40" s="698">
        <v>691001286</v>
      </c>
      <c r="D40" s="698">
        <v>72048107</v>
      </c>
      <c r="E40" s="699" t="s">
        <v>26</v>
      </c>
      <c r="F40" s="698">
        <v>3111</v>
      </c>
      <c r="G40" s="700" t="s">
        <v>318</v>
      </c>
      <c r="H40" s="701" t="s">
        <v>284</v>
      </c>
      <c r="I40" s="495">
        <v>253613</v>
      </c>
      <c r="J40" s="496">
        <v>186755</v>
      </c>
      <c r="K40" s="475">
        <v>0</v>
      </c>
      <c r="L40" s="475">
        <v>0</v>
      </c>
      <c r="M40" s="319">
        <v>63123</v>
      </c>
      <c r="N40" s="319">
        <v>3735</v>
      </c>
      <c r="O40" s="496">
        <v>0</v>
      </c>
      <c r="P40" s="497">
        <v>0.75</v>
      </c>
      <c r="Q40" s="412">
        <v>0.75</v>
      </c>
      <c r="R40" s="498">
        <v>0</v>
      </c>
      <c r="S40" s="530">
        <f t="shared" si="35"/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486">
        <v>0</v>
      </c>
      <c r="Y40" s="486">
        <f>SUM(W40:X40)</f>
        <v>0</v>
      </c>
      <c r="Z40" s="486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1"/>
        <v>0</v>
      </c>
      <c r="AF40" s="486">
        <f t="shared" si="2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36"/>
        <v>0</v>
      </c>
      <c r="AM40" s="501">
        <f t="shared" si="37"/>
        <v>0</v>
      </c>
      <c r="AN40" s="529">
        <f t="shared" si="3"/>
        <v>0</v>
      </c>
      <c r="AO40" s="530">
        <f>I40+AF40</f>
        <v>253613</v>
      </c>
      <c r="AP40" s="486">
        <f>J40+V40</f>
        <v>186755</v>
      </c>
      <c r="AQ40" s="486">
        <f>K40+Y40</f>
        <v>0</v>
      </c>
      <c r="AR40" s="486">
        <f>L40</f>
        <v>0</v>
      </c>
      <c r="AS40" s="486">
        <f t="shared" si="38"/>
        <v>63123</v>
      </c>
      <c r="AT40" s="486">
        <f t="shared" si="38"/>
        <v>3735</v>
      </c>
      <c r="AU40" s="486">
        <f>O40+AE40</f>
        <v>0</v>
      </c>
      <c r="AV40" s="501">
        <f>P40+AN40</f>
        <v>0.75</v>
      </c>
      <c r="AW40" s="501">
        <f t="shared" si="39"/>
        <v>0.75</v>
      </c>
      <c r="AX40" s="502">
        <f t="shared" si="39"/>
        <v>0</v>
      </c>
    </row>
    <row r="41" spans="1:50" s="695" customFormat="1" ht="12.75" customHeight="1" x14ac:dyDescent="0.2">
      <c r="A41" s="697">
        <v>10</v>
      </c>
      <c r="B41" s="698">
        <v>3461</v>
      </c>
      <c r="C41" s="698">
        <v>691001286</v>
      </c>
      <c r="D41" s="698">
        <v>72048107</v>
      </c>
      <c r="E41" s="699" t="s">
        <v>26</v>
      </c>
      <c r="F41" s="698">
        <v>3141</v>
      </c>
      <c r="G41" s="700" t="s">
        <v>321</v>
      </c>
      <c r="H41" s="701" t="s">
        <v>284</v>
      </c>
      <c r="I41" s="495">
        <v>1067450</v>
      </c>
      <c r="J41" s="496">
        <v>782219</v>
      </c>
      <c r="K41" s="475">
        <v>0</v>
      </c>
      <c r="L41" s="475">
        <v>0</v>
      </c>
      <c r="M41" s="319">
        <v>264390</v>
      </c>
      <c r="N41" s="319">
        <v>15645</v>
      </c>
      <c r="O41" s="496">
        <v>5196</v>
      </c>
      <c r="P41" s="497">
        <v>2.67</v>
      </c>
      <c r="Q41" s="412">
        <v>0</v>
      </c>
      <c r="R41" s="498">
        <v>2.67</v>
      </c>
      <c r="S41" s="530">
        <f t="shared" si="35"/>
        <v>0</v>
      </c>
      <c r="T41" s="486">
        <v>0</v>
      </c>
      <c r="U41" s="486">
        <v>0</v>
      </c>
      <c r="V41" s="486">
        <f>SUM(S41:U41)</f>
        <v>0</v>
      </c>
      <c r="W41" s="486">
        <v>0</v>
      </c>
      <c r="X41" s="486">
        <v>0</v>
      </c>
      <c r="Y41" s="486">
        <f>SUM(W41:X41)</f>
        <v>0</v>
      </c>
      <c r="Z41" s="486">
        <f>V41+Y41</f>
        <v>0</v>
      </c>
      <c r="AA41" s="319">
        <f>ROUND((V41+W41)*33.8%,0)</f>
        <v>0</v>
      </c>
      <c r="AB41" s="178">
        <f>ROUND(V41*2%,0)</f>
        <v>0</v>
      </c>
      <c r="AC41" s="486">
        <v>0</v>
      </c>
      <c r="AD41" s="486">
        <v>0</v>
      </c>
      <c r="AE41" s="486">
        <f t="shared" si="1"/>
        <v>0</v>
      </c>
      <c r="AF41" s="486">
        <f t="shared" si="2"/>
        <v>0</v>
      </c>
      <c r="AG41" s="501">
        <v>0</v>
      </c>
      <c r="AH41" s="501">
        <v>0</v>
      </c>
      <c r="AI41" s="501">
        <v>0</v>
      </c>
      <c r="AJ41" s="501">
        <v>0</v>
      </c>
      <c r="AK41" s="501">
        <v>0</v>
      </c>
      <c r="AL41" s="501">
        <f t="shared" si="36"/>
        <v>0</v>
      </c>
      <c r="AM41" s="501">
        <f t="shared" si="37"/>
        <v>0</v>
      </c>
      <c r="AN41" s="529">
        <f t="shared" si="3"/>
        <v>0</v>
      </c>
      <c r="AO41" s="530">
        <f>I41+AF41</f>
        <v>1067450</v>
      </c>
      <c r="AP41" s="486">
        <f>J41+V41</f>
        <v>782219</v>
      </c>
      <c r="AQ41" s="486">
        <f>K41+Y41</f>
        <v>0</v>
      </c>
      <c r="AR41" s="486">
        <f>L41</f>
        <v>0</v>
      </c>
      <c r="AS41" s="486">
        <f t="shared" si="38"/>
        <v>264390</v>
      </c>
      <c r="AT41" s="486">
        <f t="shared" si="38"/>
        <v>15645</v>
      </c>
      <c r="AU41" s="486">
        <f>O41+AE41</f>
        <v>5196</v>
      </c>
      <c r="AV41" s="501">
        <f>P41+AN41</f>
        <v>2.67</v>
      </c>
      <c r="AW41" s="501">
        <f t="shared" si="39"/>
        <v>0</v>
      </c>
      <c r="AX41" s="502">
        <f t="shared" si="39"/>
        <v>2.67</v>
      </c>
    </row>
    <row r="42" spans="1:50" s="695" customFormat="1" ht="12.75" customHeight="1" x14ac:dyDescent="0.2">
      <c r="A42" s="279">
        <v>10</v>
      </c>
      <c r="B42" s="21">
        <v>3461</v>
      </c>
      <c r="C42" s="277">
        <v>691001286</v>
      </c>
      <c r="D42" s="277">
        <v>72048107</v>
      </c>
      <c r="E42" s="696" t="s">
        <v>27</v>
      </c>
      <c r="F42" s="21"/>
      <c r="G42" s="278"/>
      <c r="H42" s="749"/>
      <c r="I42" s="29">
        <v>9415613</v>
      </c>
      <c r="J42" s="266">
        <v>6760296</v>
      </c>
      <c r="K42" s="266">
        <v>28800</v>
      </c>
      <c r="L42" s="266">
        <v>0</v>
      </c>
      <c r="M42" s="266">
        <v>2294715</v>
      </c>
      <c r="N42" s="266">
        <v>135207</v>
      </c>
      <c r="O42" s="266">
        <v>196595</v>
      </c>
      <c r="P42" s="750">
        <v>17.472200000000001</v>
      </c>
      <c r="Q42" s="750">
        <v>11.25</v>
      </c>
      <c r="R42" s="751">
        <v>6.2221999999999991</v>
      </c>
      <c r="S42" s="29">
        <f t="shared" ref="S42:AX42" si="40">SUM(S39:S41)</f>
        <v>0</v>
      </c>
      <c r="T42" s="22">
        <f t="shared" si="40"/>
        <v>0</v>
      </c>
      <c r="U42" s="22">
        <f t="shared" si="40"/>
        <v>0</v>
      </c>
      <c r="V42" s="22">
        <f t="shared" si="40"/>
        <v>0</v>
      </c>
      <c r="W42" s="22">
        <f t="shared" si="40"/>
        <v>0</v>
      </c>
      <c r="X42" s="22">
        <f t="shared" si="40"/>
        <v>0</v>
      </c>
      <c r="Y42" s="22">
        <f t="shared" si="40"/>
        <v>0</v>
      </c>
      <c r="Z42" s="22">
        <f t="shared" si="40"/>
        <v>0</v>
      </c>
      <c r="AA42" s="22">
        <f t="shared" si="40"/>
        <v>0</v>
      </c>
      <c r="AB42" s="22">
        <f t="shared" si="40"/>
        <v>0</v>
      </c>
      <c r="AC42" s="22">
        <f t="shared" si="40"/>
        <v>0</v>
      </c>
      <c r="AD42" s="22">
        <f t="shared" si="40"/>
        <v>0</v>
      </c>
      <c r="AE42" s="22">
        <f t="shared" si="40"/>
        <v>0</v>
      </c>
      <c r="AF42" s="22">
        <f t="shared" si="40"/>
        <v>0</v>
      </c>
      <c r="AG42" s="23">
        <f t="shared" si="40"/>
        <v>0</v>
      </c>
      <c r="AH42" s="23">
        <f t="shared" si="40"/>
        <v>0</v>
      </c>
      <c r="AI42" s="23">
        <f t="shared" si="40"/>
        <v>0</v>
      </c>
      <c r="AJ42" s="23">
        <f t="shared" si="40"/>
        <v>0</v>
      </c>
      <c r="AK42" s="23">
        <f t="shared" si="40"/>
        <v>0</v>
      </c>
      <c r="AL42" s="23">
        <f t="shared" si="40"/>
        <v>0</v>
      </c>
      <c r="AM42" s="23">
        <f t="shared" si="40"/>
        <v>0</v>
      </c>
      <c r="AN42" s="752">
        <f t="shared" si="40"/>
        <v>0</v>
      </c>
      <c r="AO42" s="29">
        <f t="shared" si="40"/>
        <v>9415613</v>
      </c>
      <c r="AP42" s="22">
        <f t="shared" si="40"/>
        <v>6760296</v>
      </c>
      <c r="AQ42" s="22">
        <f t="shared" si="40"/>
        <v>28800</v>
      </c>
      <c r="AR42" s="67">
        <f t="shared" si="40"/>
        <v>0</v>
      </c>
      <c r="AS42" s="22">
        <f t="shared" si="40"/>
        <v>2294715</v>
      </c>
      <c r="AT42" s="22">
        <f t="shared" si="40"/>
        <v>135207</v>
      </c>
      <c r="AU42" s="22">
        <f t="shared" si="40"/>
        <v>196595</v>
      </c>
      <c r="AV42" s="23">
        <f t="shared" si="40"/>
        <v>17.472200000000001</v>
      </c>
      <c r="AW42" s="23">
        <f t="shared" si="40"/>
        <v>11.25</v>
      </c>
      <c r="AX42" s="55">
        <f t="shared" si="40"/>
        <v>6.2221999999999991</v>
      </c>
    </row>
    <row r="43" spans="1:50" s="695" customFormat="1" ht="12.75" customHeight="1" x14ac:dyDescent="0.2">
      <c r="A43" s="697">
        <v>11</v>
      </c>
      <c r="B43" s="698">
        <v>3468</v>
      </c>
      <c r="C43" s="698">
        <v>691000891</v>
      </c>
      <c r="D43" s="698">
        <v>72048069</v>
      </c>
      <c r="E43" s="699" t="s">
        <v>28</v>
      </c>
      <c r="F43" s="698">
        <v>3111</v>
      </c>
      <c r="G43" s="700" t="s">
        <v>317</v>
      </c>
      <c r="H43" s="701" t="s">
        <v>283</v>
      </c>
      <c r="I43" s="495">
        <v>8816124</v>
      </c>
      <c r="J43" s="496">
        <v>6356174</v>
      </c>
      <c r="K43" s="496">
        <v>30000</v>
      </c>
      <c r="L43" s="496">
        <v>0</v>
      </c>
      <c r="M43" s="496">
        <v>2158527</v>
      </c>
      <c r="N43" s="496">
        <v>127123</v>
      </c>
      <c r="O43" s="496">
        <v>144300</v>
      </c>
      <c r="P43" s="497">
        <v>15.654500000000001</v>
      </c>
      <c r="Q43" s="412">
        <v>11.51</v>
      </c>
      <c r="R43" s="498">
        <v>4.1445000000000007</v>
      </c>
      <c r="S43" s="530">
        <f t="shared" ref="S43:S45" si="41">W43*-1</f>
        <v>0</v>
      </c>
      <c r="T43" s="486">
        <v>0</v>
      </c>
      <c r="U43" s="486">
        <v>0</v>
      </c>
      <c r="V43" s="486">
        <f>SUM(S43:U43)</f>
        <v>0</v>
      </c>
      <c r="W43" s="486">
        <v>0</v>
      </c>
      <c r="X43" s="486">
        <v>0</v>
      </c>
      <c r="Y43" s="486">
        <f>SUM(W43:X43)</f>
        <v>0</v>
      </c>
      <c r="Z43" s="486">
        <f>V43+Y43</f>
        <v>0</v>
      </c>
      <c r="AA43" s="319">
        <f>ROUND((V43+W43)*33.8%,0)</f>
        <v>0</v>
      </c>
      <c r="AB43" s="178">
        <f>ROUND(V43*2%,0)</f>
        <v>0</v>
      </c>
      <c r="AC43" s="486">
        <v>0</v>
      </c>
      <c r="AD43" s="486">
        <v>0</v>
      </c>
      <c r="AE43" s="486">
        <f t="shared" si="1"/>
        <v>0</v>
      </c>
      <c r="AF43" s="486">
        <f t="shared" si="2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ref="AL43:AL45" si="42">AG43+AI43+AJ43</f>
        <v>0</v>
      </c>
      <c r="AM43" s="501">
        <f t="shared" ref="AM43:AM45" si="43">AH43+AK43</f>
        <v>0</v>
      </c>
      <c r="AN43" s="529">
        <f t="shared" si="3"/>
        <v>0</v>
      </c>
      <c r="AO43" s="530">
        <f>I43+AF43</f>
        <v>8816124</v>
      </c>
      <c r="AP43" s="486">
        <f>J43+V43</f>
        <v>6356174</v>
      </c>
      <c r="AQ43" s="486">
        <f>K43+Y43</f>
        <v>30000</v>
      </c>
      <c r="AR43" s="486">
        <f>L43</f>
        <v>0</v>
      </c>
      <c r="AS43" s="486">
        <f t="shared" ref="AS43:AT45" si="44">M43+AA43</f>
        <v>2158527</v>
      </c>
      <c r="AT43" s="486">
        <f t="shared" si="44"/>
        <v>127123</v>
      </c>
      <c r="AU43" s="486">
        <f>O43+AE43</f>
        <v>144300</v>
      </c>
      <c r="AV43" s="501">
        <f>P43+AN43</f>
        <v>15.654500000000001</v>
      </c>
      <c r="AW43" s="501">
        <f t="shared" ref="AW43:AX45" si="45">Q43+AL43</f>
        <v>11.51</v>
      </c>
      <c r="AX43" s="502">
        <f t="shared" si="45"/>
        <v>4.1445000000000007</v>
      </c>
    </row>
    <row r="44" spans="1:50" s="695" customFormat="1" x14ac:dyDescent="0.2">
      <c r="A44" s="697">
        <v>11</v>
      </c>
      <c r="B44" s="698">
        <v>3468</v>
      </c>
      <c r="C44" s="698">
        <v>691000891</v>
      </c>
      <c r="D44" s="698">
        <v>72048069</v>
      </c>
      <c r="E44" s="699" t="s">
        <v>28</v>
      </c>
      <c r="F44" s="698">
        <v>3111</v>
      </c>
      <c r="G44" s="700" t="s">
        <v>318</v>
      </c>
      <c r="H44" s="701" t="s">
        <v>284</v>
      </c>
      <c r="I44" s="495">
        <v>233157</v>
      </c>
      <c r="J44" s="496">
        <v>171691</v>
      </c>
      <c r="K44" s="475">
        <v>0</v>
      </c>
      <c r="L44" s="475">
        <v>0</v>
      </c>
      <c r="M44" s="319">
        <v>58032</v>
      </c>
      <c r="N44" s="319">
        <v>3434</v>
      </c>
      <c r="O44" s="496">
        <v>0</v>
      </c>
      <c r="P44" s="497">
        <v>0.5</v>
      </c>
      <c r="Q44" s="412">
        <v>0.5</v>
      </c>
      <c r="R44" s="498">
        <v>0</v>
      </c>
      <c r="S44" s="530">
        <f t="shared" si="41"/>
        <v>0</v>
      </c>
      <c r="T44" s="486">
        <v>0</v>
      </c>
      <c r="U44" s="486">
        <v>0</v>
      </c>
      <c r="V44" s="486">
        <f>SUM(S44:U44)</f>
        <v>0</v>
      </c>
      <c r="W44" s="486">
        <v>0</v>
      </c>
      <c r="X44" s="486">
        <v>0</v>
      </c>
      <c r="Y44" s="486">
        <f>SUM(W44:X44)</f>
        <v>0</v>
      </c>
      <c r="Z44" s="486">
        <f>V44+Y44</f>
        <v>0</v>
      </c>
      <c r="AA44" s="319">
        <f>ROUND((V44+W44)*33.8%,0)</f>
        <v>0</v>
      </c>
      <c r="AB44" s="178">
        <f>ROUND(V44*2%,0)</f>
        <v>0</v>
      </c>
      <c r="AC44" s="486">
        <v>0</v>
      </c>
      <c r="AD44" s="486">
        <v>0</v>
      </c>
      <c r="AE44" s="486">
        <f t="shared" si="1"/>
        <v>0</v>
      </c>
      <c r="AF44" s="486">
        <f t="shared" si="2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si="42"/>
        <v>0</v>
      </c>
      <c r="AM44" s="501">
        <f t="shared" si="43"/>
        <v>0</v>
      </c>
      <c r="AN44" s="529">
        <f t="shared" si="3"/>
        <v>0</v>
      </c>
      <c r="AO44" s="530">
        <f>I44+AF44</f>
        <v>233157</v>
      </c>
      <c r="AP44" s="486">
        <f>J44+V44</f>
        <v>171691</v>
      </c>
      <c r="AQ44" s="486">
        <f>K44+Y44</f>
        <v>0</v>
      </c>
      <c r="AR44" s="486">
        <f>L44</f>
        <v>0</v>
      </c>
      <c r="AS44" s="486">
        <f t="shared" si="44"/>
        <v>58032</v>
      </c>
      <c r="AT44" s="486">
        <f t="shared" si="44"/>
        <v>3434</v>
      </c>
      <c r="AU44" s="486">
        <f>O44+AE44</f>
        <v>0</v>
      </c>
      <c r="AV44" s="501">
        <f>P44+AN44</f>
        <v>0.5</v>
      </c>
      <c r="AW44" s="501">
        <f t="shared" si="45"/>
        <v>0.5</v>
      </c>
      <c r="AX44" s="502">
        <f t="shared" si="45"/>
        <v>0</v>
      </c>
    </row>
    <row r="45" spans="1:50" s="695" customFormat="1" ht="12.75" customHeight="1" x14ac:dyDescent="0.2">
      <c r="A45" s="697">
        <v>11</v>
      </c>
      <c r="B45" s="698">
        <v>3468</v>
      </c>
      <c r="C45" s="698">
        <v>691000891</v>
      </c>
      <c r="D45" s="698">
        <v>72048069</v>
      </c>
      <c r="E45" s="699" t="s">
        <v>28</v>
      </c>
      <c r="F45" s="698">
        <v>3141</v>
      </c>
      <c r="G45" s="700" t="s">
        <v>321</v>
      </c>
      <c r="H45" s="701" t="s">
        <v>284</v>
      </c>
      <c r="I45" s="495">
        <v>875825</v>
      </c>
      <c r="J45" s="496">
        <v>641521</v>
      </c>
      <c r="K45" s="475">
        <v>0</v>
      </c>
      <c r="L45" s="475">
        <v>0</v>
      </c>
      <c r="M45" s="319">
        <v>216834</v>
      </c>
      <c r="N45" s="319">
        <v>12830</v>
      </c>
      <c r="O45" s="496">
        <v>4640</v>
      </c>
      <c r="P45" s="497">
        <v>2.1800000000000002</v>
      </c>
      <c r="Q45" s="412">
        <v>0</v>
      </c>
      <c r="R45" s="498">
        <v>2.1800000000000002</v>
      </c>
      <c r="S45" s="530">
        <f t="shared" si="41"/>
        <v>0</v>
      </c>
      <c r="T45" s="486">
        <v>0</v>
      </c>
      <c r="U45" s="486">
        <v>0</v>
      </c>
      <c r="V45" s="486">
        <f>SUM(S45:U45)</f>
        <v>0</v>
      </c>
      <c r="W45" s="486">
        <v>0</v>
      </c>
      <c r="X45" s="486">
        <v>0</v>
      </c>
      <c r="Y45" s="486">
        <f>SUM(W45:X45)</f>
        <v>0</v>
      </c>
      <c r="Z45" s="486">
        <f>V45+Y45</f>
        <v>0</v>
      </c>
      <c r="AA45" s="319">
        <f>ROUND((V45+W45)*33.8%,0)</f>
        <v>0</v>
      </c>
      <c r="AB45" s="178">
        <f>ROUND(V45*2%,0)</f>
        <v>0</v>
      </c>
      <c r="AC45" s="486">
        <v>0</v>
      </c>
      <c r="AD45" s="486">
        <v>0</v>
      </c>
      <c r="AE45" s="486">
        <f t="shared" si="1"/>
        <v>0</v>
      </c>
      <c r="AF45" s="486">
        <f t="shared" si="2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42"/>
        <v>0</v>
      </c>
      <c r="AM45" s="501">
        <f t="shared" si="43"/>
        <v>0</v>
      </c>
      <c r="AN45" s="529">
        <f t="shared" si="3"/>
        <v>0</v>
      </c>
      <c r="AO45" s="530">
        <f>I45+AF45</f>
        <v>875825</v>
      </c>
      <c r="AP45" s="486">
        <f>J45+V45</f>
        <v>641521</v>
      </c>
      <c r="AQ45" s="486">
        <f>K45+Y45</f>
        <v>0</v>
      </c>
      <c r="AR45" s="486">
        <f>L45</f>
        <v>0</v>
      </c>
      <c r="AS45" s="486">
        <f t="shared" si="44"/>
        <v>216834</v>
      </c>
      <c r="AT45" s="486">
        <f t="shared" si="44"/>
        <v>12830</v>
      </c>
      <c r="AU45" s="486">
        <f>O45+AE45</f>
        <v>4640</v>
      </c>
      <c r="AV45" s="501">
        <f>P45+AN45</f>
        <v>2.1800000000000002</v>
      </c>
      <c r="AW45" s="501">
        <f t="shared" si="45"/>
        <v>0</v>
      </c>
      <c r="AX45" s="502">
        <f t="shared" si="45"/>
        <v>2.1800000000000002</v>
      </c>
    </row>
    <row r="46" spans="1:50" s="695" customFormat="1" ht="12.75" customHeight="1" x14ac:dyDescent="0.2">
      <c r="A46" s="279">
        <v>11</v>
      </c>
      <c r="B46" s="21">
        <v>3468</v>
      </c>
      <c r="C46" s="277">
        <v>691000891</v>
      </c>
      <c r="D46" s="277">
        <v>72048069</v>
      </c>
      <c r="E46" s="696" t="s">
        <v>29</v>
      </c>
      <c r="F46" s="21"/>
      <c r="G46" s="278"/>
      <c r="H46" s="749"/>
      <c r="I46" s="29">
        <v>9925106</v>
      </c>
      <c r="J46" s="266">
        <v>7169386</v>
      </c>
      <c r="K46" s="266">
        <v>30000</v>
      </c>
      <c r="L46" s="266">
        <v>0</v>
      </c>
      <c r="M46" s="266">
        <v>2433393</v>
      </c>
      <c r="N46" s="266">
        <v>143387</v>
      </c>
      <c r="O46" s="266">
        <v>148940</v>
      </c>
      <c r="P46" s="750">
        <v>18.334499999999998</v>
      </c>
      <c r="Q46" s="750">
        <v>12.01</v>
      </c>
      <c r="R46" s="751">
        <v>6.3245000000000005</v>
      </c>
      <c r="S46" s="29">
        <f t="shared" ref="S46:AX46" si="46">SUM(S43:S45)</f>
        <v>0</v>
      </c>
      <c r="T46" s="22">
        <f t="shared" si="46"/>
        <v>0</v>
      </c>
      <c r="U46" s="22">
        <f t="shared" si="46"/>
        <v>0</v>
      </c>
      <c r="V46" s="22">
        <f t="shared" si="46"/>
        <v>0</v>
      </c>
      <c r="W46" s="22">
        <f t="shared" si="46"/>
        <v>0</v>
      </c>
      <c r="X46" s="22">
        <f t="shared" si="46"/>
        <v>0</v>
      </c>
      <c r="Y46" s="22">
        <f t="shared" si="46"/>
        <v>0</v>
      </c>
      <c r="Z46" s="22">
        <f t="shared" si="46"/>
        <v>0</v>
      </c>
      <c r="AA46" s="22">
        <f t="shared" si="46"/>
        <v>0</v>
      </c>
      <c r="AB46" s="22">
        <f t="shared" si="46"/>
        <v>0</v>
      </c>
      <c r="AC46" s="22">
        <f t="shared" si="46"/>
        <v>0</v>
      </c>
      <c r="AD46" s="22">
        <f t="shared" si="46"/>
        <v>0</v>
      </c>
      <c r="AE46" s="22">
        <f t="shared" si="46"/>
        <v>0</v>
      </c>
      <c r="AF46" s="22">
        <f t="shared" si="46"/>
        <v>0</v>
      </c>
      <c r="AG46" s="23">
        <f t="shared" si="46"/>
        <v>0</v>
      </c>
      <c r="AH46" s="23">
        <f t="shared" si="46"/>
        <v>0</v>
      </c>
      <c r="AI46" s="23">
        <f t="shared" si="46"/>
        <v>0</v>
      </c>
      <c r="AJ46" s="23">
        <f t="shared" si="46"/>
        <v>0</v>
      </c>
      <c r="AK46" s="23">
        <f t="shared" si="46"/>
        <v>0</v>
      </c>
      <c r="AL46" s="23">
        <f t="shared" si="46"/>
        <v>0</v>
      </c>
      <c r="AM46" s="23">
        <f t="shared" si="46"/>
        <v>0</v>
      </c>
      <c r="AN46" s="752">
        <f t="shared" si="46"/>
        <v>0</v>
      </c>
      <c r="AO46" s="29">
        <f t="shared" si="46"/>
        <v>9925106</v>
      </c>
      <c r="AP46" s="22">
        <f t="shared" si="46"/>
        <v>7169386</v>
      </c>
      <c r="AQ46" s="22">
        <f t="shared" si="46"/>
        <v>30000</v>
      </c>
      <c r="AR46" s="67">
        <f t="shared" si="46"/>
        <v>0</v>
      </c>
      <c r="AS46" s="22">
        <f t="shared" si="46"/>
        <v>2433393</v>
      </c>
      <c r="AT46" s="22">
        <f t="shared" si="46"/>
        <v>143387</v>
      </c>
      <c r="AU46" s="22">
        <f t="shared" si="46"/>
        <v>148940</v>
      </c>
      <c r="AV46" s="23">
        <f t="shared" si="46"/>
        <v>18.334499999999998</v>
      </c>
      <c r="AW46" s="23">
        <f t="shared" si="46"/>
        <v>12.01</v>
      </c>
      <c r="AX46" s="55">
        <f t="shared" si="46"/>
        <v>6.3245000000000005</v>
      </c>
    </row>
    <row r="47" spans="1:50" s="695" customFormat="1" ht="12.75" customHeight="1" x14ac:dyDescent="0.2">
      <c r="A47" s="697">
        <v>12</v>
      </c>
      <c r="B47" s="698">
        <v>3465</v>
      </c>
      <c r="C47" s="698">
        <v>691001278</v>
      </c>
      <c r="D47" s="698">
        <v>72048131</v>
      </c>
      <c r="E47" s="699" t="s">
        <v>30</v>
      </c>
      <c r="F47" s="698">
        <v>3111</v>
      </c>
      <c r="G47" s="700" t="s">
        <v>317</v>
      </c>
      <c r="H47" s="701" t="s">
        <v>283</v>
      </c>
      <c r="I47" s="495">
        <v>6406208</v>
      </c>
      <c r="J47" s="496">
        <v>4615735</v>
      </c>
      <c r="K47" s="496">
        <v>30000</v>
      </c>
      <c r="L47" s="496">
        <v>0</v>
      </c>
      <c r="M47" s="496">
        <v>1570258</v>
      </c>
      <c r="N47" s="496">
        <v>92315</v>
      </c>
      <c r="O47" s="496">
        <v>97900</v>
      </c>
      <c r="P47" s="497">
        <v>10.7082</v>
      </c>
      <c r="Q47" s="412">
        <v>8</v>
      </c>
      <c r="R47" s="498">
        <v>2.7081999999999997</v>
      </c>
      <c r="S47" s="530">
        <f t="shared" ref="S47:S49" si="47">W47*-1</f>
        <v>0</v>
      </c>
      <c r="T47" s="486">
        <v>0</v>
      </c>
      <c r="U47" s="486">
        <v>0</v>
      </c>
      <c r="V47" s="486">
        <f>SUM(S47:U47)</f>
        <v>0</v>
      </c>
      <c r="W47" s="486">
        <v>0</v>
      </c>
      <c r="X47" s="486">
        <v>0</v>
      </c>
      <c r="Y47" s="486">
        <f>SUM(W47:X47)</f>
        <v>0</v>
      </c>
      <c r="Z47" s="486">
        <f>V47+Y47</f>
        <v>0</v>
      </c>
      <c r="AA47" s="319">
        <f>ROUND((V47+W47)*33.8%,0)</f>
        <v>0</v>
      </c>
      <c r="AB47" s="178">
        <f>ROUND(V47*2%,0)</f>
        <v>0</v>
      </c>
      <c r="AC47" s="486">
        <v>0</v>
      </c>
      <c r="AD47" s="486">
        <v>0</v>
      </c>
      <c r="AE47" s="486">
        <f t="shared" si="1"/>
        <v>0</v>
      </c>
      <c r="AF47" s="486">
        <f t="shared" si="2"/>
        <v>0</v>
      </c>
      <c r="AG47" s="501">
        <v>0</v>
      </c>
      <c r="AH47" s="501">
        <v>0</v>
      </c>
      <c r="AI47" s="501">
        <v>0</v>
      </c>
      <c r="AJ47" s="501">
        <v>0</v>
      </c>
      <c r="AK47" s="501">
        <v>0</v>
      </c>
      <c r="AL47" s="501">
        <f t="shared" ref="AL47:AL49" si="48">AG47+AI47+AJ47</f>
        <v>0</v>
      </c>
      <c r="AM47" s="501">
        <f t="shared" ref="AM47:AM49" si="49">AH47+AK47</f>
        <v>0</v>
      </c>
      <c r="AN47" s="529">
        <f t="shared" si="3"/>
        <v>0</v>
      </c>
      <c r="AO47" s="530">
        <f>I47+AF47</f>
        <v>6406208</v>
      </c>
      <c r="AP47" s="486">
        <f>J47+V47</f>
        <v>4615735</v>
      </c>
      <c r="AQ47" s="486">
        <f>K47+Y47</f>
        <v>30000</v>
      </c>
      <c r="AR47" s="486">
        <f>L47</f>
        <v>0</v>
      </c>
      <c r="AS47" s="486">
        <f t="shared" ref="AS47:AT49" si="50">M47+AA47</f>
        <v>1570258</v>
      </c>
      <c r="AT47" s="486">
        <f t="shared" si="50"/>
        <v>92315</v>
      </c>
      <c r="AU47" s="486">
        <f>O47+AE47</f>
        <v>97900</v>
      </c>
      <c r="AV47" s="501">
        <f>P47+AN47</f>
        <v>10.7082</v>
      </c>
      <c r="AW47" s="501">
        <f t="shared" ref="AW47:AX49" si="51">Q47+AL47</f>
        <v>8</v>
      </c>
      <c r="AX47" s="502">
        <f t="shared" si="51"/>
        <v>2.7081999999999997</v>
      </c>
    </row>
    <row r="48" spans="1:50" s="695" customFormat="1" x14ac:dyDescent="0.2">
      <c r="A48" s="697">
        <v>12</v>
      </c>
      <c r="B48" s="698">
        <v>3465</v>
      </c>
      <c r="C48" s="698">
        <v>691001278</v>
      </c>
      <c r="D48" s="698">
        <v>72048131</v>
      </c>
      <c r="E48" s="699" t="s">
        <v>30</v>
      </c>
      <c r="F48" s="698">
        <v>3111</v>
      </c>
      <c r="G48" s="700" t="s">
        <v>318</v>
      </c>
      <c r="H48" s="701" t="s">
        <v>284</v>
      </c>
      <c r="I48" s="495">
        <v>169075</v>
      </c>
      <c r="J48" s="496">
        <v>124503</v>
      </c>
      <c r="K48" s="475">
        <v>0</v>
      </c>
      <c r="L48" s="475">
        <v>0</v>
      </c>
      <c r="M48" s="319">
        <v>42082</v>
      </c>
      <c r="N48" s="319">
        <v>2490</v>
      </c>
      <c r="O48" s="496">
        <v>0</v>
      </c>
      <c r="P48" s="497">
        <v>0.5</v>
      </c>
      <c r="Q48" s="412">
        <v>0.5</v>
      </c>
      <c r="R48" s="498">
        <v>0</v>
      </c>
      <c r="S48" s="530">
        <f t="shared" si="47"/>
        <v>0</v>
      </c>
      <c r="T48" s="486">
        <v>0</v>
      </c>
      <c r="U48" s="486">
        <v>0</v>
      </c>
      <c r="V48" s="486">
        <f>SUM(S48:U48)</f>
        <v>0</v>
      </c>
      <c r="W48" s="486">
        <v>0</v>
      </c>
      <c r="X48" s="486">
        <v>0</v>
      </c>
      <c r="Y48" s="486">
        <f>SUM(W48:X48)</f>
        <v>0</v>
      </c>
      <c r="Z48" s="486">
        <f>V48+Y48</f>
        <v>0</v>
      </c>
      <c r="AA48" s="319">
        <f>ROUND((V48+W48)*33.8%,0)</f>
        <v>0</v>
      </c>
      <c r="AB48" s="178">
        <f>ROUND(V48*2%,0)</f>
        <v>0</v>
      </c>
      <c r="AC48" s="486">
        <v>0</v>
      </c>
      <c r="AD48" s="486">
        <v>0</v>
      </c>
      <c r="AE48" s="486">
        <f t="shared" si="1"/>
        <v>0</v>
      </c>
      <c r="AF48" s="486">
        <f t="shared" si="2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si="48"/>
        <v>0</v>
      </c>
      <c r="AM48" s="501">
        <f t="shared" si="49"/>
        <v>0</v>
      </c>
      <c r="AN48" s="529">
        <f t="shared" si="3"/>
        <v>0</v>
      </c>
      <c r="AO48" s="530">
        <f>I48+AF48</f>
        <v>169075</v>
      </c>
      <c r="AP48" s="486">
        <f>J48+V48</f>
        <v>124503</v>
      </c>
      <c r="AQ48" s="486">
        <f>K48+Y48</f>
        <v>0</v>
      </c>
      <c r="AR48" s="486">
        <f>L48</f>
        <v>0</v>
      </c>
      <c r="AS48" s="486">
        <f t="shared" si="50"/>
        <v>42082</v>
      </c>
      <c r="AT48" s="486">
        <f t="shared" si="50"/>
        <v>2490</v>
      </c>
      <c r="AU48" s="486">
        <f>O48+AE48</f>
        <v>0</v>
      </c>
      <c r="AV48" s="501">
        <f>P48+AN48</f>
        <v>0.5</v>
      </c>
      <c r="AW48" s="501">
        <f t="shared" si="51"/>
        <v>0.5</v>
      </c>
      <c r="AX48" s="502">
        <f t="shared" si="51"/>
        <v>0</v>
      </c>
    </row>
    <row r="49" spans="1:50" s="695" customFormat="1" ht="12.75" customHeight="1" x14ac:dyDescent="0.2">
      <c r="A49" s="697">
        <v>12</v>
      </c>
      <c r="B49" s="698">
        <v>3465</v>
      </c>
      <c r="C49" s="698">
        <v>691001278</v>
      </c>
      <c r="D49" s="698">
        <v>72048131</v>
      </c>
      <c r="E49" s="699" t="s">
        <v>30</v>
      </c>
      <c r="F49" s="698">
        <v>3141</v>
      </c>
      <c r="G49" s="700" t="s">
        <v>321</v>
      </c>
      <c r="H49" s="701" t="s">
        <v>284</v>
      </c>
      <c r="I49" s="495">
        <v>992290</v>
      </c>
      <c r="J49" s="496">
        <v>726557</v>
      </c>
      <c r="K49" s="475">
        <v>0</v>
      </c>
      <c r="L49" s="475">
        <v>0</v>
      </c>
      <c r="M49" s="319">
        <v>245576</v>
      </c>
      <c r="N49" s="319">
        <v>14531</v>
      </c>
      <c r="O49" s="496">
        <v>5626</v>
      </c>
      <c r="P49" s="497">
        <v>2.48</v>
      </c>
      <c r="Q49" s="412">
        <v>0</v>
      </c>
      <c r="R49" s="498">
        <v>2.48</v>
      </c>
      <c r="S49" s="530">
        <f t="shared" si="47"/>
        <v>0</v>
      </c>
      <c r="T49" s="486">
        <v>0</v>
      </c>
      <c r="U49" s="486">
        <v>0</v>
      </c>
      <c r="V49" s="486">
        <f>SUM(S49:U49)</f>
        <v>0</v>
      </c>
      <c r="W49" s="486">
        <v>0</v>
      </c>
      <c r="X49" s="486">
        <v>0</v>
      </c>
      <c r="Y49" s="486">
        <f>SUM(W49:X49)</f>
        <v>0</v>
      </c>
      <c r="Z49" s="486">
        <f>V49+Y49</f>
        <v>0</v>
      </c>
      <c r="AA49" s="319">
        <f>ROUND((V49+W49)*33.8%,0)</f>
        <v>0</v>
      </c>
      <c r="AB49" s="178">
        <f>ROUND(V49*2%,0)</f>
        <v>0</v>
      </c>
      <c r="AC49" s="486">
        <v>0</v>
      </c>
      <c r="AD49" s="486">
        <v>0</v>
      </c>
      <c r="AE49" s="486">
        <f t="shared" si="1"/>
        <v>0</v>
      </c>
      <c r="AF49" s="486">
        <f t="shared" si="2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48"/>
        <v>0</v>
      </c>
      <c r="AM49" s="501">
        <f t="shared" si="49"/>
        <v>0</v>
      </c>
      <c r="AN49" s="529">
        <f t="shared" si="3"/>
        <v>0</v>
      </c>
      <c r="AO49" s="530">
        <f>I49+AF49</f>
        <v>992290</v>
      </c>
      <c r="AP49" s="486">
        <f>J49+V49</f>
        <v>726557</v>
      </c>
      <c r="AQ49" s="486">
        <f>K49+Y49</f>
        <v>0</v>
      </c>
      <c r="AR49" s="486">
        <f>L49</f>
        <v>0</v>
      </c>
      <c r="AS49" s="486">
        <f t="shared" si="50"/>
        <v>245576</v>
      </c>
      <c r="AT49" s="486">
        <f t="shared" si="50"/>
        <v>14531</v>
      </c>
      <c r="AU49" s="486">
        <f>O49+AE49</f>
        <v>5626</v>
      </c>
      <c r="AV49" s="501">
        <f>P49+AN49</f>
        <v>2.48</v>
      </c>
      <c r="AW49" s="501">
        <f t="shared" si="51"/>
        <v>0</v>
      </c>
      <c r="AX49" s="502">
        <f t="shared" si="51"/>
        <v>2.48</v>
      </c>
    </row>
    <row r="50" spans="1:50" s="695" customFormat="1" ht="12.75" customHeight="1" x14ac:dyDescent="0.2">
      <c r="A50" s="279">
        <v>12</v>
      </c>
      <c r="B50" s="21">
        <v>3465</v>
      </c>
      <c r="C50" s="277">
        <v>691001278</v>
      </c>
      <c r="D50" s="277">
        <v>72048131</v>
      </c>
      <c r="E50" s="696" t="s">
        <v>31</v>
      </c>
      <c r="F50" s="21"/>
      <c r="G50" s="278"/>
      <c r="H50" s="749"/>
      <c r="I50" s="29">
        <v>7567573</v>
      </c>
      <c r="J50" s="266">
        <v>5466795</v>
      </c>
      <c r="K50" s="266">
        <v>30000</v>
      </c>
      <c r="L50" s="266">
        <v>0</v>
      </c>
      <c r="M50" s="266">
        <v>1857916</v>
      </c>
      <c r="N50" s="266">
        <v>109336</v>
      </c>
      <c r="O50" s="266">
        <v>103526</v>
      </c>
      <c r="P50" s="750">
        <v>13.6882</v>
      </c>
      <c r="Q50" s="750">
        <v>8.5</v>
      </c>
      <c r="R50" s="751">
        <v>5.1882000000000001</v>
      </c>
      <c r="S50" s="29">
        <f t="shared" ref="S50:AX50" si="52">SUM(S47:S49)</f>
        <v>0</v>
      </c>
      <c r="T50" s="22">
        <f t="shared" si="52"/>
        <v>0</v>
      </c>
      <c r="U50" s="22">
        <f t="shared" si="52"/>
        <v>0</v>
      </c>
      <c r="V50" s="22">
        <f t="shared" si="52"/>
        <v>0</v>
      </c>
      <c r="W50" s="22">
        <f t="shared" si="52"/>
        <v>0</v>
      </c>
      <c r="X50" s="22">
        <f t="shared" si="52"/>
        <v>0</v>
      </c>
      <c r="Y50" s="22">
        <f t="shared" si="52"/>
        <v>0</v>
      </c>
      <c r="Z50" s="22">
        <f t="shared" si="52"/>
        <v>0</v>
      </c>
      <c r="AA50" s="22">
        <f t="shared" si="52"/>
        <v>0</v>
      </c>
      <c r="AB50" s="22">
        <f t="shared" si="52"/>
        <v>0</v>
      </c>
      <c r="AC50" s="22">
        <f t="shared" si="52"/>
        <v>0</v>
      </c>
      <c r="AD50" s="22">
        <f t="shared" si="52"/>
        <v>0</v>
      </c>
      <c r="AE50" s="22">
        <f t="shared" si="52"/>
        <v>0</v>
      </c>
      <c r="AF50" s="22">
        <f t="shared" si="52"/>
        <v>0</v>
      </c>
      <c r="AG50" s="23">
        <f t="shared" si="52"/>
        <v>0</v>
      </c>
      <c r="AH50" s="23">
        <f t="shared" si="52"/>
        <v>0</v>
      </c>
      <c r="AI50" s="23">
        <f t="shared" si="52"/>
        <v>0</v>
      </c>
      <c r="AJ50" s="23">
        <f t="shared" si="52"/>
        <v>0</v>
      </c>
      <c r="AK50" s="23">
        <f t="shared" si="52"/>
        <v>0</v>
      </c>
      <c r="AL50" s="23">
        <f t="shared" si="52"/>
        <v>0</v>
      </c>
      <c r="AM50" s="23">
        <f t="shared" si="52"/>
        <v>0</v>
      </c>
      <c r="AN50" s="752">
        <f t="shared" si="52"/>
        <v>0</v>
      </c>
      <c r="AO50" s="29">
        <f t="shared" si="52"/>
        <v>7567573</v>
      </c>
      <c r="AP50" s="22">
        <f t="shared" si="52"/>
        <v>5466795</v>
      </c>
      <c r="AQ50" s="22">
        <f t="shared" si="52"/>
        <v>30000</v>
      </c>
      <c r="AR50" s="67">
        <f t="shared" si="52"/>
        <v>0</v>
      </c>
      <c r="AS50" s="22">
        <f t="shared" si="52"/>
        <v>1857916</v>
      </c>
      <c r="AT50" s="22">
        <f t="shared" si="52"/>
        <v>109336</v>
      </c>
      <c r="AU50" s="22">
        <f t="shared" si="52"/>
        <v>103526</v>
      </c>
      <c r="AV50" s="23">
        <f t="shared" si="52"/>
        <v>13.6882</v>
      </c>
      <c r="AW50" s="23">
        <f t="shared" si="52"/>
        <v>8.5</v>
      </c>
      <c r="AX50" s="55">
        <f t="shared" si="52"/>
        <v>5.1882000000000001</v>
      </c>
    </row>
    <row r="51" spans="1:50" s="695" customFormat="1" ht="12.75" customHeight="1" x14ac:dyDescent="0.2">
      <c r="A51" s="697">
        <v>13</v>
      </c>
      <c r="B51" s="698">
        <v>3473</v>
      </c>
      <c r="C51" s="698">
        <v>691003530</v>
      </c>
      <c r="D51" s="698">
        <v>72550392</v>
      </c>
      <c r="E51" s="699" t="s">
        <v>32</v>
      </c>
      <c r="F51" s="698">
        <v>3111</v>
      </c>
      <c r="G51" s="700" t="s">
        <v>317</v>
      </c>
      <c r="H51" s="701" t="s">
        <v>283</v>
      </c>
      <c r="I51" s="495">
        <v>7753460</v>
      </c>
      <c r="J51" s="496">
        <v>5619027</v>
      </c>
      <c r="K51" s="496">
        <v>11750</v>
      </c>
      <c r="L51" s="496">
        <v>0</v>
      </c>
      <c r="M51" s="496">
        <v>1903203</v>
      </c>
      <c r="N51" s="496">
        <v>112381</v>
      </c>
      <c r="O51" s="496">
        <v>107099</v>
      </c>
      <c r="P51" s="497">
        <v>13.242199999999999</v>
      </c>
      <c r="Q51" s="412">
        <v>10</v>
      </c>
      <c r="R51" s="498">
        <v>3.2421999999999991</v>
      </c>
      <c r="S51" s="530">
        <f t="shared" ref="S51:S52" si="53">W51*-1</f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486">
        <v>0</v>
      </c>
      <c r="Y51" s="486">
        <f>SUM(W51:X51)</f>
        <v>0</v>
      </c>
      <c r="Z51" s="486">
        <f>V51+Y51</f>
        <v>0</v>
      </c>
      <c r="AA51" s="319">
        <f>ROUND((V51+W51)*33.8%,0)</f>
        <v>0</v>
      </c>
      <c r="AB51" s="178">
        <f>ROUND(V51*2%,0)</f>
        <v>0</v>
      </c>
      <c r="AC51" s="486">
        <v>0</v>
      </c>
      <c r="AD51" s="486">
        <v>0</v>
      </c>
      <c r="AE51" s="486">
        <f t="shared" si="1"/>
        <v>0</v>
      </c>
      <c r="AF51" s="486">
        <f t="shared" si="2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ref="AL51:AL52" si="54">AG51+AI51+AJ51</f>
        <v>0</v>
      </c>
      <c r="AM51" s="501">
        <f t="shared" ref="AM51:AM52" si="55">AH51+AK51</f>
        <v>0</v>
      </c>
      <c r="AN51" s="529">
        <f t="shared" si="3"/>
        <v>0</v>
      </c>
      <c r="AO51" s="530">
        <f>I51+AF51</f>
        <v>7753460</v>
      </c>
      <c r="AP51" s="486">
        <f>J51+V51</f>
        <v>5619027</v>
      </c>
      <c r="AQ51" s="486">
        <f>K51+Y51</f>
        <v>11750</v>
      </c>
      <c r="AR51" s="486">
        <f>L51</f>
        <v>0</v>
      </c>
      <c r="AS51" s="486">
        <f>M51+AA51</f>
        <v>1903203</v>
      </c>
      <c r="AT51" s="486">
        <f>N51+AB51</f>
        <v>112381</v>
      </c>
      <c r="AU51" s="486">
        <f>O51+AE51</f>
        <v>107099</v>
      </c>
      <c r="AV51" s="501">
        <f>P51+AN51</f>
        <v>13.242199999999999</v>
      </c>
      <c r="AW51" s="501">
        <f>Q51+AL51</f>
        <v>10</v>
      </c>
      <c r="AX51" s="502">
        <f>R51+AM51</f>
        <v>3.2421999999999991</v>
      </c>
    </row>
    <row r="52" spans="1:50" s="695" customFormat="1" ht="12.75" customHeight="1" x14ac:dyDescent="0.2">
      <c r="A52" s="697">
        <v>13</v>
      </c>
      <c r="B52" s="698">
        <v>3473</v>
      </c>
      <c r="C52" s="698">
        <v>691003530</v>
      </c>
      <c r="D52" s="698">
        <v>72550392</v>
      </c>
      <c r="E52" s="699" t="s">
        <v>33</v>
      </c>
      <c r="F52" s="698">
        <v>3141</v>
      </c>
      <c r="G52" s="700" t="s">
        <v>321</v>
      </c>
      <c r="H52" s="701" t="s">
        <v>284</v>
      </c>
      <c r="I52" s="495">
        <v>1059021</v>
      </c>
      <c r="J52" s="496">
        <v>775439</v>
      </c>
      <c r="K52" s="475">
        <v>0</v>
      </c>
      <c r="L52" s="475">
        <v>0</v>
      </c>
      <c r="M52" s="319">
        <v>262099</v>
      </c>
      <c r="N52" s="319">
        <v>15509</v>
      </c>
      <c r="O52" s="496">
        <v>5974</v>
      </c>
      <c r="P52" s="497">
        <v>2.6399999999999997</v>
      </c>
      <c r="Q52" s="412">
        <v>0</v>
      </c>
      <c r="R52" s="498">
        <v>2.6399999999999997</v>
      </c>
      <c r="S52" s="530">
        <f t="shared" si="53"/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486">
        <v>0</v>
      </c>
      <c r="Y52" s="486">
        <f>SUM(W52:X52)</f>
        <v>0</v>
      </c>
      <c r="Z52" s="486">
        <f>V52+Y52</f>
        <v>0</v>
      </c>
      <c r="AA52" s="319">
        <f>ROUND((V52+W52)*33.8%,0)</f>
        <v>0</v>
      </c>
      <c r="AB52" s="178">
        <f>ROUND(V52*2%,0)</f>
        <v>0</v>
      </c>
      <c r="AC52" s="486">
        <v>0</v>
      </c>
      <c r="AD52" s="486">
        <v>0</v>
      </c>
      <c r="AE52" s="486">
        <f t="shared" si="1"/>
        <v>0</v>
      </c>
      <c r="AF52" s="486">
        <f t="shared" si="2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54"/>
        <v>0</v>
      </c>
      <c r="AM52" s="501">
        <f t="shared" si="55"/>
        <v>0</v>
      </c>
      <c r="AN52" s="529">
        <f t="shared" si="3"/>
        <v>0</v>
      </c>
      <c r="AO52" s="530">
        <f>I52+AF52</f>
        <v>1059021</v>
      </c>
      <c r="AP52" s="486">
        <f>J52+V52</f>
        <v>775439</v>
      </c>
      <c r="AQ52" s="486">
        <f>K52+Y52</f>
        <v>0</v>
      </c>
      <c r="AR52" s="486">
        <f>L52</f>
        <v>0</v>
      </c>
      <c r="AS52" s="486">
        <f>M52+AA52</f>
        <v>262099</v>
      </c>
      <c r="AT52" s="486">
        <f>N52+AB52</f>
        <v>15509</v>
      </c>
      <c r="AU52" s="486">
        <f>O52+AE52</f>
        <v>5974</v>
      </c>
      <c r="AV52" s="501">
        <f>P52+AN52</f>
        <v>2.6399999999999997</v>
      </c>
      <c r="AW52" s="501">
        <f>Q52+AL52</f>
        <v>0</v>
      </c>
      <c r="AX52" s="502">
        <f>R52+AM52</f>
        <v>2.6399999999999997</v>
      </c>
    </row>
    <row r="53" spans="1:50" s="695" customFormat="1" ht="12.75" customHeight="1" x14ac:dyDescent="0.2">
      <c r="A53" s="279">
        <v>13</v>
      </c>
      <c r="B53" s="21">
        <v>3473</v>
      </c>
      <c r="C53" s="277">
        <v>691003530</v>
      </c>
      <c r="D53" s="277">
        <v>72550392</v>
      </c>
      <c r="E53" s="696" t="s">
        <v>34</v>
      </c>
      <c r="F53" s="21"/>
      <c r="G53" s="278"/>
      <c r="H53" s="749"/>
      <c r="I53" s="29">
        <v>8812481</v>
      </c>
      <c r="J53" s="266">
        <v>6394466</v>
      </c>
      <c r="K53" s="266">
        <v>11750</v>
      </c>
      <c r="L53" s="266">
        <v>0</v>
      </c>
      <c r="M53" s="266">
        <v>2165302</v>
      </c>
      <c r="N53" s="266">
        <v>127890</v>
      </c>
      <c r="O53" s="266">
        <v>113073</v>
      </c>
      <c r="P53" s="750">
        <v>15.882199999999997</v>
      </c>
      <c r="Q53" s="750">
        <v>10</v>
      </c>
      <c r="R53" s="751">
        <v>5.8821999999999992</v>
      </c>
      <c r="S53" s="29">
        <f t="shared" ref="S53:AX53" si="56">SUM(S51:S52)</f>
        <v>0</v>
      </c>
      <c r="T53" s="22">
        <f t="shared" si="56"/>
        <v>0</v>
      </c>
      <c r="U53" s="22">
        <f t="shared" si="56"/>
        <v>0</v>
      </c>
      <c r="V53" s="22">
        <f t="shared" si="56"/>
        <v>0</v>
      </c>
      <c r="W53" s="22">
        <f t="shared" si="56"/>
        <v>0</v>
      </c>
      <c r="X53" s="22">
        <f t="shared" si="56"/>
        <v>0</v>
      </c>
      <c r="Y53" s="22">
        <f t="shared" si="56"/>
        <v>0</v>
      </c>
      <c r="Z53" s="22">
        <f t="shared" si="56"/>
        <v>0</v>
      </c>
      <c r="AA53" s="22">
        <f t="shared" si="56"/>
        <v>0</v>
      </c>
      <c r="AB53" s="22">
        <f t="shared" si="56"/>
        <v>0</v>
      </c>
      <c r="AC53" s="22">
        <f t="shared" si="56"/>
        <v>0</v>
      </c>
      <c r="AD53" s="22">
        <f t="shared" si="56"/>
        <v>0</v>
      </c>
      <c r="AE53" s="22">
        <f t="shared" si="56"/>
        <v>0</v>
      </c>
      <c r="AF53" s="22">
        <f t="shared" si="56"/>
        <v>0</v>
      </c>
      <c r="AG53" s="23">
        <f t="shared" si="56"/>
        <v>0</v>
      </c>
      <c r="AH53" s="23">
        <f t="shared" si="56"/>
        <v>0</v>
      </c>
      <c r="AI53" s="23">
        <f t="shared" si="56"/>
        <v>0</v>
      </c>
      <c r="AJ53" s="23">
        <f t="shared" si="56"/>
        <v>0</v>
      </c>
      <c r="AK53" s="23">
        <f t="shared" si="56"/>
        <v>0</v>
      </c>
      <c r="AL53" s="23">
        <f t="shared" si="56"/>
        <v>0</v>
      </c>
      <c r="AM53" s="23">
        <f t="shared" si="56"/>
        <v>0</v>
      </c>
      <c r="AN53" s="752">
        <f t="shared" si="56"/>
        <v>0</v>
      </c>
      <c r="AO53" s="29">
        <f t="shared" si="56"/>
        <v>8812481</v>
      </c>
      <c r="AP53" s="22">
        <f t="shared" si="56"/>
        <v>6394466</v>
      </c>
      <c r="AQ53" s="22">
        <f t="shared" si="56"/>
        <v>11750</v>
      </c>
      <c r="AR53" s="67">
        <f t="shared" si="56"/>
        <v>0</v>
      </c>
      <c r="AS53" s="22">
        <f t="shared" si="56"/>
        <v>2165302</v>
      </c>
      <c r="AT53" s="22">
        <f t="shared" si="56"/>
        <v>127890</v>
      </c>
      <c r="AU53" s="22">
        <f t="shared" si="56"/>
        <v>113073</v>
      </c>
      <c r="AV53" s="23">
        <f t="shared" si="56"/>
        <v>15.882199999999997</v>
      </c>
      <c r="AW53" s="23">
        <f t="shared" si="56"/>
        <v>10</v>
      </c>
      <c r="AX53" s="55">
        <f t="shared" si="56"/>
        <v>5.8821999999999992</v>
      </c>
    </row>
    <row r="54" spans="1:50" s="695" customFormat="1" ht="12.75" customHeight="1" x14ac:dyDescent="0.2">
      <c r="A54" s="697">
        <v>14</v>
      </c>
      <c r="B54" s="698">
        <v>3474</v>
      </c>
      <c r="C54" s="698">
        <v>691003505</v>
      </c>
      <c r="D54" s="698">
        <v>72550406</v>
      </c>
      <c r="E54" s="699" t="s">
        <v>35</v>
      </c>
      <c r="F54" s="698">
        <v>3111</v>
      </c>
      <c r="G54" s="700" t="s">
        <v>317</v>
      </c>
      <c r="H54" s="701" t="s">
        <v>283</v>
      </c>
      <c r="I54" s="495">
        <v>4602163</v>
      </c>
      <c r="J54" s="496">
        <v>3271262</v>
      </c>
      <c r="K54" s="496">
        <v>55000</v>
      </c>
      <c r="L54" s="496">
        <v>0</v>
      </c>
      <c r="M54" s="496">
        <v>1124276</v>
      </c>
      <c r="N54" s="496">
        <v>65425</v>
      </c>
      <c r="O54" s="496">
        <v>86200</v>
      </c>
      <c r="P54" s="497">
        <v>8.0442</v>
      </c>
      <c r="Q54" s="412">
        <v>5.98</v>
      </c>
      <c r="R54" s="498">
        <v>2.0642</v>
      </c>
      <c r="S54" s="530">
        <f t="shared" ref="S54:S56" si="57">W54*-1</f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486">
        <v>0</v>
      </c>
      <c r="Y54" s="486">
        <f>SUM(W54:X54)</f>
        <v>0</v>
      </c>
      <c r="Z54" s="486">
        <f>V54+Y54</f>
        <v>0</v>
      </c>
      <c r="AA54" s="319">
        <f>ROUND((V54+W54)*33.8%,0)</f>
        <v>0</v>
      </c>
      <c r="AB54" s="178">
        <f>ROUND(V54*2%,0)</f>
        <v>0</v>
      </c>
      <c r="AC54" s="486">
        <v>0</v>
      </c>
      <c r="AD54" s="486">
        <v>0</v>
      </c>
      <c r="AE54" s="486">
        <f t="shared" si="1"/>
        <v>0</v>
      </c>
      <c r="AF54" s="486">
        <f t="shared" si="2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ref="AL54:AL56" si="58">AG54+AI54+AJ54</f>
        <v>0</v>
      </c>
      <c r="AM54" s="501">
        <f t="shared" ref="AM54:AM56" si="59">AH54+AK54</f>
        <v>0</v>
      </c>
      <c r="AN54" s="529">
        <f t="shared" si="3"/>
        <v>0</v>
      </c>
      <c r="AO54" s="530">
        <f>I54+AF54</f>
        <v>4602163</v>
      </c>
      <c r="AP54" s="486">
        <f>J54+V54</f>
        <v>3271262</v>
      </c>
      <c r="AQ54" s="486">
        <f>K54+Y54</f>
        <v>55000</v>
      </c>
      <c r="AR54" s="486">
        <f>L54</f>
        <v>0</v>
      </c>
      <c r="AS54" s="486">
        <f t="shared" ref="AS54:AT56" si="60">M54+AA54</f>
        <v>1124276</v>
      </c>
      <c r="AT54" s="486">
        <f t="shared" si="60"/>
        <v>65425</v>
      </c>
      <c r="AU54" s="486">
        <f>O54+AE54</f>
        <v>86200</v>
      </c>
      <c r="AV54" s="501">
        <f>P54+AN54</f>
        <v>8.0442</v>
      </c>
      <c r="AW54" s="501">
        <f t="shared" ref="AW54:AX56" si="61">Q54+AL54</f>
        <v>5.98</v>
      </c>
      <c r="AX54" s="502">
        <f t="shared" si="61"/>
        <v>2.0642</v>
      </c>
    </row>
    <row r="55" spans="1:50" s="695" customFormat="1" ht="12.75" customHeight="1" x14ac:dyDescent="0.2">
      <c r="A55" s="697">
        <v>14</v>
      </c>
      <c r="B55" s="698">
        <v>3474</v>
      </c>
      <c r="C55" s="698">
        <v>691003505</v>
      </c>
      <c r="D55" s="698">
        <v>72550406</v>
      </c>
      <c r="E55" s="699" t="s">
        <v>35</v>
      </c>
      <c r="F55" s="698">
        <v>3111</v>
      </c>
      <c r="G55" s="700" t="s">
        <v>318</v>
      </c>
      <c r="H55" s="701" t="s">
        <v>284</v>
      </c>
      <c r="I55" s="495">
        <v>345884</v>
      </c>
      <c r="J55" s="496">
        <v>254701</v>
      </c>
      <c r="K55" s="496">
        <v>0</v>
      </c>
      <c r="L55" s="496">
        <v>0</v>
      </c>
      <c r="M55" s="496">
        <v>86089</v>
      </c>
      <c r="N55" s="496">
        <v>5094</v>
      </c>
      <c r="O55" s="496">
        <v>0</v>
      </c>
      <c r="P55" s="497">
        <v>0.76</v>
      </c>
      <c r="Q55" s="412">
        <v>0.76</v>
      </c>
      <c r="R55" s="498">
        <v>0</v>
      </c>
      <c r="S55" s="530">
        <f t="shared" si="57"/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319">
        <f>ROUND((V55+W55)*33.8%,0)</f>
        <v>0</v>
      </c>
      <c r="AB55" s="178">
        <f>ROUND(V55*2%,0)</f>
        <v>0</v>
      </c>
      <c r="AC55" s="486">
        <v>0</v>
      </c>
      <c r="AD55" s="486">
        <v>0</v>
      </c>
      <c r="AE55" s="486">
        <f t="shared" si="1"/>
        <v>0</v>
      </c>
      <c r="AF55" s="486">
        <f t="shared" si="2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58"/>
        <v>0</v>
      </c>
      <c r="AM55" s="501">
        <f t="shared" si="59"/>
        <v>0</v>
      </c>
      <c r="AN55" s="529">
        <f t="shared" si="3"/>
        <v>0</v>
      </c>
      <c r="AO55" s="530">
        <f>I55+AF55</f>
        <v>345884</v>
      </c>
      <c r="AP55" s="486">
        <f>J55+V55</f>
        <v>254701</v>
      </c>
      <c r="AQ55" s="486">
        <f>K55+Y55</f>
        <v>0</v>
      </c>
      <c r="AR55" s="486">
        <f>L55</f>
        <v>0</v>
      </c>
      <c r="AS55" s="486">
        <f t="shared" si="60"/>
        <v>86089</v>
      </c>
      <c r="AT55" s="486">
        <f t="shared" si="60"/>
        <v>5094</v>
      </c>
      <c r="AU55" s="486">
        <f>O55+AE55</f>
        <v>0</v>
      </c>
      <c r="AV55" s="501">
        <f>P55+AN55</f>
        <v>0.76</v>
      </c>
      <c r="AW55" s="501">
        <f t="shared" si="61"/>
        <v>0.76</v>
      </c>
      <c r="AX55" s="502">
        <f t="shared" si="61"/>
        <v>0</v>
      </c>
    </row>
    <row r="56" spans="1:50" s="695" customFormat="1" ht="12.75" customHeight="1" x14ac:dyDescent="0.2">
      <c r="A56" s="697">
        <v>14</v>
      </c>
      <c r="B56" s="698">
        <v>3474</v>
      </c>
      <c r="C56" s="698">
        <v>691003505</v>
      </c>
      <c r="D56" s="698">
        <v>72550406</v>
      </c>
      <c r="E56" s="699" t="s">
        <v>36</v>
      </c>
      <c r="F56" s="698">
        <v>3141</v>
      </c>
      <c r="G56" s="700" t="s">
        <v>321</v>
      </c>
      <c r="H56" s="701" t="s">
        <v>284</v>
      </c>
      <c r="I56" s="495">
        <v>766030</v>
      </c>
      <c r="J56" s="496">
        <v>561310</v>
      </c>
      <c r="K56" s="475">
        <v>0</v>
      </c>
      <c r="L56" s="475">
        <v>0</v>
      </c>
      <c r="M56" s="319">
        <v>189723</v>
      </c>
      <c r="N56" s="319">
        <v>11227</v>
      </c>
      <c r="O56" s="496">
        <v>3770</v>
      </c>
      <c r="P56" s="497">
        <v>1.92</v>
      </c>
      <c r="Q56" s="412">
        <v>0</v>
      </c>
      <c r="R56" s="498">
        <v>1.92</v>
      </c>
      <c r="S56" s="530">
        <f t="shared" si="57"/>
        <v>0</v>
      </c>
      <c r="T56" s="486">
        <v>0</v>
      </c>
      <c r="U56" s="486">
        <v>0</v>
      </c>
      <c r="V56" s="486">
        <f>SUM(S56:U56)</f>
        <v>0</v>
      </c>
      <c r="W56" s="486">
        <v>0</v>
      </c>
      <c r="X56" s="486">
        <v>0</v>
      </c>
      <c r="Y56" s="486">
        <f>SUM(W56:X56)</f>
        <v>0</v>
      </c>
      <c r="Z56" s="486">
        <f>V56+Y56</f>
        <v>0</v>
      </c>
      <c r="AA56" s="319">
        <f>ROUND((V56+W56)*33.8%,0)</f>
        <v>0</v>
      </c>
      <c r="AB56" s="178">
        <f>ROUND(V56*2%,0)</f>
        <v>0</v>
      </c>
      <c r="AC56" s="486">
        <v>0</v>
      </c>
      <c r="AD56" s="486">
        <v>0</v>
      </c>
      <c r="AE56" s="486">
        <f t="shared" si="1"/>
        <v>0</v>
      </c>
      <c r="AF56" s="486">
        <f t="shared" si="2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si="58"/>
        <v>0</v>
      </c>
      <c r="AM56" s="501">
        <f t="shared" si="59"/>
        <v>0</v>
      </c>
      <c r="AN56" s="529">
        <f t="shared" si="3"/>
        <v>0</v>
      </c>
      <c r="AO56" s="530">
        <f>I56+AF56</f>
        <v>766030</v>
      </c>
      <c r="AP56" s="486">
        <f>J56+V56</f>
        <v>561310</v>
      </c>
      <c r="AQ56" s="486">
        <f>K56+Y56</f>
        <v>0</v>
      </c>
      <c r="AR56" s="486">
        <f>L56</f>
        <v>0</v>
      </c>
      <c r="AS56" s="486">
        <f t="shared" si="60"/>
        <v>189723</v>
      </c>
      <c r="AT56" s="486">
        <f t="shared" si="60"/>
        <v>11227</v>
      </c>
      <c r="AU56" s="486">
        <f>O56+AE56</f>
        <v>3770</v>
      </c>
      <c r="AV56" s="501">
        <f>P56+AN56</f>
        <v>1.92</v>
      </c>
      <c r="AW56" s="501">
        <f t="shared" si="61"/>
        <v>0</v>
      </c>
      <c r="AX56" s="502">
        <f t="shared" si="61"/>
        <v>1.92</v>
      </c>
    </row>
    <row r="57" spans="1:50" s="695" customFormat="1" ht="12.75" customHeight="1" x14ac:dyDescent="0.2">
      <c r="A57" s="279">
        <v>14</v>
      </c>
      <c r="B57" s="21">
        <v>3474</v>
      </c>
      <c r="C57" s="277">
        <v>691003505</v>
      </c>
      <c r="D57" s="277">
        <v>72550406</v>
      </c>
      <c r="E57" s="696" t="s">
        <v>37</v>
      </c>
      <c r="F57" s="21"/>
      <c r="G57" s="278"/>
      <c r="H57" s="749"/>
      <c r="I57" s="29">
        <v>5714077</v>
      </c>
      <c r="J57" s="266">
        <v>4087273</v>
      </c>
      <c r="K57" s="266">
        <v>55000</v>
      </c>
      <c r="L57" s="266">
        <v>0</v>
      </c>
      <c r="M57" s="266">
        <v>1400088</v>
      </c>
      <c r="N57" s="266">
        <v>81746</v>
      </c>
      <c r="O57" s="266">
        <v>89970</v>
      </c>
      <c r="P57" s="750">
        <v>10.7242</v>
      </c>
      <c r="Q57" s="750">
        <v>6.74</v>
      </c>
      <c r="R57" s="751">
        <v>3.9842</v>
      </c>
      <c r="S57" s="29">
        <f t="shared" ref="S57:AX57" si="62">SUM(S54:S56)</f>
        <v>0</v>
      </c>
      <c r="T57" s="22">
        <f t="shared" si="62"/>
        <v>0</v>
      </c>
      <c r="U57" s="22">
        <f t="shared" si="62"/>
        <v>0</v>
      </c>
      <c r="V57" s="22">
        <f t="shared" si="62"/>
        <v>0</v>
      </c>
      <c r="W57" s="22">
        <f t="shared" si="62"/>
        <v>0</v>
      </c>
      <c r="X57" s="22">
        <f t="shared" si="62"/>
        <v>0</v>
      </c>
      <c r="Y57" s="22">
        <f t="shared" si="62"/>
        <v>0</v>
      </c>
      <c r="Z57" s="22">
        <f t="shared" si="62"/>
        <v>0</v>
      </c>
      <c r="AA57" s="22">
        <f t="shared" si="62"/>
        <v>0</v>
      </c>
      <c r="AB57" s="22">
        <f t="shared" si="62"/>
        <v>0</v>
      </c>
      <c r="AC57" s="22">
        <f t="shared" si="62"/>
        <v>0</v>
      </c>
      <c r="AD57" s="22">
        <f t="shared" si="62"/>
        <v>0</v>
      </c>
      <c r="AE57" s="22">
        <f t="shared" si="62"/>
        <v>0</v>
      </c>
      <c r="AF57" s="22">
        <f t="shared" si="62"/>
        <v>0</v>
      </c>
      <c r="AG57" s="23">
        <f t="shared" si="62"/>
        <v>0</v>
      </c>
      <c r="AH57" s="23">
        <f t="shared" si="62"/>
        <v>0</v>
      </c>
      <c r="AI57" s="23">
        <f t="shared" si="62"/>
        <v>0</v>
      </c>
      <c r="AJ57" s="23">
        <f t="shared" si="62"/>
        <v>0</v>
      </c>
      <c r="AK57" s="23">
        <f t="shared" si="62"/>
        <v>0</v>
      </c>
      <c r="AL57" s="23">
        <f t="shared" si="62"/>
        <v>0</v>
      </c>
      <c r="AM57" s="23">
        <f t="shared" si="62"/>
        <v>0</v>
      </c>
      <c r="AN57" s="752">
        <f t="shared" si="62"/>
        <v>0</v>
      </c>
      <c r="AO57" s="29">
        <f t="shared" si="62"/>
        <v>5714077</v>
      </c>
      <c r="AP57" s="22">
        <f t="shared" si="62"/>
        <v>4087273</v>
      </c>
      <c r="AQ57" s="22">
        <f t="shared" si="62"/>
        <v>55000</v>
      </c>
      <c r="AR57" s="67">
        <f t="shared" si="62"/>
        <v>0</v>
      </c>
      <c r="AS57" s="22">
        <f t="shared" si="62"/>
        <v>1400088</v>
      </c>
      <c r="AT57" s="22">
        <f t="shared" si="62"/>
        <v>81746</v>
      </c>
      <c r="AU57" s="22">
        <f t="shared" si="62"/>
        <v>89970</v>
      </c>
      <c r="AV57" s="23">
        <f t="shared" si="62"/>
        <v>10.7242</v>
      </c>
      <c r="AW57" s="23">
        <f t="shared" si="62"/>
        <v>6.74</v>
      </c>
      <c r="AX57" s="55">
        <f t="shared" si="62"/>
        <v>3.9842</v>
      </c>
    </row>
    <row r="58" spans="1:50" s="695" customFormat="1" ht="12.75" customHeight="1" x14ac:dyDescent="0.2">
      <c r="A58" s="697">
        <v>15</v>
      </c>
      <c r="B58" s="698">
        <v>3466</v>
      </c>
      <c r="C58" s="698">
        <v>691001260</v>
      </c>
      <c r="D58" s="698">
        <v>72048085</v>
      </c>
      <c r="E58" s="699" t="s">
        <v>38</v>
      </c>
      <c r="F58" s="698">
        <v>3111</v>
      </c>
      <c r="G58" s="700" t="s">
        <v>317</v>
      </c>
      <c r="H58" s="701" t="s">
        <v>283</v>
      </c>
      <c r="I58" s="495">
        <v>4798661</v>
      </c>
      <c r="J58" s="496">
        <v>3431001</v>
      </c>
      <c r="K58" s="496">
        <v>41900</v>
      </c>
      <c r="L58" s="496">
        <v>0</v>
      </c>
      <c r="M58" s="496">
        <v>1173841</v>
      </c>
      <c r="N58" s="496">
        <v>68620</v>
      </c>
      <c r="O58" s="496">
        <v>83299</v>
      </c>
      <c r="P58" s="497">
        <v>7.9941999999999993</v>
      </c>
      <c r="Q58" s="412">
        <v>6</v>
      </c>
      <c r="R58" s="498">
        <v>1.9942</v>
      </c>
      <c r="S58" s="530">
        <f t="shared" ref="S58:S60" si="63">W58*-1</f>
        <v>0</v>
      </c>
      <c r="T58" s="486">
        <v>0</v>
      </c>
      <c r="U58" s="486">
        <v>0</v>
      </c>
      <c r="V58" s="486">
        <f>SUM(S58:U58)</f>
        <v>0</v>
      </c>
      <c r="W58" s="486">
        <v>0</v>
      </c>
      <c r="X58" s="486">
        <v>0</v>
      </c>
      <c r="Y58" s="486">
        <f>SUM(W58:X58)</f>
        <v>0</v>
      </c>
      <c r="Z58" s="486">
        <f>V58+Y58</f>
        <v>0</v>
      </c>
      <c r="AA58" s="319">
        <f>ROUND((V58+W58)*33.8%,0)</f>
        <v>0</v>
      </c>
      <c r="AB58" s="178">
        <f>ROUND(V58*2%,0)</f>
        <v>0</v>
      </c>
      <c r="AC58" s="486">
        <v>0</v>
      </c>
      <c r="AD58" s="486">
        <v>0</v>
      </c>
      <c r="AE58" s="486">
        <f t="shared" si="1"/>
        <v>0</v>
      </c>
      <c r="AF58" s="486">
        <f t="shared" si="2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ref="AL58:AL60" si="64">AG58+AI58+AJ58</f>
        <v>0</v>
      </c>
      <c r="AM58" s="501">
        <f t="shared" ref="AM58:AM60" si="65">AH58+AK58</f>
        <v>0</v>
      </c>
      <c r="AN58" s="529">
        <f t="shared" si="3"/>
        <v>0</v>
      </c>
      <c r="AO58" s="530">
        <f>I58+AF58</f>
        <v>4798661</v>
      </c>
      <c r="AP58" s="486">
        <f>J58+V58</f>
        <v>3431001</v>
      </c>
      <c r="AQ58" s="486">
        <f>K58+Y58</f>
        <v>41900</v>
      </c>
      <c r="AR58" s="486">
        <f>L58</f>
        <v>0</v>
      </c>
      <c r="AS58" s="486">
        <f t="shared" ref="AS58:AT60" si="66">M58+AA58</f>
        <v>1173841</v>
      </c>
      <c r="AT58" s="486">
        <f t="shared" si="66"/>
        <v>68620</v>
      </c>
      <c r="AU58" s="486">
        <f>O58+AE58</f>
        <v>83299</v>
      </c>
      <c r="AV58" s="501">
        <f>P58+AN58</f>
        <v>7.9941999999999993</v>
      </c>
      <c r="AW58" s="501">
        <f t="shared" ref="AW58:AX60" si="67">Q58+AL58</f>
        <v>6</v>
      </c>
      <c r="AX58" s="502">
        <f t="shared" si="67"/>
        <v>1.9942</v>
      </c>
    </row>
    <row r="59" spans="1:50" s="695" customFormat="1" x14ac:dyDescent="0.2">
      <c r="A59" s="697">
        <v>15</v>
      </c>
      <c r="B59" s="698">
        <v>3466</v>
      </c>
      <c r="C59" s="698">
        <v>691001260</v>
      </c>
      <c r="D59" s="698">
        <v>72048085</v>
      </c>
      <c r="E59" s="699" t="s">
        <v>38</v>
      </c>
      <c r="F59" s="698">
        <v>3111</v>
      </c>
      <c r="G59" s="700" t="s">
        <v>318</v>
      </c>
      <c r="H59" s="701" t="s">
        <v>284</v>
      </c>
      <c r="I59" s="495">
        <v>211374</v>
      </c>
      <c r="J59" s="496">
        <v>155651</v>
      </c>
      <c r="K59" s="475">
        <v>0</v>
      </c>
      <c r="L59" s="475">
        <v>0</v>
      </c>
      <c r="M59" s="319">
        <v>52610</v>
      </c>
      <c r="N59" s="319">
        <v>3113</v>
      </c>
      <c r="O59" s="496">
        <v>0</v>
      </c>
      <c r="P59" s="497">
        <v>0.45999999999999996</v>
      </c>
      <c r="Q59" s="412">
        <v>0.45999999999999996</v>
      </c>
      <c r="R59" s="498">
        <v>0</v>
      </c>
      <c r="S59" s="530">
        <f t="shared" si="63"/>
        <v>0</v>
      </c>
      <c r="T59" s="486">
        <v>0</v>
      </c>
      <c r="U59" s="486">
        <v>0</v>
      </c>
      <c r="V59" s="486">
        <f>SUM(S59:U59)</f>
        <v>0</v>
      </c>
      <c r="W59" s="486">
        <v>0</v>
      </c>
      <c r="X59" s="486">
        <v>0</v>
      </c>
      <c r="Y59" s="486">
        <f>SUM(W59:X59)</f>
        <v>0</v>
      </c>
      <c r="Z59" s="486">
        <f>V59+Y59</f>
        <v>0</v>
      </c>
      <c r="AA59" s="319">
        <f>ROUND((V59+W59)*33.8%,0)</f>
        <v>0</v>
      </c>
      <c r="AB59" s="178">
        <f>ROUND(V59*2%,0)</f>
        <v>0</v>
      </c>
      <c r="AC59" s="486">
        <v>0</v>
      </c>
      <c r="AD59" s="486">
        <v>0</v>
      </c>
      <c r="AE59" s="486">
        <f t="shared" si="1"/>
        <v>0</v>
      </c>
      <c r="AF59" s="486">
        <f t="shared" si="2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64"/>
        <v>0</v>
      </c>
      <c r="AM59" s="501">
        <f t="shared" si="65"/>
        <v>0</v>
      </c>
      <c r="AN59" s="529">
        <f t="shared" si="3"/>
        <v>0</v>
      </c>
      <c r="AO59" s="530">
        <f>I59+AF59</f>
        <v>211374</v>
      </c>
      <c r="AP59" s="486">
        <f>J59+V59</f>
        <v>155651</v>
      </c>
      <c r="AQ59" s="486">
        <f>K59+Y59</f>
        <v>0</v>
      </c>
      <c r="AR59" s="486">
        <f>L59</f>
        <v>0</v>
      </c>
      <c r="AS59" s="486">
        <f t="shared" si="66"/>
        <v>52610</v>
      </c>
      <c r="AT59" s="486">
        <f t="shared" si="66"/>
        <v>3113</v>
      </c>
      <c r="AU59" s="486">
        <f>O59+AE59</f>
        <v>0</v>
      </c>
      <c r="AV59" s="501">
        <f>P59+AN59</f>
        <v>0.45999999999999996</v>
      </c>
      <c r="AW59" s="501">
        <f t="shared" si="67"/>
        <v>0.45999999999999996</v>
      </c>
      <c r="AX59" s="502">
        <f t="shared" si="67"/>
        <v>0</v>
      </c>
    </row>
    <row r="60" spans="1:50" s="695" customFormat="1" ht="12.75" customHeight="1" x14ac:dyDescent="0.2">
      <c r="A60" s="697">
        <v>15</v>
      </c>
      <c r="B60" s="698">
        <v>3466</v>
      </c>
      <c r="C60" s="698">
        <v>691001260</v>
      </c>
      <c r="D60" s="698">
        <v>72048085</v>
      </c>
      <c r="E60" s="699" t="s">
        <v>38</v>
      </c>
      <c r="F60" s="698">
        <v>3141</v>
      </c>
      <c r="G60" s="700" t="s">
        <v>321</v>
      </c>
      <c r="H60" s="701" t="s">
        <v>284</v>
      </c>
      <c r="I60" s="495">
        <v>792108</v>
      </c>
      <c r="J60" s="496">
        <v>580343</v>
      </c>
      <c r="K60" s="475">
        <v>0</v>
      </c>
      <c r="L60" s="475">
        <v>0</v>
      </c>
      <c r="M60" s="319">
        <v>196156</v>
      </c>
      <c r="N60" s="319">
        <v>11607</v>
      </c>
      <c r="O60" s="496">
        <v>4002</v>
      </c>
      <c r="P60" s="497">
        <v>1.97</v>
      </c>
      <c r="Q60" s="412">
        <v>0</v>
      </c>
      <c r="R60" s="498">
        <v>1.97</v>
      </c>
      <c r="S60" s="530">
        <f t="shared" si="63"/>
        <v>0</v>
      </c>
      <c r="T60" s="486">
        <v>0</v>
      </c>
      <c r="U60" s="486">
        <v>0</v>
      </c>
      <c r="V60" s="486">
        <f>SUM(S60:U60)</f>
        <v>0</v>
      </c>
      <c r="W60" s="486">
        <v>0</v>
      </c>
      <c r="X60" s="486">
        <v>0</v>
      </c>
      <c r="Y60" s="486">
        <f>SUM(W60:X60)</f>
        <v>0</v>
      </c>
      <c r="Z60" s="486">
        <f>V60+Y60</f>
        <v>0</v>
      </c>
      <c r="AA60" s="319">
        <f>ROUND((V60+W60)*33.8%,0)</f>
        <v>0</v>
      </c>
      <c r="AB60" s="178">
        <f>ROUND(V60*2%,0)</f>
        <v>0</v>
      </c>
      <c r="AC60" s="486">
        <v>0</v>
      </c>
      <c r="AD60" s="486">
        <v>0</v>
      </c>
      <c r="AE60" s="486">
        <f t="shared" si="1"/>
        <v>0</v>
      </c>
      <c r="AF60" s="486">
        <f t="shared" si="2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64"/>
        <v>0</v>
      </c>
      <c r="AM60" s="501">
        <f t="shared" si="65"/>
        <v>0</v>
      </c>
      <c r="AN60" s="529">
        <f t="shared" si="3"/>
        <v>0</v>
      </c>
      <c r="AO60" s="530">
        <f>I60+AF60</f>
        <v>792108</v>
      </c>
      <c r="AP60" s="486">
        <f>J60+V60</f>
        <v>580343</v>
      </c>
      <c r="AQ60" s="486">
        <f>K60+Y60</f>
        <v>0</v>
      </c>
      <c r="AR60" s="486">
        <f>L60</f>
        <v>0</v>
      </c>
      <c r="AS60" s="486">
        <f t="shared" si="66"/>
        <v>196156</v>
      </c>
      <c r="AT60" s="486">
        <f t="shared" si="66"/>
        <v>11607</v>
      </c>
      <c r="AU60" s="486">
        <f>O60+AE60</f>
        <v>4002</v>
      </c>
      <c r="AV60" s="501">
        <f>P60+AN60</f>
        <v>1.97</v>
      </c>
      <c r="AW60" s="501">
        <f t="shared" si="67"/>
        <v>0</v>
      </c>
      <c r="AX60" s="502">
        <f t="shared" si="67"/>
        <v>1.97</v>
      </c>
    </row>
    <row r="61" spans="1:50" s="695" customFormat="1" ht="12.75" customHeight="1" x14ac:dyDescent="0.2">
      <c r="A61" s="279">
        <v>15</v>
      </c>
      <c r="B61" s="21">
        <v>3466</v>
      </c>
      <c r="C61" s="277">
        <v>691001260</v>
      </c>
      <c r="D61" s="277">
        <v>72048085</v>
      </c>
      <c r="E61" s="696" t="s">
        <v>39</v>
      </c>
      <c r="F61" s="21"/>
      <c r="G61" s="278"/>
      <c r="H61" s="749"/>
      <c r="I61" s="29">
        <v>5802143</v>
      </c>
      <c r="J61" s="266">
        <v>4166995</v>
      </c>
      <c r="K61" s="266">
        <v>41900</v>
      </c>
      <c r="L61" s="266">
        <v>0</v>
      </c>
      <c r="M61" s="266">
        <v>1422607</v>
      </c>
      <c r="N61" s="266">
        <v>83340</v>
      </c>
      <c r="O61" s="266">
        <v>87301</v>
      </c>
      <c r="P61" s="750">
        <v>10.424200000000001</v>
      </c>
      <c r="Q61" s="750">
        <v>6.46</v>
      </c>
      <c r="R61" s="751">
        <v>3.9641999999999999</v>
      </c>
      <c r="S61" s="29">
        <f t="shared" ref="S61:AX61" si="68">SUM(S58:S60)</f>
        <v>0</v>
      </c>
      <c r="T61" s="22">
        <f t="shared" si="68"/>
        <v>0</v>
      </c>
      <c r="U61" s="22">
        <f t="shared" si="68"/>
        <v>0</v>
      </c>
      <c r="V61" s="22">
        <f t="shared" si="68"/>
        <v>0</v>
      </c>
      <c r="W61" s="22">
        <f t="shared" si="68"/>
        <v>0</v>
      </c>
      <c r="X61" s="22">
        <f t="shared" si="68"/>
        <v>0</v>
      </c>
      <c r="Y61" s="22">
        <f t="shared" si="68"/>
        <v>0</v>
      </c>
      <c r="Z61" s="22">
        <f t="shared" si="68"/>
        <v>0</v>
      </c>
      <c r="AA61" s="22">
        <f t="shared" si="68"/>
        <v>0</v>
      </c>
      <c r="AB61" s="22">
        <f t="shared" si="68"/>
        <v>0</v>
      </c>
      <c r="AC61" s="22">
        <f t="shared" si="68"/>
        <v>0</v>
      </c>
      <c r="AD61" s="22">
        <f t="shared" si="68"/>
        <v>0</v>
      </c>
      <c r="AE61" s="22">
        <f t="shared" si="68"/>
        <v>0</v>
      </c>
      <c r="AF61" s="22">
        <f t="shared" si="68"/>
        <v>0</v>
      </c>
      <c r="AG61" s="23">
        <f t="shared" si="68"/>
        <v>0</v>
      </c>
      <c r="AH61" s="23">
        <f t="shared" si="68"/>
        <v>0</v>
      </c>
      <c r="AI61" s="23">
        <f t="shared" si="68"/>
        <v>0</v>
      </c>
      <c r="AJ61" s="23">
        <f t="shared" si="68"/>
        <v>0</v>
      </c>
      <c r="AK61" s="23">
        <f t="shared" si="68"/>
        <v>0</v>
      </c>
      <c r="AL61" s="23">
        <f t="shared" si="68"/>
        <v>0</v>
      </c>
      <c r="AM61" s="23">
        <f t="shared" si="68"/>
        <v>0</v>
      </c>
      <c r="AN61" s="752">
        <f t="shared" si="68"/>
        <v>0</v>
      </c>
      <c r="AO61" s="29">
        <f t="shared" si="68"/>
        <v>5802143</v>
      </c>
      <c r="AP61" s="22">
        <f t="shared" si="68"/>
        <v>4166995</v>
      </c>
      <c r="AQ61" s="22">
        <f t="shared" si="68"/>
        <v>41900</v>
      </c>
      <c r="AR61" s="67">
        <f t="shared" si="68"/>
        <v>0</v>
      </c>
      <c r="AS61" s="22">
        <f t="shared" si="68"/>
        <v>1422607</v>
      </c>
      <c r="AT61" s="22">
        <f t="shared" si="68"/>
        <v>83340</v>
      </c>
      <c r="AU61" s="22">
        <f t="shared" si="68"/>
        <v>87301</v>
      </c>
      <c r="AV61" s="23">
        <f t="shared" si="68"/>
        <v>10.424200000000001</v>
      </c>
      <c r="AW61" s="23">
        <f t="shared" si="68"/>
        <v>6.46</v>
      </c>
      <c r="AX61" s="55">
        <f t="shared" si="68"/>
        <v>3.9641999999999999</v>
      </c>
    </row>
    <row r="62" spans="1:50" s="695" customFormat="1" ht="12.75" customHeight="1" x14ac:dyDescent="0.2">
      <c r="A62" s="697">
        <v>16</v>
      </c>
      <c r="B62" s="698">
        <v>3407</v>
      </c>
      <c r="C62" s="698">
        <v>667000089</v>
      </c>
      <c r="D62" s="698">
        <v>72743778</v>
      </c>
      <c r="E62" s="699" t="s">
        <v>40</v>
      </c>
      <c r="F62" s="698">
        <v>3111</v>
      </c>
      <c r="G62" s="700" t="s">
        <v>317</v>
      </c>
      <c r="H62" s="701" t="s">
        <v>283</v>
      </c>
      <c r="I62" s="495">
        <v>10841639</v>
      </c>
      <c r="J62" s="496">
        <v>7807489</v>
      </c>
      <c r="K62" s="496">
        <v>50500</v>
      </c>
      <c r="L62" s="496">
        <v>0</v>
      </c>
      <c r="M62" s="496">
        <v>2656000</v>
      </c>
      <c r="N62" s="496">
        <v>156150</v>
      </c>
      <c r="O62" s="496">
        <v>171500</v>
      </c>
      <c r="P62" s="497">
        <v>18.885000000000002</v>
      </c>
      <c r="Q62" s="412">
        <v>14</v>
      </c>
      <c r="R62" s="498">
        <v>4.8850000000000016</v>
      </c>
      <c r="S62" s="530">
        <f t="shared" ref="S62:S63" si="69">W62*-1</f>
        <v>0</v>
      </c>
      <c r="T62" s="486">
        <v>0</v>
      </c>
      <c r="U62" s="486">
        <v>-6627</v>
      </c>
      <c r="V62" s="486">
        <f>SUM(S62:U62)</f>
        <v>-6627</v>
      </c>
      <c r="W62" s="486">
        <v>0</v>
      </c>
      <c r="X62" s="486">
        <v>0</v>
      </c>
      <c r="Y62" s="486">
        <f>SUM(W62:X62)</f>
        <v>0</v>
      </c>
      <c r="Z62" s="486">
        <f>V62+Y62</f>
        <v>-6627</v>
      </c>
      <c r="AA62" s="319">
        <f>ROUND((V62+W62)*33.8%,0)</f>
        <v>-2240</v>
      </c>
      <c r="AB62" s="178">
        <f>ROUND(V62*2%,0)</f>
        <v>-133</v>
      </c>
      <c r="AC62" s="486">
        <v>0</v>
      </c>
      <c r="AD62" s="486">
        <v>9000</v>
      </c>
      <c r="AE62" s="486">
        <f t="shared" si="1"/>
        <v>9000</v>
      </c>
      <c r="AF62" s="486">
        <f t="shared" si="2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ref="AL62:AL63" si="70">AG62+AI62+AJ62</f>
        <v>0</v>
      </c>
      <c r="AM62" s="501">
        <f t="shared" ref="AM62:AM63" si="71">AH62+AK62</f>
        <v>0</v>
      </c>
      <c r="AN62" s="529">
        <f t="shared" si="3"/>
        <v>0</v>
      </c>
      <c r="AO62" s="530">
        <f>I62+AF62</f>
        <v>10841639</v>
      </c>
      <c r="AP62" s="486">
        <f>J62+V62</f>
        <v>7800862</v>
      </c>
      <c r="AQ62" s="486">
        <f>K62+Y62</f>
        <v>50500</v>
      </c>
      <c r="AR62" s="486">
        <f>L62</f>
        <v>0</v>
      </c>
      <c r="AS62" s="486">
        <f>M62+AA62</f>
        <v>2653760</v>
      </c>
      <c r="AT62" s="486">
        <f>N62+AB62</f>
        <v>156017</v>
      </c>
      <c r="AU62" s="486">
        <f>O62+AE62</f>
        <v>180500</v>
      </c>
      <c r="AV62" s="501">
        <f>P62+AN62</f>
        <v>18.885000000000002</v>
      </c>
      <c r="AW62" s="501">
        <f>Q62+AL62</f>
        <v>14</v>
      </c>
      <c r="AX62" s="502">
        <f>R62+AM62</f>
        <v>4.8850000000000016</v>
      </c>
    </row>
    <row r="63" spans="1:50" s="695" customFormat="1" ht="12.75" customHeight="1" x14ac:dyDescent="0.2">
      <c r="A63" s="697">
        <v>16</v>
      </c>
      <c r="B63" s="698">
        <v>3407</v>
      </c>
      <c r="C63" s="698">
        <v>667000089</v>
      </c>
      <c r="D63" s="698">
        <v>72743778</v>
      </c>
      <c r="E63" s="699" t="s">
        <v>40</v>
      </c>
      <c r="F63" s="698">
        <v>3141</v>
      </c>
      <c r="G63" s="700" t="s">
        <v>321</v>
      </c>
      <c r="H63" s="701" t="s">
        <v>284</v>
      </c>
      <c r="I63" s="495">
        <v>1627197</v>
      </c>
      <c r="J63" s="496">
        <v>1192080</v>
      </c>
      <c r="K63" s="475">
        <v>0</v>
      </c>
      <c r="L63" s="475">
        <v>0</v>
      </c>
      <c r="M63" s="319">
        <v>402923</v>
      </c>
      <c r="N63" s="319">
        <v>23842</v>
      </c>
      <c r="O63" s="496">
        <v>8352</v>
      </c>
      <c r="P63" s="497">
        <v>4.0599999999999996</v>
      </c>
      <c r="Q63" s="412">
        <v>0</v>
      </c>
      <c r="R63" s="498">
        <v>4.0599999999999996</v>
      </c>
      <c r="S63" s="530">
        <f t="shared" si="69"/>
        <v>0</v>
      </c>
      <c r="T63" s="486">
        <v>0</v>
      </c>
      <c r="U63" s="486">
        <v>0</v>
      </c>
      <c r="V63" s="486">
        <f>SUM(S63:U63)</f>
        <v>0</v>
      </c>
      <c r="W63" s="486">
        <v>0</v>
      </c>
      <c r="X63" s="486">
        <v>0</v>
      </c>
      <c r="Y63" s="486">
        <f>SUM(W63:X63)</f>
        <v>0</v>
      </c>
      <c r="Z63" s="486">
        <f>V63+Y63</f>
        <v>0</v>
      </c>
      <c r="AA63" s="319">
        <f>ROUND((V63+W63)*33.8%,0)</f>
        <v>0</v>
      </c>
      <c r="AB63" s="178">
        <f>ROUND(V63*2%,0)</f>
        <v>0</v>
      </c>
      <c r="AC63" s="486">
        <v>0</v>
      </c>
      <c r="AD63" s="486">
        <v>0</v>
      </c>
      <c r="AE63" s="486">
        <f t="shared" si="1"/>
        <v>0</v>
      </c>
      <c r="AF63" s="486">
        <f t="shared" si="2"/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si="70"/>
        <v>0</v>
      </c>
      <c r="AM63" s="501">
        <f t="shared" si="71"/>
        <v>0</v>
      </c>
      <c r="AN63" s="529">
        <f t="shared" si="3"/>
        <v>0</v>
      </c>
      <c r="AO63" s="530">
        <f>I63+AF63</f>
        <v>1627197</v>
      </c>
      <c r="AP63" s="486">
        <f>J63+V63</f>
        <v>1192080</v>
      </c>
      <c r="AQ63" s="486">
        <f>K63+Y63</f>
        <v>0</v>
      </c>
      <c r="AR63" s="486">
        <f>L63</f>
        <v>0</v>
      </c>
      <c r="AS63" s="486">
        <f>M63+AA63</f>
        <v>402923</v>
      </c>
      <c r="AT63" s="486">
        <f>N63+AB63</f>
        <v>23842</v>
      </c>
      <c r="AU63" s="486">
        <f>O63+AE63</f>
        <v>8352</v>
      </c>
      <c r="AV63" s="501">
        <f>P63+AN63</f>
        <v>4.0599999999999996</v>
      </c>
      <c r="AW63" s="501">
        <f>Q63+AL63</f>
        <v>0</v>
      </c>
      <c r="AX63" s="502">
        <f>R63+AM63</f>
        <v>4.0599999999999996</v>
      </c>
    </row>
    <row r="64" spans="1:50" s="695" customFormat="1" ht="12.75" customHeight="1" x14ac:dyDescent="0.2">
      <c r="A64" s="279">
        <v>16</v>
      </c>
      <c r="B64" s="21">
        <v>3407</v>
      </c>
      <c r="C64" s="277">
        <v>667000089</v>
      </c>
      <c r="D64" s="277">
        <v>72743778</v>
      </c>
      <c r="E64" s="696" t="s">
        <v>41</v>
      </c>
      <c r="F64" s="21"/>
      <c r="G64" s="278"/>
      <c r="H64" s="749"/>
      <c r="I64" s="29">
        <v>12468836</v>
      </c>
      <c r="J64" s="266">
        <v>8999569</v>
      </c>
      <c r="K64" s="266">
        <v>50500</v>
      </c>
      <c r="L64" s="266">
        <v>0</v>
      </c>
      <c r="M64" s="266">
        <v>3058923</v>
      </c>
      <c r="N64" s="266">
        <v>179992</v>
      </c>
      <c r="O64" s="266">
        <v>179852</v>
      </c>
      <c r="P64" s="750">
        <v>22.945</v>
      </c>
      <c r="Q64" s="750">
        <v>14</v>
      </c>
      <c r="R64" s="751">
        <v>8.9450000000000003</v>
      </c>
      <c r="S64" s="29">
        <f t="shared" ref="S64:AX64" si="72">SUM(S62:S63)</f>
        <v>0</v>
      </c>
      <c r="T64" s="22">
        <f t="shared" si="72"/>
        <v>0</v>
      </c>
      <c r="U64" s="22">
        <f t="shared" si="72"/>
        <v>-6627</v>
      </c>
      <c r="V64" s="22">
        <f t="shared" si="72"/>
        <v>-6627</v>
      </c>
      <c r="W64" s="22">
        <f t="shared" si="72"/>
        <v>0</v>
      </c>
      <c r="X64" s="22">
        <f t="shared" si="72"/>
        <v>0</v>
      </c>
      <c r="Y64" s="22">
        <f t="shared" si="72"/>
        <v>0</v>
      </c>
      <c r="Z64" s="22">
        <f t="shared" si="72"/>
        <v>-6627</v>
      </c>
      <c r="AA64" s="22">
        <f t="shared" si="72"/>
        <v>-2240</v>
      </c>
      <c r="AB64" s="22">
        <f t="shared" si="72"/>
        <v>-133</v>
      </c>
      <c r="AC64" s="22">
        <f t="shared" si="72"/>
        <v>0</v>
      </c>
      <c r="AD64" s="22">
        <f t="shared" si="72"/>
        <v>9000</v>
      </c>
      <c r="AE64" s="22">
        <f t="shared" si="72"/>
        <v>9000</v>
      </c>
      <c r="AF64" s="22">
        <f t="shared" si="72"/>
        <v>0</v>
      </c>
      <c r="AG64" s="23">
        <f t="shared" si="72"/>
        <v>0</v>
      </c>
      <c r="AH64" s="23">
        <f t="shared" si="72"/>
        <v>0</v>
      </c>
      <c r="AI64" s="23">
        <f t="shared" si="72"/>
        <v>0</v>
      </c>
      <c r="AJ64" s="23">
        <f t="shared" si="72"/>
        <v>0</v>
      </c>
      <c r="AK64" s="23">
        <f t="shared" si="72"/>
        <v>0</v>
      </c>
      <c r="AL64" s="23">
        <f t="shared" si="72"/>
        <v>0</v>
      </c>
      <c r="AM64" s="23">
        <f t="shared" si="72"/>
        <v>0</v>
      </c>
      <c r="AN64" s="752">
        <f t="shared" si="72"/>
        <v>0</v>
      </c>
      <c r="AO64" s="29">
        <f t="shared" si="72"/>
        <v>12468836</v>
      </c>
      <c r="AP64" s="22">
        <f t="shared" si="72"/>
        <v>8992942</v>
      </c>
      <c r="AQ64" s="22">
        <f t="shared" si="72"/>
        <v>50500</v>
      </c>
      <c r="AR64" s="67">
        <f t="shared" si="72"/>
        <v>0</v>
      </c>
      <c r="AS64" s="22">
        <f t="shared" si="72"/>
        <v>3056683</v>
      </c>
      <c r="AT64" s="22">
        <f t="shared" si="72"/>
        <v>179859</v>
      </c>
      <c r="AU64" s="22">
        <f t="shared" si="72"/>
        <v>188852</v>
      </c>
      <c r="AV64" s="23">
        <f t="shared" si="72"/>
        <v>22.945</v>
      </c>
      <c r="AW64" s="23">
        <f t="shared" si="72"/>
        <v>14</v>
      </c>
      <c r="AX64" s="55">
        <f t="shared" si="72"/>
        <v>8.9450000000000003</v>
      </c>
    </row>
    <row r="65" spans="1:50" s="695" customFormat="1" ht="12.75" customHeight="1" x14ac:dyDescent="0.2">
      <c r="A65" s="697">
        <v>17</v>
      </c>
      <c r="B65" s="698">
        <v>3463</v>
      </c>
      <c r="C65" s="698">
        <v>691001308</v>
      </c>
      <c r="D65" s="698">
        <v>72048166</v>
      </c>
      <c r="E65" s="699" t="s">
        <v>42</v>
      </c>
      <c r="F65" s="698">
        <v>3111</v>
      </c>
      <c r="G65" s="700" t="s">
        <v>317</v>
      </c>
      <c r="H65" s="701" t="s">
        <v>283</v>
      </c>
      <c r="I65" s="495">
        <v>6480741</v>
      </c>
      <c r="J65" s="496">
        <v>4611026</v>
      </c>
      <c r="K65" s="496">
        <v>78600</v>
      </c>
      <c r="L65" s="496">
        <v>0</v>
      </c>
      <c r="M65" s="496">
        <v>1585094</v>
      </c>
      <c r="N65" s="496">
        <v>92221</v>
      </c>
      <c r="O65" s="496">
        <v>113800</v>
      </c>
      <c r="P65" s="497">
        <v>11.139699999999999</v>
      </c>
      <c r="Q65" s="412">
        <v>8.3814999999999991</v>
      </c>
      <c r="R65" s="498">
        <v>2.7582</v>
      </c>
      <c r="S65" s="530">
        <f t="shared" ref="S65:S67" si="73">W65*-1</f>
        <v>0</v>
      </c>
      <c r="T65" s="486">
        <v>0</v>
      </c>
      <c r="U65" s="486">
        <v>0</v>
      </c>
      <c r="V65" s="486">
        <f>SUM(S65:U65)</f>
        <v>0</v>
      </c>
      <c r="W65" s="486">
        <v>0</v>
      </c>
      <c r="X65" s="486">
        <v>0</v>
      </c>
      <c r="Y65" s="486">
        <f>SUM(W65:X65)</f>
        <v>0</v>
      </c>
      <c r="Z65" s="486">
        <f>V65+Y65</f>
        <v>0</v>
      </c>
      <c r="AA65" s="319">
        <f>ROUND((V65+W65)*33.8%,0)</f>
        <v>0</v>
      </c>
      <c r="AB65" s="178">
        <f>ROUND(V65*2%,0)</f>
        <v>0</v>
      </c>
      <c r="AC65" s="486">
        <v>0</v>
      </c>
      <c r="AD65" s="486">
        <v>0</v>
      </c>
      <c r="AE65" s="486">
        <f t="shared" si="1"/>
        <v>0</v>
      </c>
      <c r="AF65" s="486">
        <f t="shared" si="2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ref="AL65:AL67" si="74">AG65+AI65+AJ65</f>
        <v>0</v>
      </c>
      <c r="AM65" s="501">
        <f t="shared" ref="AM65:AM67" si="75">AH65+AK65</f>
        <v>0</v>
      </c>
      <c r="AN65" s="529">
        <f t="shared" si="3"/>
        <v>0</v>
      </c>
      <c r="AO65" s="530">
        <f>I65+AF65</f>
        <v>6480741</v>
      </c>
      <c r="AP65" s="486">
        <f>J65+V65</f>
        <v>4611026</v>
      </c>
      <c r="AQ65" s="486">
        <f>K65+Y65</f>
        <v>78600</v>
      </c>
      <c r="AR65" s="486">
        <f>L65</f>
        <v>0</v>
      </c>
      <c r="AS65" s="486">
        <f t="shared" ref="AS65:AT67" si="76">M65+AA65</f>
        <v>1585094</v>
      </c>
      <c r="AT65" s="486">
        <f t="shared" si="76"/>
        <v>92221</v>
      </c>
      <c r="AU65" s="486">
        <f>O65+AE65</f>
        <v>113800</v>
      </c>
      <c r="AV65" s="501">
        <f>P65+AN65</f>
        <v>11.139699999999999</v>
      </c>
      <c r="AW65" s="501">
        <f t="shared" ref="AW65:AX67" si="77">Q65+AL65</f>
        <v>8.3814999999999991</v>
      </c>
      <c r="AX65" s="502">
        <f t="shared" si="77"/>
        <v>2.7582</v>
      </c>
    </row>
    <row r="66" spans="1:50" s="695" customFormat="1" x14ac:dyDescent="0.2">
      <c r="A66" s="697">
        <v>17</v>
      </c>
      <c r="B66" s="698">
        <v>3463</v>
      </c>
      <c r="C66" s="698">
        <v>691001308</v>
      </c>
      <c r="D66" s="698">
        <v>72048166</v>
      </c>
      <c r="E66" s="699" t="s">
        <v>42</v>
      </c>
      <c r="F66" s="698">
        <v>3111</v>
      </c>
      <c r="G66" s="700" t="s">
        <v>318</v>
      </c>
      <c r="H66" s="701" t="s">
        <v>284</v>
      </c>
      <c r="I66" s="495">
        <v>983961</v>
      </c>
      <c r="J66" s="496">
        <v>724566</v>
      </c>
      <c r="K66" s="475">
        <v>0</v>
      </c>
      <c r="L66" s="475">
        <v>0</v>
      </c>
      <c r="M66" s="319">
        <v>244904</v>
      </c>
      <c r="N66" s="319">
        <v>14491</v>
      </c>
      <c r="O66" s="496">
        <v>0</v>
      </c>
      <c r="P66" s="497">
        <v>2.1</v>
      </c>
      <c r="Q66" s="412">
        <v>2.1</v>
      </c>
      <c r="R66" s="498">
        <v>0</v>
      </c>
      <c r="S66" s="530">
        <f t="shared" si="73"/>
        <v>0</v>
      </c>
      <c r="T66" s="486">
        <v>0</v>
      </c>
      <c r="U66" s="486">
        <v>0</v>
      </c>
      <c r="V66" s="486">
        <f>SUM(S66:U66)</f>
        <v>0</v>
      </c>
      <c r="W66" s="486">
        <v>0</v>
      </c>
      <c r="X66" s="486">
        <v>0</v>
      </c>
      <c r="Y66" s="486">
        <f>SUM(W66:X66)</f>
        <v>0</v>
      </c>
      <c r="Z66" s="486">
        <f>V66+Y66</f>
        <v>0</v>
      </c>
      <c r="AA66" s="319">
        <f>ROUND((V66+W66)*33.8%,0)</f>
        <v>0</v>
      </c>
      <c r="AB66" s="178">
        <f>ROUND(V66*2%,0)</f>
        <v>0</v>
      </c>
      <c r="AC66" s="486">
        <v>0</v>
      </c>
      <c r="AD66" s="486">
        <v>0</v>
      </c>
      <c r="AE66" s="486">
        <f t="shared" si="1"/>
        <v>0</v>
      </c>
      <c r="AF66" s="486">
        <f t="shared" si="2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74"/>
        <v>0</v>
      </c>
      <c r="AM66" s="501">
        <f t="shared" si="75"/>
        <v>0</v>
      </c>
      <c r="AN66" s="529">
        <f t="shared" si="3"/>
        <v>0</v>
      </c>
      <c r="AO66" s="530">
        <f>I66+AF66</f>
        <v>983961</v>
      </c>
      <c r="AP66" s="486">
        <f>J66+V66</f>
        <v>724566</v>
      </c>
      <c r="AQ66" s="486">
        <f>K66+Y66</f>
        <v>0</v>
      </c>
      <c r="AR66" s="486">
        <f>L66</f>
        <v>0</v>
      </c>
      <c r="AS66" s="486">
        <f t="shared" si="76"/>
        <v>244904</v>
      </c>
      <c r="AT66" s="486">
        <f t="shared" si="76"/>
        <v>14491</v>
      </c>
      <c r="AU66" s="486">
        <f>O66+AE66</f>
        <v>0</v>
      </c>
      <c r="AV66" s="501">
        <f>P66+AN66</f>
        <v>2.1</v>
      </c>
      <c r="AW66" s="501">
        <f t="shared" si="77"/>
        <v>2.1</v>
      </c>
      <c r="AX66" s="502">
        <f t="shared" si="77"/>
        <v>0</v>
      </c>
    </row>
    <row r="67" spans="1:50" s="695" customFormat="1" ht="12.75" customHeight="1" x14ac:dyDescent="0.2">
      <c r="A67" s="697">
        <v>17</v>
      </c>
      <c r="B67" s="698">
        <v>3463</v>
      </c>
      <c r="C67" s="698">
        <v>691001308</v>
      </c>
      <c r="D67" s="698">
        <v>72048166</v>
      </c>
      <c r="E67" s="699" t="s">
        <v>42</v>
      </c>
      <c r="F67" s="698">
        <v>3141</v>
      </c>
      <c r="G67" s="700" t="s">
        <v>321</v>
      </c>
      <c r="H67" s="701" t="s">
        <v>284</v>
      </c>
      <c r="I67" s="495">
        <v>910433</v>
      </c>
      <c r="J67" s="496">
        <v>656982</v>
      </c>
      <c r="K67" s="475">
        <v>10000</v>
      </c>
      <c r="L67" s="475">
        <v>0</v>
      </c>
      <c r="M67" s="319">
        <v>225440</v>
      </c>
      <c r="N67" s="319">
        <v>13139</v>
      </c>
      <c r="O67" s="496">
        <v>4872</v>
      </c>
      <c r="P67" s="497">
        <v>2.2699999999999996</v>
      </c>
      <c r="Q67" s="412">
        <v>0</v>
      </c>
      <c r="R67" s="498">
        <v>2.2699999999999996</v>
      </c>
      <c r="S67" s="530">
        <f t="shared" si="73"/>
        <v>0</v>
      </c>
      <c r="T67" s="486">
        <v>0</v>
      </c>
      <c r="U67" s="486">
        <v>0</v>
      </c>
      <c r="V67" s="486">
        <f>SUM(S67:U67)</f>
        <v>0</v>
      </c>
      <c r="W67" s="486">
        <v>0</v>
      </c>
      <c r="X67" s="486">
        <v>0</v>
      </c>
      <c r="Y67" s="486">
        <f>SUM(W67:X67)</f>
        <v>0</v>
      </c>
      <c r="Z67" s="486">
        <f>V67+Y67</f>
        <v>0</v>
      </c>
      <c r="AA67" s="319">
        <f>ROUND((V67+W67)*33.8%,0)</f>
        <v>0</v>
      </c>
      <c r="AB67" s="178">
        <f>ROUND(V67*2%,0)</f>
        <v>0</v>
      </c>
      <c r="AC67" s="486">
        <v>0</v>
      </c>
      <c r="AD67" s="486">
        <v>0</v>
      </c>
      <c r="AE67" s="486">
        <f t="shared" si="1"/>
        <v>0</v>
      </c>
      <c r="AF67" s="486">
        <f t="shared" si="2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74"/>
        <v>0</v>
      </c>
      <c r="AM67" s="501">
        <f t="shared" si="75"/>
        <v>0</v>
      </c>
      <c r="AN67" s="529">
        <f t="shared" si="3"/>
        <v>0</v>
      </c>
      <c r="AO67" s="530">
        <f>I67+AF67</f>
        <v>910433</v>
      </c>
      <c r="AP67" s="486">
        <f>J67+V67</f>
        <v>656982</v>
      </c>
      <c r="AQ67" s="486">
        <f>K67+Y67</f>
        <v>10000</v>
      </c>
      <c r="AR67" s="486">
        <f>L67</f>
        <v>0</v>
      </c>
      <c r="AS67" s="486">
        <f t="shared" si="76"/>
        <v>225440</v>
      </c>
      <c r="AT67" s="486">
        <f t="shared" si="76"/>
        <v>13139</v>
      </c>
      <c r="AU67" s="486">
        <f>O67+AE67</f>
        <v>4872</v>
      </c>
      <c r="AV67" s="501">
        <f>P67+AN67</f>
        <v>2.2699999999999996</v>
      </c>
      <c r="AW67" s="501">
        <f t="shared" si="77"/>
        <v>0</v>
      </c>
      <c r="AX67" s="502">
        <f t="shared" si="77"/>
        <v>2.2699999999999996</v>
      </c>
    </row>
    <row r="68" spans="1:50" s="695" customFormat="1" ht="12.75" customHeight="1" x14ac:dyDescent="0.2">
      <c r="A68" s="279">
        <v>17</v>
      </c>
      <c r="B68" s="21">
        <v>3463</v>
      </c>
      <c r="C68" s="277">
        <v>691001308</v>
      </c>
      <c r="D68" s="277">
        <v>72048166</v>
      </c>
      <c r="E68" s="696" t="s">
        <v>43</v>
      </c>
      <c r="F68" s="21"/>
      <c r="G68" s="278"/>
      <c r="H68" s="749"/>
      <c r="I68" s="29">
        <v>8375135</v>
      </c>
      <c r="J68" s="266">
        <v>5992574</v>
      </c>
      <c r="K68" s="266">
        <v>88600</v>
      </c>
      <c r="L68" s="266">
        <v>0</v>
      </c>
      <c r="M68" s="266">
        <v>2055438</v>
      </c>
      <c r="N68" s="266">
        <v>119851</v>
      </c>
      <c r="O68" s="266">
        <v>118672</v>
      </c>
      <c r="P68" s="750">
        <v>15.509699999999999</v>
      </c>
      <c r="Q68" s="750">
        <v>10.481499999999999</v>
      </c>
      <c r="R68" s="751">
        <v>5.0282</v>
      </c>
      <c r="S68" s="29">
        <f t="shared" ref="S68:AX68" si="78">SUM(S65:S67)</f>
        <v>0</v>
      </c>
      <c r="T68" s="22">
        <f t="shared" si="78"/>
        <v>0</v>
      </c>
      <c r="U68" s="22">
        <f t="shared" si="78"/>
        <v>0</v>
      </c>
      <c r="V68" s="22">
        <f t="shared" si="78"/>
        <v>0</v>
      </c>
      <c r="W68" s="22">
        <f t="shared" si="78"/>
        <v>0</v>
      </c>
      <c r="X68" s="22">
        <f t="shared" si="78"/>
        <v>0</v>
      </c>
      <c r="Y68" s="22">
        <f t="shared" si="78"/>
        <v>0</v>
      </c>
      <c r="Z68" s="22">
        <f t="shared" si="78"/>
        <v>0</v>
      </c>
      <c r="AA68" s="22">
        <f t="shared" si="78"/>
        <v>0</v>
      </c>
      <c r="AB68" s="22">
        <f t="shared" si="78"/>
        <v>0</v>
      </c>
      <c r="AC68" s="22">
        <f t="shared" si="78"/>
        <v>0</v>
      </c>
      <c r="AD68" s="22">
        <f t="shared" si="78"/>
        <v>0</v>
      </c>
      <c r="AE68" s="22">
        <f t="shared" si="78"/>
        <v>0</v>
      </c>
      <c r="AF68" s="22">
        <f t="shared" si="78"/>
        <v>0</v>
      </c>
      <c r="AG68" s="23">
        <f t="shared" si="78"/>
        <v>0</v>
      </c>
      <c r="AH68" s="23">
        <f t="shared" si="78"/>
        <v>0</v>
      </c>
      <c r="AI68" s="23">
        <f t="shared" si="78"/>
        <v>0</v>
      </c>
      <c r="AJ68" s="23">
        <f t="shared" si="78"/>
        <v>0</v>
      </c>
      <c r="AK68" s="23">
        <f t="shared" si="78"/>
        <v>0</v>
      </c>
      <c r="AL68" s="23">
        <f t="shared" si="78"/>
        <v>0</v>
      </c>
      <c r="AM68" s="23">
        <f t="shared" si="78"/>
        <v>0</v>
      </c>
      <c r="AN68" s="752">
        <f t="shared" si="78"/>
        <v>0</v>
      </c>
      <c r="AO68" s="29">
        <f t="shared" si="78"/>
        <v>8375135</v>
      </c>
      <c r="AP68" s="22">
        <f t="shared" si="78"/>
        <v>5992574</v>
      </c>
      <c r="AQ68" s="22">
        <f t="shared" si="78"/>
        <v>88600</v>
      </c>
      <c r="AR68" s="67">
        <f t="shared" si="78"/>
        <v>0</v>
      </c>
      <c r="AS68" s="22">
        <f t="shared" si="78"/>
        <v>2055438</v>
      </c>
      <c r="AT68" s="22">
        <f t="shared" si="78"/>
        <v>119851</v>
      </c>
      <c r="AU68" s="22">
        <f t="shared" si="78"/>
        <v>118672</v>
      </c>
      <c r="AV68" s="23">
        <f t="shared" si="78"/>
        <v>15.509699999999999</v>
      </c>
      <c r="AW68" s="23">
        <f t="shared" si="78"/>
        <v>10.481499999999999</v>
      </c>
      <c r="AX68" s="55">
        <f t="shared" si="78"/>
        <v>5.0282</v>
      </c>
    </row>
    <row r="69" spans="1:50" s="695" customFormat="1" ht="12.75" customHeight="1" x14ac:dyDescent="0.2">
      <c r="A69" s="697">
        <v>18</v>
      </c>
      <c r="B69" s="698">
        <v>3460</v>
      </c>
      <c r="C69" s="698">
        <v>691000387</v>
      </c>
      <c r="D69" s="698">
        <v>86797034</v>
      </c>
      <c r="E69" s="699" t="s">
        <v>44</v>
      </c>
      <c r="F69" s="698">
        <v>3111</v>
      </c>
      <c r="G69" s="700" t="s">
        <v>317</v>
      </c>
      <c r="H69" s="701" t="s">
        <v>283</v>
      </c>
      <c r="I69" s="495">
        <v>4081146</v>
      </c>
      <c r="J69" s="496">
        <v>2979489</v>
      </c>
      <c r="K69" s="496">
        <v>0</v>
      </c>
      <c r="L69" s="496">
        <v>0</v>
      </c>
      <c r="M69" s="496">
        <v>1007067</v>
      </c>
      <c r="N69" s="496">
        <v>59590</v>
      </c>
      <c r="O69" s="496">
        <v>35000</v>
      </c>
      <c r="P69" s="497">
        <v>7.4542000000000002</v>
      </c>
      <c r="Q69" s="412">
        <v>5.4700000000000006</v>
      </c>
      <c r="R69" s="498">
        <v>1.9841999999999995</v>
      </c>
      <c r="S69" s="530">
        <f t="shared" ref="S69:S70" si="79">W69*-1</f>
        <v>0</v>
      </c>
      <c r="T69" s="486">
        <v>0</v>
      </c>
      <c r="U69" s="486">
        <v>0</v>
      </c>
      <c r="V69" s="486">
        <f>SUM(S69:U69)</f>
        <v>0</v>
      </c>
      <c r="W69" s="486">
        <v>0</v>
      </c>
      <c r="X69" s="486">
        <v>0</v>
      </c>
      <c r="Y69" s="486">
        <f>SUM(W69:X69)</f>
        <v>0</v>
      </c>
      <c r="Z69" s="486">
        <f>V69+Y69</f>
        <v>0</v>
      </c>
      <c r="AA69" s="319">
        <f>ROUND((V69+W69)*33.8%,0)</f>
        <v>0</v>
      </c>
      <c r="AB69" s="178">
        <f>ROUND(V69*2%,0)</f>
        <v>0</v>
      </c>
      <c r="AC69" s="486">
        <v>0</v>
      </c>
      <c r="AD69" s="486">
        <v>0</v>
      </c>
      <c r="AE69" s="486">
        <f t="shared" si="1"/>
        <v>0</v>
      </c>
      <c r="AF69" s="486">
        <f t="shared" si="2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ref="AL69:AL70" si="80">AG69+AI69+AJ69</f>
        <v>0</v>
      </c>
      <c r="AM69" s="501">
        <f t="shared" ref="AM69:AM70" si="81">AH69+AK69</f>
        <v>0</v>
      </c>
      <c r="AN69" s="529">
        <f t="shared" si="3"/>
        <v>0</v>
      </c>
      <c r="AO69" s="530">
        <f>I69+AF69</f>
        <v>4081146</v>
      </c>
      <c r="AP69" s="486">
        <f>J69+V69</f>
        <v>2979489</v>
      </c>
      <c r="AQ69" s="486">
        <f>K69+Y69</f>
        <v>0</v>
      </c>
      <c r="AR69" s="486">
        <f>L69</f>
        <v>0</v>
      </c>
      <c r="AS69" s="486">
        <f>M69+AA69</f>
        <v>1007067</v>
      </c>
      <c r="AT69" s="486">
        <f>N69+AB69</f>
        <v>59590</v>
      </c>
      <c r="AU69" s="486">
        <f>O69+AE69</f>
        <v>35000</v>
      </c>
      <c r="AV69" s="501">
        <f>P69+AN69</f>
        <v>7.4542000000000002</v>
      </c>
      <c r="AW69" s="501">
        <f>Q69+AL69</f>
        <v>5.4700000000000006</v>
      </c>
      <c r="AX69" s="502">
        <f>R69+AM69</f>
        <v>1.9841999999999995</v>
      </c>
    </row>
    <row r="70" spans="1:50" s="695" customFormat="1" ht="12.75" customHeight="1" x14ac:dyDescent="0.2">
      <c r="A70" s="697">
        <v>18</v>
      </c>
      <c r="B70" s="698">
        <v>3460</v>
      </c>
      <c r="C70" s="698">
        <v>691000387</v>
      </c>
      <c r="D70" s="698">
        <v>86797034</v>
      </c>
      <c r="E70" s="699" t="s">
        <v>44</v>
      </c>
      <c r="F70" s="698">
        <v>3141</v>
      </c>
      <c r="G70" s="700" t="s">
        <v>321</v>
      </c>
      <c r="H70" s="701" t="s">
        <v>284</v>
      </c>
      <c r="I70" s="495">
        <v>451419</v>
      </c>
      <c r="J70" s="496">
        <v>331016</v>
      </c>
      <c r="K70" s="475">
        <v>0</v>
      </c>
      <c r="L70" s="475">
        <v>0</v>
      </c>
      <c r="M70" s="319">
        <v>111883</v>
      </c>
      <c r="N70" s="319">
        <v>6620</v>
      </c>
      <c r="O70" s="496">
        <v>1900</v>
      </c>
      <c r="P70" s="497">
        <v>1.1299999999999999</v>
      </c>
      <c r="Q70" s="412">
        <v>0</v>
      </c>
      <c r="R70" s="498">
        <v>1.1299999999999999</v>
      </c>
      <c r="S70" s="530">
        <f t="shared" si="79"/>
        <v>0</v>
      </c>
      <c r="T70" s="486">
        <v>0</v>
      </c>
      <c r="U70" s="486">
        <v>0</v>
      </c>
      <c r="V70" s="486">
        <f>SUM(S70:U70)</f>
        <v>0</v>
      </c>
      <c r="W70" s="486">
        <v>0</v>
      </c>
      <c r="X70" s="486">
        <v>0</v>
      </c>
      <c r="Y70" s="486">
        <f>SUM(W70:X70)</f>
        <v>0</v>
      </c>
      <c r="Z70" s="486">
        <f>V70+Y70</f>
        <v>0</v>
      </c>
      <c r="AA70" s="319">
        <f>ROUND((V70+W70)*33.8%,0)</f>
        <v>0</v>
      </c>
      <c r="AB70" s="178">
        <f>ROUND(V70*2%,0)</f>
        <v>0</v>
      </c>
      <c r="AC70" s="486">
        <v>0</v>
      </c>
      <c r="AD70" s="486">
        <v>0</v>
      </c>
      <c r="AE70" s="486">
        <f t="shared" si="1"/>
        <v>0</v>
      </c>
      <c r="AF70" s="486">
        <f t="shared" si="2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si="80"/>
        <v>0</v>
      </c>
      <c r="AM70" s="501">
        <f t="shared" si="81"/>
        <v>0</v>
      </c>
      <c r="AN70" s="529">
        <f t="shared" si="3"/>
        <v>0</v>
      </c>
      <c r="AO70" s="530">
        <f>I70+AF70</f>
        <v>451419</v>
      </c>
      <c r="AP70" s="486">
        <f>J70+V70</f>
        <v>331016</v>
      </c>
      <c r="AQ70" s="486">
        <f>K70+Y70</f>
        <v>0</v>
      </c>
      <c r="AR70" s="486">
        <f>L70</f>
        <v>0</v>
      </c>
      <c r="AS70" s="486">
        <f>M70+AA70</f>
        <v>111883</v>
      </c>
      <c r="AT70" s="486">
        <f>N70+AB70</f>
        <v>6620</v>
      </c>
      <c r="AU70" s="486">
        <f>O70+AE70</f>
        <v>1900</v>
      </c>
      <c r="AV70" s="501">
        <f>P70+AN70</f>
        <v>1.1299999999999999</v>
      </c>
      <c r="AW70" s="501">
        <f>Q70+AL70</f>
        <v>0</v>
      </c>
      <c r="AX70" s="502">
        <f>R70+AM70</f>
        <v>1.1299999999999999</v>
      </c>
    </row>
    <row r="71" spans="1:50" s="695" customFormat="1" ht="12.75" customHeight="1" x14ac:dyDescent="0.2">
      <c r="A71" s="279">
        <v>18</v>
      </c>
      <c r="B71" s="21">
        <v>3460</v>
      </c>
      <c r="C71" s="277">
        <v>691000387</v>
      </c>
      <c r="D71" s="277">
        <v>86797034</v>
      </c>
      <c r="E71" s="696" t="s">
        <v>45</v>
      </c>
      <c r="F71" s="21"/>
      <c r="G71" s="278"/>
      <c r="H71" s="749"/>
      <c r="I71" s="29">
        <v>4532565</v>
      </c>
      <c r="J71" s="266">
        <v>3310505</v>
      </c>
      <c r="K71" s="266">
        <v>0</v>
      </c>
      <c r="L71" s="266">
        <v>0</v>
      </c>
      <c r="M71" s="266">
        <v>1118950</v>
      </c>
      <c r="N71" s="266">
        <v>66210</v>
      </c>
      <c r="O71" s="266">
        <v>36900</v>
      </c>
      <c r="P71" s="750">
        <v>8.5841999999999992</v>
      </c>
      <c r="Q71" s="750">
        <v>5.4700000000000006</v>
      </c>
      <c r="R71" s="751">
        <v>3.1141999999999994</v>
      </c>
      <c r="S71" s="29">
        <f t="shared" ref="S71:AX71" si="82">SUM(S69:S70)</f>
        <v>0</v>
      </c>
      <c r="T71" s="22">
        <f t="shared" si="82"/>
        <v>0</v>
      </c>
      <c r="U71" s="22">
        <f t="shared" si="82"/>
        <v>0</v>
      </c>
      <c r="V71" s="22">
        <f t="shared" si="82"/>
        <v>0</v>
      </c>
      <c r="W71" s="22">
        <f t="shared" si="82"/>
        <v>0</v>
      </c>
      <c r="X71" s="22">
        <f t="shared" si="82"/>
        <v>0</v>
      </c>
      <c r="Y71" s="22">
        <f t="shared" si="82"/>
        <v>0</v>
      </c>
      <c r="Z71" s="22">
        <f t="shared" si="82"/>
        <v>0</v>
      </c>
      <c r="AA71" s="22">
        <f t="shared" si="82"/>
        <v>0</v>
      </c>
      <c r="AB71" s="22">
        <f t="shared" si="82"/>
        <v>0</v>
      </c>
      <c r="AC71" s="22">
        <f t="shared" si="82"/>
        <v>0</v>
      </c>
      <c r="AD71" s="22">
        <f t="shared" si="82"/>
        <v>0</v>
      </c>
      <c r="AE71" s="22">
        <f t="shared" si="82"/>
        <v>0</v>
      </c>
      <c r="AF71" s="22">
        <f t="shared" si="82"/>
        <v>0</v>
      </c>
      <c r="AG71" s="23">
        <f t="shared" si="82"/>
        <v>0</v>
      </c>
      <c r="AH71" s="23">
        <f t="shared" si="82"/>
        <v>0</v>
      </c>
      <c r="AI71" s="23">
        <f t="shared" si="82"/>
        <v>0</v>
      </c>
      <c r="AJ71" s="23">
        <f t="shared" si="82"/>
        <v>0</v>
      </c>
      <c r="AK71" s="23">
        <f t="shared" si="82"/>
        <v>0</v>
      </c>
      <c r="AL71" s="23">
        <f t="shared" si="82"/>
        <v>0</v>
      </c>
      <c r="AM71" s="23">
        <f t="shared" si="82"/>
        <v>0</v>
      </c>
      <c r="AN71" s="752">
        <f t="shared" si="82"/>
        <v>0</v>
      </c>
      <c r="AO71" s="29">
        <f t="shared" si="82"/>
        <v>4532565</v>
      </c>
      <c r="AP71" s="22">
        <f t="shared" si="82"/>
        <v>3310505</v>
      </c>
      <c r="AQ71" s="22">
        <f t="shared" si="82"/>
        <v>0</v>
      </c>
      <c r="AR71" s="67">
        <f t="shared" si="82"/>
        <v>0</v>
      </c>
      <c r="AS71" s="22">
        <f t="shared" si="82"/>
        <v>1118950</v>
      </c>
      <c r="AT71" s="22">
        <f t="shared" si="82"/>
        <v>66210</v>
      </c>
      <c r="AU71" s="22">
        <f t="shared" si="82"/>
        <v>36900</v>
      </c>
      <c r="AV71" s="23">
        <f t="shared" si="82"/>
        <v>8.5841999999999992</v>
      </c>
      <c r="AW71" s="23">
        <f t="shared" si="82"/>
        <v>5.4700000000000006</v>
      </c>
      <c r="AX71" s="55">
        <f t="shared" si="82"/>
        <v>3.1141999999999994</v>
      </c>
    </row>
    <row r="72" spans="1:50" s="695" customFormat="1" ht="12.75" customHeight="1" x14ac:dyDescent="0.2">
      <c r="A72" s="697">
        <v>19</v>
      </c>
      <c r="B72" s="698">
        <v>3413</v>
      </c>
      <c r="C72" s="698">
        <v>600077918</v>
      </c>
      <c r="D72" s="698">
        <v>72743433</v>
      </c>
      <c r="E72" s="699" t="s">
        <v>285</v>
      </c>
      <c r="F72" s="698">
        <v>3111</v>
      </c>
      <c r="G72" s="700" t="s">
        <v>317</v>
      </c>
      <c r="H72" s="701" t="s">
        <v>283</v>
      </c>
      <c r="I72" s="495">
        <v>10394128</v>
      </c>
      <c r="J72" s="496">
        <v>7591111</v>
      </c>
      <c r="K72" s="496">
        <v>0</v>
      </c>
      <c r="L72" s="496">
        <v>0</v>
      </c>
      <c r="M72" s="496">
        <v>2565795</v>
      </c>
      <c r="N72" s="496">
        <v>151822</v>
      </c>
      <c r="O72" s="496">
        <v>85400</v>
      </c>
      <c r="P72" s="497">
        <v>17.702200000000001</v>
      </c>
      <c r="Q72" s="412">
        <v>12.7097</v>
      </c>
      <c r="R72" s="498">
        <v>4.9924999999999997</v>
      </c>
      <c r="S72" s="530">
        <f t="shared" ref="S72:S75" si="83">W72*-1</f>
        <v>0</v>
      </c>
      <c r="T72" s="486">
        <v>0</v>
      </c>
      <c r="U72" s="486">
        <v>0</v>
      </c>
      <c r="V72" s="486">
        <f>SUM(S72:U72)</f>
        <v>0</v>
      </c>
      <c r="W72" s="486">
        <v>0</v>
      </c>
      <c r="X72" s="486">
        <v>0</v>
      </c>
      <c r="Y72" s="486">
        <f>SUM(W72:X72)</f>
        <v>0</v>
      </c>
      <c r="Z72" s="486">
        <f>V72+Y72</f>
        <v>0</v>
      </c>
      <c r="AA72" s="319">
        <f>ROUND((V72+W72)*33.8%,0)</f>
        <v>0</v>
      </c>
      <c r="AB72" s="178">
        <f>ROUND(V72*2%,0)</f>
        <v>0</v>
      </c>
      <c r="AC72" s="486">
        <v>0</v>
      </c>
      <c r="AD72" s="486">
        <v>0</v>
      </c>
      <c r="AE72" s="486">
        <f t="shared" si="1"/>
        <v>0</v>
      </c>
      <c r="AF72" s="486">
        <f t="shared" si="2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ref="AL72:AL75" si="84">AG72+AI72+AJ72</f>
        <v>0</v>
      </c>
      <c r="AM72" s="501">
        <f t="shared" ref="AM72:AM75" si="85">AH72+AK72</f>
        <v>0</v>
      </c>
      <c r="AN72" s="529">
        <f t="shared" si="3"/>
        <v>0</v>
      </c>
      <c r="AO72" s="530">
        <f>I72+AF72</f>
        <v>10394128</v>
      </c>
      <c r="AP72" s="486">
        <f>J72+V72</f>
        <v>7591111</v>
      </c>
      <c r="AQ72" s="486">
        <f>K72+Y72</f>
        <v>0</v>
      </c>
      <c r="AR72" s="486">
        <f>L72</f>
        <v>0</v>
      </c>
      <c r="AS72" s="486">
        <f t="shared" ref="AS72:AT75" si="86">M72+AA72</f>
        <v>2565795</v>
      </c>
      <c r="AT72" s="486">
        <f t="shared" si="86"/>
        <v>151822</v>
      </c>
      <c r="AU72" s="486">
        <f>O72+AE72</f>
        <v>85400</v>
      </c>
      <c r="AV72" s="501">
        <f>P72+AN72</f>
        <v>17.702200000000001</v>
      </c>
      <c r="AW72" s="501">
        <f t="shared" ref="AW72:AX75" si="87">Q72+AL72</f>
        <v>12.7097</v>
      </c>
      <c r="AX72" s="502">
        <f t="shared" si="87"/>
        <v>4.9924999999999997</v>
      </c>
    </row>
    <row r="73" spans="1:50" s="695" customFormat="1" ht="12.75" customHeight="1" x14ac:dyDescent="0.2">
      <c r="A73" s="697">
        <v>19</v>
      </c>
      <c r="B73" s="698">
        <v>3413</v>
      </c>
      <c r="C73" s="698">
        <v>600077918</v>
      </c>
      <c r="D73" s="698">
        <v>72743433</v>
      </c>
      <c r="E73" s="699" t="s">
        <v>285</v>
      </c>
      <c r="F73" s="698">
        <v>3111</v>
      </c>
      <c r="G73" s="700" t="s">
        <v>319</v>
      </c>
      <c r="H73" s="701" t="s">
        <v>283</v>
      </c>
      <c r="I73" s="495">
        <v>1755014</v>
      </c>
      <c r="J73" s="496">
        <v>1292352</v>
      </c>
      <c r="K73" s="475">
        <v>0</v>
      </c>
      <c r="L73" s="475">
        <v>0</v>
      </c>
      <c r="M73" s="319">
        <v>436815</v>
      </c>
      <c r="N73" s="319">
        <v>25847</v>
      </c>
      <c r="O73" s="496">
        <v>0</v>
      </c>
      <c r="P73" s="497">
        <v>4</v>
      </c>
      <c r="Q73" s="412">
        <v>4</v>
      </c>
      <c r="R73" s="498">
        <v>0</v>
      </c>
      <c r="S73" s="530">
        <f t="shared" si="83"/>
        <v>0</v>
      </c>
      <c r="T73" s="486">
        <v>0</v>
      </c>
      <c r="U73" s="486">
        <v>0</v>
      </c>
      <c r="V73" s="486">
        <f>SUM(S73:U73)</f>
        <v>0</v>
      </c>
      <c r="W73" s="486">
        <v>0</v>
      </c>
      <c r="X73" s="486">
        <v>0</v>
      </c>
      <c r="Y73" s="486">
        <f>SUM(W73:X73)</f>
        <v>0</v>
      </c>
      <c r="Z73" s="486">
        <f>V73+Y73</f>
        <v>0</v>
      </c>
      <c r="AA73" s="319">
        <f>ROUND((V73+W73)*33.8%,0)</f>
        <v>0</v>
      </c>
      <c r="AB73" s="178">
        <f>ROUND(V73*2%,0)</f>
        <v>0</v>
      </c>
      <c r="AC73" s="486">
        <v>0</v>
      </c>
      <c r="AD73" s="486">
        <v>0</v>
      </c>
      <c r="AE73" s="486">
        <f t="shared" si="1"/>
        <v>0</v>
      </c>
      <c r="AF73" s="486">
        <f t="shared" si="2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84"/>
        <v>0</v>
      </c>
      <c r="AM73" s="501">
        <f t="shared" si="85"/>
        <v>0</v>
      </c>
      <c r="AN73" s="529">
        <f t="shared" si="3"/>
        <v>0</v>
      </c>
      <c r="AO73" s="530">
        <f>I73+AF73</f>
        <v>1755014</v>
      </c>
      <c r="AP73" s="486">
        <f>J73+V73</f>
        <v>1292352</v>
      </c>
      <c r="AQ73" s="486">
        <f>K73+Y73</f>
        <v>0</v>
      </c>
      <c r="AR73" s="486">
        <f>L73</f>
        <v>0</v>
      </c>
      <c r="AS73" s="486">
        <f t="shared" si="86"/>
        <v>436815</v>
      </c>
      <c r="AT73" s="486">
        <f t="shared" si="86"/>
        <v>25847</v>
      </c>
      <c r="AU73" s="486">
        <f>O73+AE73</f>
        <v>0</v>
      </c>
      <c r="AV73" s="501">
        <f>P73+AN73</f>
        <v>4</v>
      </c>
      <c r="AW73" s="501">
        <f t="shared" si="87"/>
        <v>4</v>
      </c>
      <c r="AX73" s="502">
        <f t="shared" si="87"/>
        <v>0</v>
      </c>
    </row>
    <row r="74" spans="1:50" s="695" customFormat="1" x14ac:dyDescent="0.2">
      <c r="A74" s="697">
        <v>19</v>
      </c>
      <c r="B74" s="698">
        <v>3413</v>
      </c>
      <c r="C74" s="698">
        <v>600077918</v>
      </c>
      <c r="D74" s="698">
        <v>72743433</v>
      </c>
      <c r="E74" s="699" t="s">
        <v>285</v>
      </c>
      <c r="F74" s="698">
        <v>3111</v>
      </c>
      <c r="G74" s="700" t="s">
        <v>318</v>
      </c>
      <c r="H74" s="701" t="s">
        <v>284</v>
      </c>
      <c r="I74" s="495">
        <v>391990</v>
      </c>
      <c r="J74" s="496">
        <v>288653</v>
      </c>
      <c r="K74" s="475">
        <v>0</v>
      </c>
      <c r="L74" s="475">
        <v>0</v>
      </c>
      <c r="M74" s="319">
        <v>97564</v>
      </c>
      <c r="N74" s="319">
        <v>5773</v>
      </c>
      <c r="O74" s="496">
        <v>0</v>
      </c>
      <c r="P74" s="497">
        <v>0.92</v>
      </c>
      <c r="Q74" s="412">
        <v>0.92</v>
      </c>
      <c r="R74" s="498">
        <v>0</v>
      </c>
      <c r="S74" s="530">
        <f t="shared" si="83"/>
        <v>0</v>
      </c>
      <c r="T74" s="486">
        <v>0</v>
      </c>
      <c r="U74" s="486">
        <v>0</v>
      </c>
      <c r="V74" s="486">
        <f>SUM(S74:U74)</f>
        <v>0</v>
      </c>
      <c r="W74" s="486">
        <v>0</v>
      </c>
      <c r="X74" s="486">
        <v>0</v>
      </c>
      <c r="Y74" s="486">
        <f>SUM(W74:X74)</f>
        <v>0</v>
      </c>
      <c r="Z74" s="486">
        <f>V74+Y74</f>
        <v>0</v>
      </c>
      <c r="AA74" s="319">
        <f>ROUND((V74+W74)*33.8%,0)</f>
        <v>0</v>
      </c>
      <c r="AB74" s="178">
        <f>ROUND(V74*2%,0)</f>
        <v>0</v>
      </c>
      <c r="AC74" s="486">
        <v>0</v>
      </c>
      <c r="AD74" s="486">
        <v>0</v>
      </c>
      <c r="AE74" s="486">
        <f t="shared" si="1"/>
        <v>0</v>
      </c>
      <c r="AF74" s="486">
        <f t="shared" si="2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84"/>
        <v>0</v>
      </c>
      <c r="AM74" s="501">
        <f t="shared" si="85"/>
        <v>0</v>
      </c>
      <c r="AN74" s="529">
        <f t="shared" si="3"/>
        <v>0</v>
      </c>
      <c r="AO74" s="530">
        <f>I74+AF74</f>
        <v>391990</v>
      </c>
      <c r="AP74" s="486">
        <f>J74+V74</f>
        <v>288653</v>
      </c>
      <c r="AQ74" s="486">
        <f>K74+Y74</f>
        <v>0</v>
      </c>
      <c r="AR74" s="486">
        <f>L74</f>
        <v>0</v>
      </c>
      <c r="AS74" s="486">
        <f t="shared" si="86"/>
        <v>97564</v>
      </c>
      <c r="AT74" s="486">
        <f t="shared" si="86"/>
        <v>5773</v>
      </c>
      <c r="AU74" s="486">
        <f>O74+AE74</f>
        <v>0</v>
      </c>
      <c r="AV74" s="501">
        <f>P74+AN74</f>
        <v>0.92</v>
      </c>
      <c r="AW74" s="501">
        <f t="shared" si="87"/>
        <v>0.92</v>
      </c>
      <c r="AX74" s="502">
        <f t="shared" si="87"/>
        <v>0</v>
      </c>
    </row>
    <row r="75" spans="1:50" s="695" customFormat="1" ht="12.75" customHeight="1" x14ac:dyDescent="0.2">
      <c r="A75" s="697">
        <v>19</v>
      </c>
      <c r="B75" s="698">
        <v>3413</v>
      </c>
      <c r="C75" s="698">
        <v>600077918</v>
      </c>
      <c r="D75" s="698">
        <v>72743433</v>
      </c>
      <c r="E75" s="699" t="s">
        <v>285</v>
      </c>
      <c r="F75" s="698">
        <v>3141</v>
      </c>
      <c r="G75" s="700" t="s">
        <v>321</v>
      </c>
      <c r="H75" s="701" t="s">
        <v>284</v>
      </c>
      <c r="I75" s="495">
        <v>1185376</v>
      </c>
      <c r="J75" s="496">
        <v>868513</v>
      </c>
      <c r="K75" s="475">
        <v>0</v>
      </c>
      <c r="L75" s="475">
        <v>0</v>
      </c>
      <c r="M75" s="319">
        <v>293557</v>
      </c>
      <c r="N75" s="319">
        <v>17370</v>
      </c>
      <c r="O75" s="496">
        <v>5936</v>
      </c>
      <c r="P75" s="497">
        <v>2.95</v>
      </c>
      <c r="Q75" s="412">
        <v>0</v>
      </c>
      <c r="R75" s="498">
        <v>2.95</v>
      </c>
      <c r="S75" s="530">
        <f t="shared" si="83"/>
        <v>0</v>
      </c>
      <c r="T75" s="486">
        <v>0</v>
      </c>
      <c r="U75" s="486">
        <v>0</v>
      </c>
      <c r="V75" s="486">
        <f>SUM(S75:U75)</f>
        <v>0</v>
      </c>
      <c r="W75" s="486">
        <v>0</v>
      </c>
      <c r="X75" s="486">
        <v>0</v>
      </c>
      <c r="Y75" s="486">
        <f>SUM(W75:X75)</f>
        <v>0</v>
      </c>
      <c r="Z75" s="486">
        <f>V75+Y75</f>
        <v>0</v>
      </c>
      <c r="AA75" s="319">
        <f>ROUND((V75+W75)*33.8%,0)</f>
        <v>0</v>
      </c>
      <c r="AB75" s="178">
        <f>ROUND(V75*2%,0)</f>
        <v>0</v>
      </c>
      <c r="AC75" s="486">
        <v>0</v>
      </c>
      <c r="AD75" s="486">
        <v>0</v>
      </c>
      <c r="AE75" s="486">
        <f t="shared" si="1"/>
        <v>0</v>
      </c>
      <c r="AF75" s="486">
        <f t="shared" si="2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84"/>
        <v>0</v>
      </c>
      <c r="AM75" s="501">
        <f t="shared" si="85"/>
        <v>0</v>
      </c>
      <c r="AN75" s="529">
        <f t="shared" si="3"/>
        <v>0</v>
      </c>
      <c r="AO75" s="530">
        <f>I75+AF75</f>
        <v>1185376</v>
      </c>
      <c r="AP75" s="486">
        <f>J75+V75</f>
        <v>868513</v>
      </c>
      <c r="AQ75" s="486">
        <f>K75+Y75</f>
        <v>0</v>
      </c>
      <c r="AR75" s="486">
        <f>L75</f>
        <v>0</v>
      </c>
      <c r="AS75" s="486">
        <f t="shared" si="86"/>
        <v>293557</v>
      </c>
      <c r="AT75" s="486">
        <f t="shared" si="86"/>
        <v>17370</v>
      </c>
      <c r="AU75" s="486">
        <f>O75+AE75</f>
        <v>5936</v>
      </c>
      <c r="AV75" s="501">
        <f>P75+AN75</f>
        <v>2.95</v>
      </c>
      <c r="AW75" s="501">
        <f t="shared" si="87"/>
        <v>0</v>
      </c>
      <c r="AX75" s="502">
        <f t="shared" si="87"/>
        <v>2.95</v>
      </c>
    </row>
    <row r="76" spans="1:50" s="695" customFormat="1" ht="12.75" customHeight="1" x14ac:dyDescent="0.2">
      <c r="A76" s="279">
        <v>19</v>
      </c>
      <c r="B76" s="21">
        <v>3413</v>
      </c>
      <c r="C76" s="277">
        <v>600077918</v>
      </c>
      <c r="D76" s="277">
        <v>72743433</v>
      </c>
      <c r="E76" s="696" t="s">
        <v>46</v>
      </c>
      <c r="F76" s="21"/>
      <c r="G76" s="278"/>
      <c r="H76" s="749"/>
      <c r="I76" s="29">
        <v>13726508</v>
      </c>
      <c r="J76" s="266">
        <v>10040629</v>
      </c>
      <c r="K76" s="266">
        <v>0</v>
      </c>
      <c r="L76" s="266">
        <v>0</v>
      </c>
      <c r="M76" s="266">
        <v>3393731</v>
      </c>
      <c r="N76" s="266">
        <v>200812</v>
      </c>
      <c r="O76" s="266">
        <v>91336</v>
      </c>
      <c r="P76" s="750">
        <v>25.572200000000002</v>
      </c>
      <c r="Q76" s="750">
        <v>17.6297</v>
      </c>
      <c r="R76" s="751">
        <v>7.9424999999999999</v>
      </c>
      <c r="S76" s="29">
        <f t="shared" ref="S76:AX76" si="88">SUM(S72:S75)</f>
        <v>0</v>
      </c>
      <c r="T76" s="22">
        <f t="shared" si="88"/>
        <v>0</v>
      </c>
      <c r="U76" s="22">
        <f t="shared" si="88"/>
        <v>0</v>
      </c>
      <c r="V76" s="22">
        <f t="shared" si="88"/>
        <v>0</v>
      </c>
      <c r="W76" s="22">
        <f t="shared" si="88"/>
        <v>0</v>
      </c>
      <c r="X76" s="22">
        <f t="shared" si="88"/>
        <v>0</v>
      </c>
      <c r="Y76" s="22">
        <f t="shared" si="88"/>
        <v>0</v>
      </c>
      <c r="Z76" s="22">
        <f t="shared" si="88"/>
        <v>0</v>
      </c>
      <c r="AA76" s="22">
        <f t="shared" si="88"/>
        <v>0</v>
      </c>
      <c r="AB76" s="22">
        <f t="shared" si="88"/>
        <v>0</v>
      </c>
      <c r="AC76" s="22">
        <f t="shared" si="88"/>
        <v>0</v>
      </c>
      <c r="AD76" s="22">
        <f t="shared" si="88"/>
        <v>0</v>
      </c>
      <c r="AE76" s="22">
        <f t="shared" si="88"/>
        <v>0</v>
      </c>
      <c r="AF76" s="22">
        <f t="shared" si="88"/>
        <v>0</v>
      </c>
      <c r="AG76" s="23">
        <f t="shared" si="88"/>
        <v>0</v>
      </c>
      <c r="AH76" s="23">
        <f t="shared" si="88"/>
        <v>0</v>
      </c>
      <c r="AI76" s="23">
        <f t="shared" si="88"/>
        <v>0</v>
      </c>
      <c r="AJ76" s="23">
        <f t="shared" si="88"/>
        <v>0</v>
      </c>
      <c r="AK76" s="23">
        <f t="shared" si="88"/>
        <v>0</v>
      </c>
      <c r="AL76" s="23">
        <f t="shared" si="88"/>
        <v>0</v>
      </c>
      <c r="AM76" s="23">
        <f t="shared" si="88"/>
        <v>0</v>
      </c>
      <c r="AN76" s="752">
        <f t="shared" si="88"/>
        <v>0</v>
      </c>
      <c r="AO76" s="29">
        <f t="shared" si="88"/>
        <v>13726508</v>
      </c>
      <c r="AP76" s="22">
        <f t="shared" si="88"/>
        <v>10040629</v>
      </c>
      <c r="AQ76" s="22">
        <f t="shared" si="88"/>
        <v>0</v>
      </c>
      <c r="AR76" s="67">
        <f t="shared" si="88"/>
        <v>0</v>
      </c>
      <c r="AS76" s="22">
        <f t="shared" si="88"/>
        <v>3393731</v>
      </c>
      <c r="AT76" s="22">
        <f t="shared" si="88"/>
        <v>200812</v>
      </c>
      <c r="AU76" s="22">
        <f t="shared" si="88"/>
        <v>91336</v>
      </c>
      <c r="AV76" s="23">
        <f t="shared" si="88"/>
        <v>25.572200000000002</v>
      </c>
      <c r="AW76" s="23">
        <f t="shared" si="88"/>
        <v>17.6297</v>
      </c>
      <c r="AX76" s="55">
        <f t="shared" si="88"/>
        <v>7.9424999999999999</v>
      </c>
    </row>
    <row r="77" spans="1:50" s="695" customFormat="1" ht="12.75" customHeight="1" x14ac:dyDescent="0.2">
      <c r="A77" s="697">
        <v>20</v>
      </c>
      <c r="B77" s="698">
        <v>3409</v>
      </c>
      <c r="C77" s="698">
        <v>600078396</v>
      </c>
      <c r="D77" s="698">
        <v>43257399</v>
      </c>
      <c r="E77" s="699" t="s">
        <v>47</v>
      </c>
      <c r="F77" s="698">
        <v>3113</v>
      </c>
      <c r="G77" s="700" t="s">
        <v>320</v>
      </c>
      <c r="H77" s="701" t="s">
        <v>283</v>
      </c>
      <c r="I77" s="495">
        <v>23546690</v>
      </c>
      <c r="J77" s="496">
        <v>16517487</v>
      </c>
      <c r="K77" s="496">
        <v>148928</v>
      </c>
      <c r="L77" s="496">
        <v>145928</v>
      </c>
      <c r="M77" s="496">
        <v>5583926</v>
      </c>
      <c r="N77" s="496">
        <v>330349</v>
      </c>
      <c r="O77" s="496">
        <v>966000</v>
      </c>
      <c r="P77" s="497">
        <v>34.457800000000006</v>
      </c>
      <c r="Q77" s="412">
        <v>26.180199999999999</v>
      </c>
      <c r="R77" s="498">
        <v>8.2775999999999996</v>
      </c>
      <c r="S77" s="530">
        <f t="shared" ref="S77:S81" si="89">W77*-1</f>
        <v>0</v>
      </c>
      <c r="T77" s="486">
        <v>0</v>
      </c>
      <c r="U77" s="486">
        <v>0</v>
      </c>
      <c r="V77" s="486">
        <f>SUM(S77:U77)</f>
        <v>0</v>
      </c>
      <c r="W77" s="486">
        <v>0</v>
      </c>
      <c r="X77" s="486">
        <v>0</v>
      </c>
      <c r="Y77" s="486">
        <f>SUM(W77:X77)</f>
        <v>0</v>
      </c>
      <c r="Z77" s="486">
        <f>V77+Y77</f>
        <v>0</v>
      </c>
      <c r="AA77" s="319">
        <f>ROUND((V77+W77)*33.8%,0)</f>
        <v>0</v>
      </c>
      <c r="AB77" s="178">
        <f>ROUND(V77*2%,0)</f>
        <v>0</v>
      </c>
      <c r="AC77" s="486">
        <v>0</v>
      </c>
      <c r="AD77" s="486">
        <v>0</v>
      </c>
      <c r="AE77" s="486">
        <f t="shared" si="1"/>
        <v>0</v>
      </c>
      <c r="AF77" s="486">
        <f t="shared" si="2"/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ref="AL77:AL81" si="90">AG77+AI77+AJ77</f>
        <v>0</v>
      </c>
      <c r="AM77" s="501">
        <f t="shared" ref="AM77:AM81" si="91">AH77+AK77</f>
        <v>0</v>
      </c>
      <c r="AN77" s="529">
        <f t="shared" si="3"/>
        <v>0</v>
      </c>
      <c r="AO77" s="530">
        <f>I77+AF77</f>
        <v>23546690</v>
      </c>
      <c r="AP77" s="486">
        <f>J77+V77</f>
        <v>16517487</v>
      </c>
      <c r="AQ77" s="486">
        <f>K77+Y77</f>
        <v>148928</v>
      </c>
      <c r="AR77" s="486">
        <f>L77</f>
        <v>145928</v>
      </c>
      <c r="AS77" s="486">
        <f t="shared" ref="AS77:AT81" si="92">M77+AA77</f>
        <v>5583926</v>
      </c>
      <c r="AT77" s="486">
        <f t="shared" si="92"/>
        <v>330349</v>
      </c>
      <c r="AU77" s="486">
        <f>O77+AE77</f>
        <v>966000</v>
      </c>
      <c r="AV77" s="501">
        <f>P77+AN77</f>
        <v>34.457800000000006</v>
      </c>
      <c r="AW77" s="501">
        <f t="shared" ref="AW77:AX81" si="93">Q77+AL77</f>
        <v>26.180199999999999</v>
      </c>
      <c r="AX77" s="502">
        <f t="shared" si="93"/>
        <v>8.2775999999999996</v>
      </c>
    </row>
    <row r="78" spans="1:50" s="695" customFormat="1" x14ac:dyDescent="0.2">
      <c r="A78" s="697">
        <v>20</v>
      </c>
      <c r="B78" s="698">
        <v>3409</v>
      </c>
      <c r="C78" s="698">
        <v>600078396</v>
      </c>
      <c r="D78" s="698">
        <v>43257399</v>
      </c>
      <c r="E78" s="699" t="s">
        <v>47</v>
      </c>
      <c r="F78" s="698">
        <v>3113</v>
      </c>
      <c r="G78" s="700" t="s">
        <v>318</v>
      </c>
      <c r="H78" s="701" t="s">
        <v>284</v>
      </c>
      <c r="I78" s="495">
        <v>3903130</v>
      </c>
      <c r="J78" s="496">
        <v>2872150</v>
      </c>
      <c r="K78" s="475">
        <v>0</v>
      </c>
      <c r="L78" s="475">
        <v>0</v>
      </c>
      <c r="M78" s="319">
        <v>970787</v>
      </c>
      <c r="N78" s="319">
        <v>57443</v>
      </c>
      <c r="O78" s="496">
        <v>2750</v>
      </c>
      <c r="P78" s="497">
        <v>8.4</v>
      </c>
      <c r="Q78" s="412">
        <v>8.4</v>
      </c>
      <c r="R78" s="498">
        <v>0</v>
      </c>
      <c r="S78" s="530">
        <f t="shared" si="89"/>
        <v>0</v>
      </c>
      <c r="T78" s="486">
        <v>0</v>
      </c>
      <c r="U78" s="486">
        <v>0</v>
      </c>
      <c r="V78" s="486">
        <f>SUM(S78:U78)</f>
        <v>0</v>
      </c>
      <c r="W78" s="486">
        <v>0</v>
      </c>
      <c r="X78" s="486">
        <v>0</v>
      </c>
      <c r="Y78" s="486">
        <f>SUM(W78:X78)</f>
        <v>0</v>
      </c>
      <c r="Z78" s="486">
        <f>V78+Y78</f>
        <v>0</v>
      </c>
      <c r="AA78" s="319">
        <f>ROUND((V78+W78)*33.8%,0)</f>
        <v>0</v>
      </c>
      <c r="AB78" s="178">
        <f>ROUND(V78*2%,0)</f>
        <v>0</v>
      </c>
      <c r="AC78" s="486">
        <v>0</v>
      </c>
      <c r="AD78" s="486">
        <v>0</v>
      </c>
      <c r="AE78" s="486">
        <f t="shared" si="1"/>
        <v>0</v>
      </c>
      <c r="AF78" s="486">
        <f t="shared" si="2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90"/>
        <v>0</v>
      </c>
      <c r="AM78" s="501">
        <f t="shared" si="91"/>
        <v>0</v>
      </c>
      <c r="AN78" s="529">
        <f t="shared" si="3"/>
        <v>0</v>
      </c>
      <c r="AO78" s="530">
        <f>I78+AF78</f>
        <v>3903130</v>
      </c>
      <c r="AP78" s="486">
        <f>J78+V78</f>
        <v>2872150</v>
      </c>
      <c r="AQ78" s="486">
        <f>K78+Y78</f>
        <v>0</v>
      </c>
      <c r="AR78" s="486">
        <f>L78</f>
        <v>0</v>
      </c>
      <c r="AS78" s="486">
        <f t="shared" si="92"/>
        <v>970787</v>
      </c>
      <c r="AT78" s="486">
        <f t="shared" si="92"/>
        <v>57443</v>
      </c>
      <c r="AU78" s="486">
        <f>O78+AE78</f>
        <v>2750</v>
      </c>
      <c r="AV78" s="501">
        <f>P78+AN78</f>
        <v>8.4</v>
      </c>
      <c r="AW78" s="501">
        <f t="shared" si="93"/>
        <v>8.4</v>
      </c>
      <c r="AX78" s="502">
        <f t="shared" si="93"/>
        <v>0</v>
      </c>
    </row>
    <row r="79" spans="1:50" s="695" customFormat="1" ht="12.75" customHeight="1" x14ac:dyDescent="0.2">
      <c r="A79" s="697">
        <v>20</v>
      </c>
      <c r="B79" s="698">
        <v>3409</v>
      </c>
      <c r="C79" s="698">
        <v>600078396</v>
      </c>
      <c r="D79" s="698">
        <v>43257399</v>
      </c>
      <c r="E79" s="699" t="s">
        <v>47</v>
      </c>
      <c r="F79" s="698">
        <v>3141</v>
      </c>
      <c r="G79" s="700" t="s">
        <v>321</v>
      </c>
      <c r="H79" s="701" t="s">
        <v>284</v>
      </c>
      <c r="I79" s="495">
        <v>2363600</v>
      </c>
      <c r="J79" s="496">
        <v>1727143</v>
      </c>
      <c r="K79" s="475">
        <v>0</v>
      </c>
      <c r="L79" s="475">
        <v>0</v>
      </c>
      <c r="M79" s="319">
        <v>583774</v>
      </c>
      <c r="N79" s="319">
        <v>34543</v>
      </c>
      <c r="O79" s="496">
        <v>18140</v>
      </c>
      <c r="P79" s="497">
        <v>5.88</v>
      </c>
      <c r="Q79" s="412">
        <v>0</v>
      </c>
      <c r="R79" s="498">
        <v>5.88</v>
      </c>
      <c r="S79" s="530">
        <f t="shared" si="89"/>
        <v>0</v>
      </c>
      <c r="T79" s="486">
        <v>0</v>
      </c>
      <c r="U79" s="486">
        <v>0</v>
      </c>
      <c r="V79" s="486">
        <f>SUM(S79:U79)</f>
        <v>0</v>
      </c>
      <c r="W79" s="486">
        <v>0</v>
      </c>
      <c r="X79" s="486">
        <v>0</v>
      </c>
      <c r="Y79" s="486">
        <f>SUM(W79:X79)</f>
        <v>0</v>
      </c>
      <c r="Z79" s="486">
        <f>V79+Y79</f>
        <v>0</v>
      </c>
      <c r="AA79" s="319">
        <f>ROUND((V79+W79)*33.8%,0)</f>
        <v>0</v>
      </c>
      <c r="AB79" s="178">
        <f>ROUND(V79*2%,0)</f>
        <v>0</v>
      </c>
      <c r="AC79" s="486">
        <v>0</v>
      </c>
      <c r="AD79" s="486">
        <v>0</v>
      </c>
      <c r="AE79" s="486">
        <f t="shared" ref="AE79:AE142" si="94">SUM(AC79:AD79)</f>
        <v>0</v>
      </c>
      <c r="AF79" s="486">
        <f t="shared" ref="AF79:AF142" si="95">Z79+AA79+AB79+AE79</f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si="90"/>
        <v>0</v>
      </c>
      <c r="AM79" s="501">
        <f t="shared" si="91"/>
        <v>0</v>
      </c>
      <c r="AN79" s="529">
        <f t="shared" ref="AN79:AN142" si="96">SUM(AL79:AM79)</f>
        <v>0</v>
      </c>
      <c r="AO79" s="530">
        <f>I79+AF79</f>
        <v>2363600</v>
      </c>
      <c r="AP79" s="486">
        <f>J79+V79</f>
        <v>1727143</v>
      </c>
      <c r="AQ79" s="486">
        <f>K79+Y79</f>
        <v>0</v>
      </c>
      <c r="AR79" s="486">
        <f>L79</f>
        <v>0</v>
      </c>
      <c r="AS79" s="486">
        <f t="shared" si="92"/>
        <v>583774</v>
      </c>
      <c r="AT79" s="486">
        <f t="shared" si="92"/>
        <v>34543</v>
      </c>
      <c r="AU79" s="486">
        <f>O79+AE79</f>
        <v>18140</v>
      </c>
      <c r="AV79" s="501">
        <f>P79+AN79</f>
        <v>5.88</v>
      </c>
      <c r="AW79" s="501">
        <f t="shared" si="93"/>
        <v>0</v>
      </c>
      <c r="AX79" s="502">
        <f t="shared" si="93"/>
        <v>5.88</v>
      </c>
    </row>
    <row r="80" spans="1:50" s="695" customFormat="1" ht="12.75" customHeight="1" x14ac:dyDescent="0.2">
      <c r="A80" s="697">
        <v>20</v>
      </c>
      <c r="B80" s="698">
        <v>3409</v>
      </c>
      <c r="C80" s="698">
        <v>600078396</v>
      </c>
      <c r="D80" s="698">
        <v>43257399</v>
      </c>
      <c r="E80" s="699" t="s">
        <v>47</v>
      </c>
      <c r="F80" s="698">
        <v>3143</v>
      </c>
      <c r="G80" s="700" t="s">
        <v>634</v>
      </c>
      <c r="H80" s="701" t="s">
        <v>283</v>
      </c>
      <c r="I80" s="495">
        <v>2606973</v>
      </c>
      <c r="J80" s="496">
        <v>1917745</v>
      </c>
      <c r="K80" s="475">
        <v>2000</v>
      </c>
      <c r="L80" s="475">
        <v>0</v>
      </c>
      <c r="M80" s="319">
        <v>648873</v>
      </c>
      <c r="N80" s="319">
        <v>38355</v>
      </c>
      <c r="O80" s="496">
        <v>0</v>
      </c>
      <c r="P80" s="497">
        <v>4.3156999999999996</v>
      </c>
      <c r="Q80" s="412">
        <v>4.3156999999999996</v>
      </c>
      <c r="R80" s="498">
        <v>0</v>
      </c>
      <c r="S80" s="530">
        <f t="shared" si="89"/>
        <v>0</v>
      </c>
      <c r="T80" s="486">
        <v>0</v>
      </c>
      <c r="U80" s="486">
        <v>0</v>
      </c>
      <c r="V80" s="486">
        <f>SUM(S80:U80)</f>
        <v>0</v>
      </c>
      <c r="W80" s="486">
        <v>0</v>
      </c>
      <c r="X80" s="486">
        <v>0</v>
      </c>
      <c r="Y80" s="486">
        <f>SUM(W80:X80)</f>
        <v>0</v>
      </c>
      <c r="Z80" s="486">
        <f>V80+Y80</f>
        <v>0</v>
      </c>
      <c r="AA80" s="319">
        <f>ROUND((V80+W80)*33.8%,0)</f>
        <v>0</v>
      </c>
      <c r="AB80" s="178">
        <f>ROUND(V80*2%,0)</f>
        <v>0</v>
      </c>
      <c r="AC80" s="486">
        <v>0</v>
      </c>
      <c r="AD80" s="486">
        <v>0</v>
      </c>
      <c r="AE80" s="486">
        <f t="shared" si="94"/>
        <v>0</v>
      </c>
      <c r="AF80" s="486">
        <f t="shared" si="95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90"/>
        <v>0</v>
      </c>
      <c r="AM80" s="501">
        <f t="shared" si="91"/>
        <v>0</v>
      </c>
      <c r="AN80" s="529">
        <f t="shared" si="96"/>
        <v>0</v>
      </c>
      <c r="AO80" s="530">
        <f>I80+AF80</f>
        <v>2606973</v>
      </c>
      <c r="AP80" s="486">
        <f>J80+V80</f>
        <v>1917745</v>
      </c>
      <c r="AQ80" s="486">
        <f>K80+Y80</f>
        <v>2000</v>
      </c>
      <c r="AR80" s="486">
        <f>L80</f>
        <v>0</v>
      </c>
      <c r="AS80" s="486">
        <f t="shared" si="92"/>
        <v>648873</v>
      </c>
      <c r="AT80" s="486">
        <f t="shared" si="92"/>
        <v>38355</v>
      </c>
      <c r="AU80" s="486">
        <f>O80+AE80</f>
        <v>0</v>
      </c>
      <c r="AV80" s="501">
        <f>P80+AN80</f>
        <v>4.3156999999999996</v>
      </c>
      <c r="AW80" s="501">
        <f t="shared" si="93"/>
        <v>4.3156999999999996</v>
      </c>
      <c r="AX80" s="502">
        <f t="shared" si="93"/>
        <v>0</v>
      </c>
    </row>
    <row r="81" spans="1:50" s="695" customFormat="1" ht="12.75" customHeight="1" x14ac:dyDescent="0.2">
      <c r="A81" s="697">
        <v>20</v>
      </c>
      <c r="B81" s="698">
        <v>3409</v>
      </c>
      <c r="C81" s="698">
        <v>600078396</v>
      </c>
      <c r="D81" s="698">
        <v>43257399</v>
      </c>
      <c r="E81" s="699" t="s">
        <v>47</v>
      </c>
      <c r="F81" s="698">
        <v>3143</v>
      </c>
      <c r="G81" s="700" t="s">
        <v>635</v>
      </c>
      <c r="H81" s="701" t="s">
        <v>284</v>
      </c>
      <c r="I81" s="495">
        <v>82861</v>
      </c>
      <c r="J81" s="496">
        <v>58410</v>
      </c>
      <c r="K81" s="475">
        <v>0</v>
      </c>
      <c r="L81" s="475">
        <v>0</v>
      </c>
      <c r="M81" s="319">
        <v>19743</v>
      </c>
      <c r="N81" s="319">
        <v>1168</v>
      </c>
      <c r="O81" s="496">
        <v>3540</v>
      </c>
      <c r="P81" s="497">
        <v>0.25</v>
      </c>
      <c r="Q81" s="412">
        <v>0</v>
      </c>
      <c r="R81" s="498">
        <v>0.25</v>
      </c>
      <c r="S81" s="530">
        <f t="shared" si="89"/>
        <v>0</v>
      </c>
      <c r="T81" s="486">
        <v>0</v>
      </c>
      <c r="U81" s="486">
        <v>0</v>
      </c>
      <c r="V81" s="486">
        <f>SUM(S81:U81)</f>
        <v>0</v>
      </c>
      <c r="W81" s="486">
        <v>0</v>
      </c>
      <c r="X81" s="486">
        <v>0</v>
      </c>
      <c r="Y81" s="486">
        <f>SUM(W81:X81)</f>
        <v>0</v>
      </c>
      <c r="Z81" s="486">
        <f>V81+Y81</f>
        <v>0</v>
      </c>
      <c r="AA81" s="319">
        <f>ROUND((V81+W81)*33.8%,0)</f>
        <v>0</v>
      </c>
      <c r="AB81" s="178">
        <f>ROUND(V81*2%,0)</f>
        <v>0</v>
      </c>
      <c r="AC81" s="486">
        <v>0</v>
      </c>
      <c r="AD81" s="486">
        <v>0</v>
      </c>
      <c r="AE81" s="486">
        <f t="shared" si="94"/>
        <v>0</v>
      </c>
      <c r="AF81" s="486">
        <f t="shared" si="95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90"/>
        <v>0</v>
      </c>
      <c r="AM81" s="501">
        <f t="shared" si="91"/>
        <v>0</v>
      </c>
      <c r="AN81" s="529">
        <f t="shared" si="96"/>
        <v>0</v>
      </c>
      <c r="AO81" s="530">
        <f>I81+AF81</f>
        <v>82861</v>
      </c>
      <c r="AP81" s="486">
        <f>J81+V81</f>
        <v>58410</v>
      </c>
      <c r="AQ81" s="486">
        <f>K81+Y81</f>
        <v>0</v>
      </c>
      <c r="AR81" s="486">
        <f>L81</f>
        <v>0</v>
      </c>
      <c r="AS81" s="486">
        <f t="shared" si="92"/>
        <v>19743</v>
      </c>
      <c r="AT81" s="486">
        <f t="shared" si="92"/>
        <v>1168</v>
      </c>
      <c r="AU81" s="486">
        <f>O81+AE81</f>
        <v>3540</v>
      </c>
      <c r="AV81" s="501">
        <f>P81+AN81</f>
        <v>0.25</v>
      </c>
      <c r="AW81" s="501">
        <f t="shared" si="93"/>
        <v>0</v>
      </c>
      <c r="AX81" s="502">
        <f t="shared" si="93"/>
        <v>0.25</v>
      </c>
    </row>
    <row r="82" spans="1:50" s="695" customFormat="1" ht="12.75" customHeight="1" x14ac:dyDescent="0.2">
      <c r="A82" s="279">
        <v>20</v>
      </c>
      <c r="B82" s="21">
        <v>3409</v>
      </c>
      <c r="C82" s="277">
        <v>600078396</v>
      </c>
      <c r="D82" s="277">
        <v>43257399</v>
      </c>
      <c r="E82" s="696" t="s">
        <v>48</v>
      </c>
      <c r="F82" s="21"/>
      <c r="G82" s="278"/>
      <c r="H82" s="749"/>
      <c r="I82" s="29">
        <v>32503254</v>
      </c>
      <c r="J82" s="266">
        <v>23092935</v>
      </c>
      <c r="K82" s="266">
        <v>150928</v>
      </c>
      <c r="L82" s="266">
        <v>145928</v>
      </c>
      <c r="M82" s="266">
        <v>7807103</v>
      </c>
      <c r="N82" s="266">
        <v>461858</v>
      </c>
      <c r="O82" s="266">
        <v>990430</v>
      </c>
      <c r="P82" s="750">
        <v>53.303500000000007</v>
      </c>
      <c r="Q82" s="750">
        <v>38.895899999999997</v>
      </c>
      <c r="R82" s="751">
        <v>14.407599999999999</v>
      </c>
      <c r="S82" s="29">
        <f t="shared" ref="S82:AX82" si="97">SUM(S77:S81)</f>
        <v>0</v>
      </c>
      <c r="T82" s="22">
        <f t="shared" si="97"/>
        <v>0</v>
      </c>
      <c r="U82" s="22">
        <f t="shared" si="97"/>
        <v>0</v>
      </c>
      <c r="V82" s="22">
        <f t="shared" si="97"/>
        <v>0</v>
      </c>
      <c r="W82" s="22">
        <f t="shared" si="97"/>
        <v>0</v>
      </c>
      <c r="X82" s="22">
        <f t="shared" si="97"/>
        <v>0</v>
      </c>
      <c r="Y82" s="22">
        <f t="shared" si="97"/>
        <v>0</v>
      </c>
      <c r="Z82" s="22">
        <f t="shared" si="97"/>
        <v>0</v>
      </c>
      <c r="AA82" s="22">
        <f t="shared" si="97"/>
        <v>0</v>
      </c>
      <c r="AB82" s="22">
        <f t="shared" si="97"/>
        <v>0</v>
      </c>
      <c r="AC82" s="22">
        <f t="shared" si="97"/>
        <v>0</v>
      </c>
      <c r="AD82" s="22">
        <f t="shared" si="97"/>
        <v>0</v>
      </c>
      <c r="AE82" s="22">
        <f t="shared" si="97"/>
        <v>0</v>
      </c>
      <c r="AF82" s="22">
        <f t="shared" si="97"/>
        <v>0</v>
      </c>
      <c r="AG82" s="23">
        <f t="shared" si="97"/>
        <v>0</v>
      </c>
      <c r="AH82" s="23">
        <f t="shared" si="97"/>
        <v>0</v>
      </c>
      <c r="AI82" s="23">
        <f t="shared" si="97"/>
        <v>0</v>
      </c>
      <c r="AJ82" s="23">
        <f t="shared" si="97"/>
        <v>0</v>
      </c>
      <c r="AK82" s="23">
        <f t="shared" si="97"/>
        <v>0</v>
      </c>
      <c r="AL82" s="23">
        <f t="shared" si="97"/>
        <v>0</v>
      </c>
      <c r="AM82" s="23">
        <f t="shared" si="97"/>
        <v>0</v>
      </c>
      <c r="AN82" s="752">
        <f t="shared" si="97"/>
        <v>0</v>
      </c>
      <c r="AO82" s="29">
        <f t="shared" si="97"/>
        <v>32503254</v>
      </c>
      <c r="AP82" s="22">
        <f t="shared" si="97"/>
        <v>23092935</v>
      </c>
      <c r="AQ82" s="22">
        <f t="shared" si="97"/>
        <v>150928</v>
      </c>
      <c r="AR82" s="67">
        <f t="shared" si="97"/>
        <v>145928</v>
      </c>
      <c r="AS82" s="22">
        <f t="shared" si="97"/>
        <v>7807103</v>
      </c>
      <c r="AT82" s="22">
        <f t="shared" si="97"/>
        <v>461858</v>
      </c>
      <c r="AU82" s="22">
        <f t="shared" si="97"/>
        <v>990430</v>
      </c>
      <c r="AV82" s="23">
        <f t="shared" si="97"/>
        <v>53.303500000000007</v>
      </c>
      <c r="AW82" s="23">
        <f t="shared" si="97"/>
        <v>38.895899999999997</v>
      </c>
      <c r="AX82" s="55">
        <f t="shared" si="97"/>
        <v>14.407599999999999</v>
      </c>
    </row>
    <row r="83" spans="1:50" s="695" customFormat="1" ht="12.75" customHeight="1" x14ac:dyDescent="0.2">
      <c r="A83" s="697">
        <v>21</v>
      </c>
      <c r="B83" s="698">
        <v>3415</v>
      </c>
      <c r="C83" s="698">
        <v>600078523</v>
      </c>
      <c r="D83" s="698">
        <v>72743271</v>
      </c>
      <c r="E83" s="699" t="s">
        <v>49</v>
      </c>
      <c r="F83" s="698">
        <v>3113</v>
      </c>
      <c r="G83" s="700" t="s">
        <v>320</v>
      </c>
      <c r="H83" s="701" t="s">
        <v>283</v>
      </c>
      <c r="I83" s="495">
        <v>30032846</v>
      </c>
      <c r="J83" s="496">
        <v>21214798</v>
      </c>
      <c r="K83" s="496">
        <v>94852</v>
      </c>
      <c r="L83" s="496">
        <v>73852</v>
      </c>
      <c r="M83" s="496">
        <v>7177700</v>
      </c>
      <c r="N83" s="496">
        <v>424296</v>
      </c>
      <c r="O83" s="496">
        <v>1121200</v>
      </c>
      <c r="P83" s="497">
        <v>37.200299999999999</v>
      </c>
      <c r="Q83" s="412">
        <v>28.360900000000001</v>
      </c>
      <c r="R83" s="498">
        <v>8.8393999999999995</v>
      </c>
      <c r="S83" s="530">
        <f t="shared" ref="S83:S87" si="98">W83*-1</f>
        <v>0</v>
      </c>
      <c r="T83" s="486">
        <v>0</v>
      </c>
      <c r="U83" s="486">
        <v>0</v>
      </c>
      <c r="V83" s="486">
        <f>SUM(S83:U83)</f>
        <v>0</v>
      </c>
      <c r="W83" s="486">
        <v>0</v>
      </c>
      <c r="X83" s="486">
        <v>0</v>
      </c>
      <c r="Y83" s="486">
        <f>SUM(W83:X83)</f>
        <v>0</v>
      </c>
      <c r="Z83" s="486">
        <f>V83+Y83</f>
        <v>0</v>
      </c>
      <c r="AA83" s="319">
        <f>ROUND((V83+W83)*33.8%,0)</f>
        <v>0</v>
      </c>
      <c r="AB83" s="178">
        <f>ROUND(V83*2%,0)</f>
        <v>0</v>
      </c>
      <c r="AC83" s="486">
        <v>0</v>
      </c>
      <c r="AD83" s="486">
        <v>0</v>
      </c>
      <c r="AE83" s="486">
        <f t="shared" si="94"/>
        <v>0</v>
      </c>
      <c r="AF83" s="486">
        <f t="shared" si="95"/>
        <v>0</v>
      </c>
      <c r="AG83" s="501">
        <v>0</v>
      </c>
      <c r="AH83" s="501">
        <v>0</v>
      </c>
      <c r="AI83" s="501">
        <v>0</v>
      </c>
      <c r="AJ83" s="501">
        <v>0</v>
      </c>
      <c r="AK83" s="501">
        <v>0</v>
      </c>
      <c r="AL83" s="501">
        <f t="shared" ref="AL83:AL87" si="99">AG83+AI83+AJ83</f>
        <v>0</v>
      </c>
      <c r="AM83" s="501">
        <f t="shared" ref="AM83:AM87" si="100">AH83+AK83</f>
        <v>0</v>
      </c>
      <c r="AN83" s="529">
        <f t="shared" si="96"/>
        <v>0</v>
      </c>
      <c r="AO83" s="530">
        <f>I83+AF83</f>
        <v>30032846</v>
      </c>
      <c r="AP83" s="486">
        <f>J83+V83</f>
        <v>21214798</v>
      </c>
      <c r="AQ83" s="486">
        <f>K83+Y83</f>
        <v>94852</v>
      </c>
      <c r="AR83" s="486">
        <f>L83</f>
        <v>73852</v>
      </c>
      <c r="AS83" s="486">
        <f t="shared" ref="AS83:AT87" si="101">M83+AA83</f>
        <v>7177700</v>
      </c>
      <c r="AT83" s="486">
        <f t="shared" si="101"/>
        <v>424296</v>
      </c>
      <c r="AU83" s="486">
        <f>O83+AE83</f>
        <v>1121200</v>
      </c>
      <c r="AV83" s="501">
        <f>P83+AN83</f>
        <v>37.200299999999999</v>
      </c>
      <c r="AW83" s="501">
        <f t="shared" ref="AW83:AX87" si="102">Q83+AL83</f>
        <v>28.360900000000001</v>
      </c>
      <c r="AX83" s="502">
        <f t="shared" si="102"/>
        <v>8.8393999999999995</v>
      </c>
    </row>
    <row r="84" spans="1:50" s="695" customFormat="1" x14ac:dyDescent="0.2">
      <c r="A84" s="697">
        <v>21</v>
      </c>
      <c r="B84" s="698">
        <v>3415</v>
      </c>
      <c r="C84" s="698">
        <v>600078523</v>
      </c>
      <c r="D84" s="698">
        <v>72743271</v>
      </c>
      <c r="E84" s="699" t="s">
        <v>49</v>
      </c>
      <c r="F84" s="698">
        <v>3113</v>
      </c>
      <c r="G84" s="700" t="s">
        <v>318</v>
      </c>
      <c r="H84" s="701" t="s">
        <v>284</v>
      </c>
      <c r="I84" s="495">
        <v>1293934</v>
      </c>
      <c r="J84" s="496">
        <v>952824</v>
      </c>
      <c r="K84" s="475">
        <v>0</v>
      </c>
      <c r="L84" s="475">
        <v>0</v>
      </c>
      <c r="M84" s="319">
        <v>322054</v>
      </c>
      <c r="N84" s="319">
        <v>19056</v>
      </c>
      <c r="O84" s="496">
        <v>0</v>
      </c>
      <c r="P84" s="497">
        <v>2.88</v>
      </c>
      <c r="Q84" s="412">
        <v>2.88</v>
      </c>
      <c r="R84" s="498">
        <v>0</v>
      </c>
      <c r="S84" s="530">
        <f t="shared" si="98"/>
        <v>0</v>
      </c>
      <c r="T84" s="486">
        <v>0</v>
      </c>
      <c r="U84" s="486">
        <v>0</v>
      </c>
      <c r="V84" s="486">
        <f>SUM(S84:U84)</f>
        <v>0</v>
      </c>
      <c r="W84" s="486"/>
      <c r="X84" s="486">
        <v>0</v>
      </c>
      <c r="Y84" s="486">
        <f>SUM(W84:X84)</f>
        <v>0</v>
      </c>
      <c r="Z84" s="486">
        <f>V84+Y84</f>
        <v>0</v>
      </c>
      <c r="AA84" s="319">
        <f>ROUND((V84+W84)*33.8%,0)</f>
        <v>0</v>
      </c>
      <c r="AB84" s="178">
        <f>ROUND(V84*2%,0)</f>
        <v>0</v>
      </c>
      <c r="AC84" s="486">
        <v>0</v>
      </c>
      <c r="AD84" s="486">
        <v>0</v>
      </c>
      <c r="AE84" s="486">
        <f t="shared" si="94"/>
        <v>0</v>
      </c>
      <c r="AF84" s="486">
        <f t="shared" si="95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si="99"/>
        <v>0</v>
      </c>
      <c r="AM84" s="501">
        <f t="shared" si="100"/>
        <v>0</v>
      </c>
      <c r="AN84" s="529">
        <f t="shared" si="96"/>
        <v>0</v>
      </c>
      <c r="AO84" s="530">
        <f>I84+AF84</f>
        <v>1293934</v>
      </c>
      <c r="AP84" s="486">
        <f>J84+V84</f>
        <v>952824</v>
      </c>
      <c r="AQ84" s="486">
        <f>K84+Y84</f>
        <v>0</v>
      </c>
      <c r="AR84" s="486">
        <f>L84</f>
        <v>0</v>
      </c>
      <c r="AS84" s="486">
        <f t="shared" si="101"/>
        <v>322054</v>
      </c>
      <c r="AT84" s="486">
        <f t="shared" si="101"/>
        <v>19056</v>
      </c>
      <c r="AU84" s="486">
        <f>O84+AE84</f>
        <v>0</v>
      </c>
      <c r="AV84" s="501">
        <f>P84+AN84</f>
        <v>2.88</v>
      </c>
      <c r="AW84" s="501">
        <f t="shared" si="102"/>
        <v>2.88</v>
      </c>
      <c r="AX84" s="502">
        <f t="shared" si="102"/>
        <v>0</v>
      </c>
    </row>
    <row r="85" spans="1:50" s="695" customFormat="1" ht="12.75" customHeight="1" x14ac:dyDescent="0.2">
      <c r="A85" s="697">
        <v>21</v>
      </c>
      <c r="B85" s="698">
        <v>3415</v>
      </c>
      <c r="C85" s="698">
        <v>600078523</v>
      </c>
      <c r="D85" s="698">
        <v>72743271</v>
      </c>
      <c r="E85" s="699" t="s">
        <v>49</v>
      </c>
      <c r="F85" s="698">
        <v>3141</v>
      </c>
      <c r="G85" s="700" t="s">
        <v>321</v>
      </c>
      <c r="H85" s="701" t="s">
        <v>284</v>
      </c>
      <c r="I85" s="495">
        <v>2714594</v>
      </c>
      <c r="J85" s="496">
        <v>1943464</v>
      </c>
      <c r="K85" s="475">
        <v>36000</v>
      </c>
      <c r="L85" s="475">
        <v>0</v>
      </c>
      <c r="M85" s="319">
        <v>669059</v>
      </c>
      <c r="N85" s="319">
        <v>38869</v>
      </c>
      <c r="O85" s="496">
        <v>27202</v>
      </c>
      <c r="P85" s="497">
        <v>6.59</v>
      </c>
      <c r="Q85" s="412">
        <v>0</v>
      </c>
      <c r="R85" s="498">
        <v>6.59</v>
      </c>
      <c r="S85" s="530">
        <f t="shared" si="98"/>
        <v>0</v>
      </c>
      <c r="T85" s="486">
        <v>0</v>
      </c>
      <c r="U85" s="486">
        <v>0</v>
      </c>
      <c r="V85" s="486">
        <f>SUM(S85:U85)</f>
        <v>0</v>
      </c>
      <c r="W85" s="486">
        <v>0</v>
      </c>
      <c r="X85" s="486">
        <v>0</v>
      </c>
      <c r="Y85" s="486">
        <f>SUM(W85:X85)</f>
        <v>0</v>
      </c>
      <c r="Z85" s="486">
        <f>V85+Y85</f>
        <v>0</v>
      </c>
      <c r="AA85" s="319">
        <f>ROUND((V85+W85)*33.8%,0)</f>
        <v>0</v>
      </c>
      <c r="AB85" s="178">
        <f>ROUND(V85*2%,0)</f>
        <v>0</v>
      </c>
      <c r="AC85" s="486">
        <v>0</v>
      </c>
      <c r="AD85" s="486">
        <v>0</v>
      </c>
      <c r="AE85" s="486">
        <f t="shared" si="94"/>
        <v>0</v>
      </c>
      <c r="AF85" s="486">
        <f t="shared" si="95"/>
        <v>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99"/>
        <v>0</v>
      </c>
      <c r="AM85" s="501">
        <f t="shared" si="100"/>
        <v>0</v>
      </c>
      <c r="AN85" s="529">
        <f t="shared" si="96"/>
        <v>0</v>
      </c>
      <c r="AO85" s="530">
        <f>I85+AF85</f>
        <v>2714594</v>
      </c>
      <c r="AP85" s="486">
        <f>J85+V85</f>
        <v>1943464</v>
      </c>
      <c r="AQ85" s="486">
        <f>K85+Y85</f>
        <v>36000</v>
      </c>
      <c r="AR85" s="486">
        <f>L85</f>
        <v>0</v>
      </c>
      <c r="AS85" s="486">
        <f t="shared" si="101"/>
        <v>669059</v>
      </c>
      <c r="AT85" s="486">
        <f t="shared" si="101"/>
        <v>38869</v>
      </c>
      <c r="AU85" s="486">
        <f>O85+AE85</f>
        <v>27202</v>
      </c>
      <c r="AV85" s="501">
        <f>P85+AN85</f>
        <v>6.59</v>
      </c>
      <c r="AW85" s="501">
        <f t="shared" si="102"/>
        <v>0</v>
      </c>
      <c r="AX85" s="502">
        <f t="shared" si="102"/>
        <v>6.59</v>
      </c>
    </row>
    <row r="86" spans="1:50" s="695" customFormat="1" ht="12.75" customHeight="1" x14ac:dyDescent="0.2">
      <c r="A86" s="697">
        <v>21</v>
      </c>
      <c r="B86" s="698">
        <v>3415</v>
      </c>
      <c r="C86" s="698">
        <v>600078523</v>
      </c>
      <c r="D86" s="698">
        <v>72743271</v>
      </c>
      <c r="E86" s="699" t="s">
        <v>49</v>
      </c>
      <c r="F86" s="698">
        <v>3143</v>
      </c>
      <c r="G86" s="700" t="s">
        <v>634</v>
      </c>
      <c r="H86" s="701" t="s">
        <v>283</v>
      </c>
      <c r="I86" s="495">
        <v>2825429</v>
      </c>
      <c r="J86" s="496">
        <v>2076640</v>
      </c>
      <c r="K86" s="475">
        <v>4000</v>
      </c>
      <c r="L86" s="475">
        <v>0</v>
      </c>
      <c r="M86" s="319">
        <v>703256</v>
      </c>
      <c r="N86" s="319">
        <v>41533</v>
      </c>
      <c r="O86" s="496">
        <v>0</v>
      </c>
      <c r="P86" s="497">
        <v>4.4286000000000003</v>
      </c>
      <c r="Q86" s="412">
        <v>4.4286000000000003</v>
      </c>
      <c r="R86" s="498">
        <v>0</v>
      </c>
      <c r="S86" s="530">
        <f t="shared" si="98"/>
        <v>0</v>
      </c>
      <c r="T86" s="486">
        <v>0</v>
      </c>
      <c r="U86" s="486">
        <v>0</v>
      </c>
      <c r="V86" s="486">
        <f>SUM(S86:U86)</f>
        <v>0</v>
      </c>
      <c r="W86" s="486">
        <v>0</v>
      </c>
      <c r="X86" s="486">
        <v>0</v>
      </c>
      <c r="Y86" s="486">
        <f>SUM(W86:X86)</f>
        <v>0</v>
      </c>
      <c r="Z86" s="486">
        <f>V86+Y86</f>
        <v>0</v>
      </c>
      <c r="AA86" s="319">
        <f>ROUND((V86+W86)*33.8%,0)</f>
        <v>0</v>
      </c>
      <c r="AB86" s="178">
        <f>ROUND(V86*2%,0)</f>
        <v>0</v>
      </c>
      <c r="AC86" s="486">
        <v>0</v>
      </c>
      <c r="AD86" s="486">
        <v>0</v>
      </c>
      <c r="AE86" s="486">
        <f t="shared" si="94"/>
        <v>0</v>
      </c>
      <c r="AF86" s="486">
        <f t="shared" si="95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99"/>
        <v>0</v>
      </c>
      <c r="AM86" s="501">
        <f t="shared" si="100"/>
        <v>0</v>
      </c>
      <c r="AN86" s="529">
        <f t="shared" si="96"/>
        <v>0</v>
      </c>
      <c r="AO86" s="530">
        <f>I86+AF86</f>
        <v>2825429</v>
      </c>
      <c r="AP86" s="486">
        <f>J86+V86</f>
        <v>2076640</v>
      </c>
      <c r="AQ86" s="486">
        <f>K86+Y86</f>
        <v>4000</v>
      </c>
      <c r="AR86" s="486">
        <f>L86</f>
        <v>0</v>
      </c>
      <c r="AS86" s="486">
        <f t="shared" si="101"/>
        <v>703256</v>
      </c>
      <c r="AT86" s="486">
        <f t="shared" si="101"/>
        <v>41533</v>
      </c>
      <c r="AU86" s="486">
        <f>O86+AE86</f>
        <v>0</v>
      </c>
      <c r="AV86" s="501">
        <f>P86+AN86</f>
        <v>4.4286000000000003</v>
      </c>
      <c r="AW86" s="501">
        <f t="shared" si="102"/>
        <v>4.4286000000000003</v>
      </c>
      <c r="AX86" s="502">
        <f t="shared" si="102"/>
        <v>0</v>
      </c>
    </row>
    <row r="87" spans="1:50" s="695" customFormat="1" ht="12.75" customHeight="1" x14ac:dyDescent="0.2">
      <c r="A87" s="697">
        <v>21</v>
      </c>
      <c r="B87" s="698">
        <v>3415</v>
      </c>
      <c r="C87" s="698">
        <v>600078523</v>
      </c>
      <c r="D87" s="698">
        <v>72743271</v>
      </c>
      <c r="E87" s="699" t="s">
        <v>49</v>
      </c>
      <c r="F87" s="698">
        <v>3143</v>
      </c>
      <c r="G87" s="700" t="s">
        <v>635</v>
      </c>
      <c r="H87" s="701" t="s">
        <v>284</v>
      </c>
      <c r="I87" s="495">
        <v>91990</v>
      </c>
      <c r="J87" s="496">
        <v>64845</v>
      </c>
      <c r="K87" s="475">
        <v>0</v>
      </c>
      <c r="L87" s="475">
        <v>0</v>
      </c>
      <c r="M87" s="319">
        <v>21918</v>
      </c>
      <c r="N87" s="319">
        <v>1297</v>
      </c>
      <c r="O87" s="496">
        <v>3930</v>
      </c>
      <c r="P87" s="497">
        <v>0.27</v>
      </c>
      <c r="Q87" s="412">
        <v>0</v>
      </c>
      <c r="R87" s="498">
        <v>0.27</v>
      </c>
      <c r="S87" s="530">
        <f t="shared" si="98"/>
        <v>0</v>
      </c>
      <c r="T87" s="486">
        <v>0</v>
      </c>
      <c r="U87" s="486">
        <v>0</v>
      </c>
      <c r="V87" s="486">
        <f>SUM(S87:U87)</f>
        <v>0</v>
      </c>
      <c r="W87" s="486">
        <v>0</v>
      </c>
      <c r="X87" s="486">
        <v>0</v>
      </c>
      <c r="Y87" s="486">
        <f>SUM(W87:X87)</f>
        <v>0</v>
      </c>
      <c r="Z87" s="486">
        <f>V87+Y87</f>
        <v>0</v>
      </c>
      <c r="AA87" s="319">
        <f>ROUND((V87+W87)*33.8%,0)</f>
        <v>0</v>
      </c>
      <c r="AB87" s="178">
        <f>ROUND(V87*2%,0)</f>
        <v>0</v>
      </c>
      <c r="AC87" s="486">
        <v>0</v>
      </c>
      <c r="AD87" s="486">
        <v>0</v>
      </c>
      <c r="AE87" s="486">
        <f t="shared" si="94"/>
        <v>0</v>
      </c>
      <c r="AF87" s="486">
        <f t="shared" si="95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99"/>
        <v>0</v>
      </c>
      <c r="AM87" s="501">
        <f t="shared" si="100"/>
        <v>0</v>
      </c>
      <c r="AN87" s="529">
        <f t="shared" si="96"/>
        <v>0</v>
      </c>
      <c r="AO87" s="530">
        <f>I87+AF87</f>
        <v>91990</v>
      </c>
      <c r="AP87" s="486">
        <f>J87+V87</f>
        <v>64845</v>
      </c>
      <c r="AQ87" s="486">
        <f>K87+Y87</f>
        <v>0</v>
      </c>
      <c r="AR87" s="486">
        <f>L87</f>
        <v>0</v>
      </c>
      <c r="AS87" s="486">
        <f t="shared" si="101"/>
        <v>21918</v>
      </c>
      <c r="AT87" s="486">
        <f t="shared" si="101"/>
        <v>1297</v>
      </c>
      <c r="AU87" s="486">
        <f>O87+AE87</f>
        <v>3930</v>
      </c>
      <c r="AV87" s="501">
        <f>P87+AN87</f>
        <v>0.27</v>
      </c>
      <c r="AW87" s="501">
        <f t="shared" si="102"/>
        <v>0</v>
      </c>
      <c r="AX87" s="502">
        <f t="shared" si="102"/>
        <v>0.27</v>
      </c>
    </row>
    <row r="88" spans="1:50" s="695" customFormat="1" ht="12.75" customHeight="1" x14ac:dyDescent="0.2">
      <c r="A88" s="279">
        <v>21</v>
      </c>
      <c r="B88" s="21">
        <v>3415</v>
      </c>
      <c r="C88" s="277">
        <v>600078523</v>
      </c>
      <c r="D88" s="277">
        <v>72743271</v>
      </c>
      <c r="E88" s="696" t="s">
        <v>50</v>
      </c>
      <c r="F88" s="21"/>
      <c r="G88" s="278"/>
      <c r="H88" s="749"/>
      <c r="I88" s="29">
        <v>36958793</v>
      </c>
      <c r="J88" s="266">
        <v>26252571</v>
      </c>
      <c r="K88" s="266">
        <v>134852</v>
      </c>
      <c r="L88" s="266">
        <v>73852</v>
      </c>
      <c r="M88" s="266">
        <v>8893987</v>
      </c>
      <c r="N88" s="266">
        <v>525051</v>
      </c>
      <c r="O88" s="266">
        <v>1152332</v>
      </c>
      <c r="P88" s="750">
        <v>51.368900000000004</v>
      </c>
      <c r="Q88" s="750">
        <v>35.669499999999999</v>
      </c>
      <c r="R88" s="751">
        <v>15.699399999999999</v>
      </c>
      <c r="S88" s="29">
        <f t="shared" ref="S88:AX88" si="103">SUM(S83:S87)</f>
        <v>0</v>
      </c>
      <c r="T88" s="22">
        <f t="shared" si="103"/>
        <v>0</v>
      </c>
      <c r="U88" s="22">
        <f t="shared" si="103"/>
        <v>0</v>
      </c>
      <c r="V88" s="22">
        <f t="shared" si="103"/>
        <v>0</v>
      </c>
      <c r="W88" s="22">
        <f t="shared" si="103"/>
        <v>0</v>
      </c>
      <c r="X88" s="22">
        <f t="shared" si="103"/>
        <v>0</v>
      </c>
      <c r="Y88" s="22">
        <f t="shared" si="103"/>
        <v>0</v>
      </c>
      <c r="Z88" s="22">
        <f t="shared" si="103"/>
        <v>0</v>
      </c>
      <c r="AA88" s="22">
        <f t="shared" si="103"/>
        <v>0</v>
      </c>
      <c r="AB88" s="22">
        <f t="shared" si="103"/>
        <v>0</v>
      </c>
      <c r="AC88" s="22">
        <f t="shared" si="103"/>
        <v>0</v>
      </c>
      <c r="AD88" s="22">
        <f t="shared" si="103"/>
        <v>0</v>
      </c>
      <c r="AE88" s="22">
        <f t="shared" si="103"/>
        <v>0</v>
      </c>
      <c r="AF88" s="22">
        <f t="shared" si="103"/>
        <v>0</v>
      </c>
      <c r="AG88" s="23">
        <f t="shared" si="103"/>
        <v>0</v>
      </c>
      <c r="AH88" s="23">
        <f t="shared" si="103"/>
        <v>0</v>
      </c>
      <c r="AI88" s="23">
        <f t="shared" si="103"/>
        <v>0</v>
      </c>
      <c r="AJ88" s="23">
        <f t="shared" si="103"/>
        <v>0</v>
      </c>
      <c r="AK88" s="23">
        <f t="shared" si="103"/>
        <v>0</v>
      </c>
      <c r="AL88" s="23">
        <f t="shared" si="103"/>
        <v>0</v>
      </c>
      <c r="AM88" s="23">
        <f t="shared" si="103"/>
        <v>0</v>
      </c>
      <c r="AN88" s="752">
        <f t="shared" si="103"/>
        <v>0</v>
      </c>
      <c r="AO88" s="29">
        <f t="shared" si="103"/>
        <v>36958793</v>
      </c>
      <c r="AP88" s="22">
        <f t="shared" si="103"/>
        <v>26252571</v>
      </c>
      <c r="AQ88" s="22">
        <f t="shared" si="103"/>
        <v>134852</v>
      </c>
      <c r="AR88" s="67">
        <f t="shared" si="103"/>
        <v>73852</v>
      </c>
      <c r="AS88" s="22">
        <f t="shared" si="103"/>
        <v>8893987</v>
      </c>
      <c r="AT88" s="22">
        <f t="shared" si="103"/>
        <v>525051</v>
      </c>
      <c r="AU88" s="22">
        <f t="shared" si="103"/>
        <v>1152332</v>
      </c>
      <c r="AV88" s="23">
        <f t="shared" si="103"/>
        <v>51.368900000000004</v>
      </c>
      <c r="AW88" s="23">
        <f t="shared" si="103"/>
        <v>35.669499999999999</v>
      </c>
      <c r="AX88" s="55">
        <f t="shared" si="103"/>
        <v>15.699399999999999</v>
      </c>
    </row>
    <row r="89" spans="1:50" s="695" customFormat="1" ht="12.75" customHeight="1" x14ac:dyDescent="0.2">
      <c r="A89" s="697">
        <v>22</v>
      </c>
      <c r="B89" s="698">
        <v>3412</v>
      </c>
      <c r="C89" s="698">
        <v>600078540</v>
      </c>
      <c r="D89" s="698">
        <v>72742879</v>
      </c>
      <c r="E89" s="699" t="s">
        <v>51</v>
      </c>
      <c r="F89" s="698">
        <v>3113</v>
      </c>
      <c r="G89" s="700" t="s">
        <v>320</v>
      </c>
      <c r="H89" s="701" t="s">
        <v>283</v>
      </c>
      <c r="I89" s="495">
        <v>39055046</v>
      </c>
      <c r="J89" s="496">
        <v>27464352</v>
      </c>
      <c r="K89" s="496">
        <v>199456</v>
      </c>
      <c r="L89" s="496">
        <v>99456</v>
      </c>
      <c r="M89" s="496">
        <v>9316751</v>
      </c>
      <c r="N89" s="496">
        <v>549287</v>
      </c>
      <c r="O89" s="496">
        <v>1525200</v>
      </c>
      <c r="P89" s="497">
        <v>50.484000000000002</v>
      </c>
      <c r="Q89" s="412">
        <v>39.045200000000001</v>
      </c>
      <c r="R89" s="498">
        <v>11.438799999999999</v>
      </c>
      <c r="S89" s="530">
        <f t="shared" ref="S89:S93" si="104">W89*-1</f>
        <v>0</v>
      </c>
      <c r="T89" s="486">
        <v>0</v>
      </c>
      <c r="U89" s="486">
        <v>0</v>
      </c>
      <c r="V89" s="486">
        <f>SUM(S89:U89)</f>
        <v>0</v>
      </c>
      <c r="W89" s="486">
        <v>0</v>
      </c>
      <c r="X89" s="486">
        <v>0</v>
      </c>
      <c r="Y89" s="486">
        <f>SUM(W89:X89)</f>
        <v>0</v>
      </c>
      <c r="Z89" s="486">
        <f>V89+Y89</f>
        <v>0</v>
      </c>
      <c r="AA89" s="319">
        <f>ROUND((V89+W89)*33.8%,0)</f>
        <v>0</v>
      </c>
      <c r="AB89" s="178">
        <f>ROUND(V89*2%,0)</f>
        <v>0</v>
      </c>
      <c r="AC89" s="486">
        <v>0</v>
      </c>
      <c r="AD89" s="486">
        <v>0</v>
      </c>
      <c r="AE89" s="486">
        <f t="shared" si="94"/>
        <v>0</v>
      </c>
      <c r="AF89" s="486">
        <f t="shared" si="95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ref="AL89:AL93" si="105">AG89+AI89+AJ89</f>
        <v>0</v>
      </c>
      <c r="AM89" s="501">
        <f t="shared" ref="AM89:AM93" si="106">AH89+AK89</f>
        <v>0</v>
      </c>
      <c r="AN89" s="529">
        <f t="shared" si="96"/>
        <v>0</v>
      </c>
      <c r="AO89" s="530">
        <f>I89+AF89</f>
        <v>39055046</v>
      </c>
      <c r="AP89" s="486">
        <f>J89+V89</f>
        <v>27464352</v>
      </c>
      <c r="AQ89" s="486">
        <f>K89+Y89</f>
        <v>199456</v>
      </c>
      <c r="AR89" s="486">
        <f>L89</f>
        <v>99456</v>
      </c>
      <c r="AS89" s="486">
        <f t="shared" ref="AS89:AT93" si="107">M89+AA89</f>
        <v>9316751</v>
      </c>
      <c r="AT89" s="486">
        <f t="shared" si="107"/>
        <v>549287</v>
      </c>
      <c r="AU89" s="486">
        <f>O89+AE89</f>
        <v>1525200</v>
      </c>
      <c r="AV89" s="501">
        <f>P89+AN89</f>
        <v>50.484000000000002</v>
      </c>
      <c r="AW89" s="501">
        <f t="shared" ref="AW89:AX93" si="108">Q89+AL89</f>
        <v>39.045200000000001</v>
      </c>
      <c r="AX89" s="502">
        <f t="shared" si="108"/>
        <v>11.438799999999999</v>
      </c>
    </row>
    <row r="90" spans="1:50" s="695" customFormat="1" x14ac:dyDescent="0.2">
      <c r="A90" s="697">
        <v>22</v>
      </c>
      <c r="B90" s="698">
        <v>3412</v>
      </c>
      <c r="C90" s="698">
        <v>600078540</v>
      </c>
      <c r="D90" s="698">
        <v>72742879</v>
      </c>
      <c r="E90" s="699" t="s">
        <v>51</v>
      </c>
      <c r="F90" s="698">
        <v>3113</v>
      </c>
      <c r="G90" s="700" t="s">
        <v>318</v>
      </c>
      <c r="H90" s="701" t="s">
        <v>284</v>
      </c>
      <c r="I90" s="495">
        <v>2626997</v>
      </c>
      <c r="J90" s="496">
        <v>1932619</v>
      </c>
      <c r="K90" s="475">
        <v>0</v>
      </c>
      <c r="L90" s="475">
        <v>0</v>
      </c>
      <c r="M90" s="319">
        <v>653225</v>
      </c>
      <c r="N90" s="319">
        <v>38653</v>
      </c>
      <c r="O90" s="496">
        <v>2500</v>
      </c>
      <c r="P90" s="497">
        <v>5.6899999999999995</v>
      </c>
      <c r="Q90" s="412">
        <v>5.6899999999999995</v>
      </c>
      <c r="R90" s="498">
        <v>0</v>
      </c>
      <c r="S90" s="530">
        <f t="shared" si="104"/>
        <v>0</v>
      </c>
      <c r="T90" s="486">
        <v>0</v>
      </c>
      <c r="U90" s="486">
        <v>0</v>
      </c>
      <c r="V90" s="486">
        <f>SUM(S90:U90)</f>
        <v>0</v>
      </c>
      <c r="W90" s="486">
        <v>0</v>
      </c>
      <c r="X90" s="486">
        <v>0</v>
      </c>
      <c r="Y90" s="486">
        <f>SUM(W90:X90)</f>
        <v>0</v>
      </c>
      <c r="Z90" s="486">
        <f>V90+Y90</f>
        <v>0</v>
      </c>
      <c r="AA90" s="319">
        <f>ROUND((V90+W90)*33.8%,0)</f>
        <v>0</v>
      </c>
      <c r="AB90" s="178">
        <f>ROUND(V90*2%,0)</f>
        <v>0</v>
      </c>
      <c r="AC90" s="486">
        <v>0</v>
      </c>
      <c r="AD90" s="486">
        <v>0</v>
      </c>
      <c r="AE90" s="486">
        <f t="shared" si="94"/>
        <v>0</v>
      </c>
      <c r="AF90" s="486">
        <f t="shared" si="95"/>
        <v>0</v>
      </c>
      <c r="AG90" s="501">
        <v>0</v>
      </c>
      <c r="AH90" s="501">
        <v>0</v>
      </c>
      <c r="AI90" s="501">
        <v>0</v>
      </c>
      <c r="AJ90" s="501">
        <v>0</v>
      </c>
      <c r="AK90" s="501">
        <v>0</v>
      </c>
      <c r="AL90" s="501">
        <f t="shared" si="105"/>
        <v>0</v>
      </c>
      <c r="AM90" s="501">
        <f t="shared" si="106"/>
        <v>0</v>
      </c>
      <c r="AN90" s="529">
        <f t="shared" si="96"/>
        <v>0</v>
      </c>
      <c r="AO90" s="530">
        <f>I90+AF90</f>
        <v>2626997</v>
      </c>
      <c r="AP90" s="486">
        <f>J90+V90</f>
        <v>1932619</v>
      </c>
      <c r="AQ90" s="486">
        <f>K90+Y90</f>
        <v>0</v>
      </c>
      <c r="AR90" s="486">
        <f>L90</f>
        <v>0</v>
      </c>
      <c r="AS90" s="486">
        <f t="shared" si="107"/>
        <v>653225</v>
      </c>
      <c r="AT90" s="486">
        <f t="shared" si="107"/>
        <v>38653</v>
      </c>
      <c r="AU90" s="486">
        <f>O90+AE90</f>
        <v>2500</v>
      </c>
      <c r="AV90" s="501">
        <f>P90+AN90</f>
        <v>5.6899999999999995</v>
      </c>
      <c r="AW90" s="501">
        <f t="shared" si="108"/>
        <v>5.6899999999999995</v>
      </c>
      <c r="AX90" s="502">
        <f t="shared" si="108"/>
        <v>0</v>
      </c>
    </row>
    <row r="91" spans="1:50" s="695" customFormat="1" ht="12.75" customHeight="1" x14ac:dyDescent="0.2">
      <c r="A91" s="697">
        <v>22</v>
      </c>
      <c r="B91" s="698">
        <v>3412</v>
      </c>
      <c r="C91" s="698">
        <v>600078540</v>
      </c>
      <c r="D91" s="698">
        <v>72742879</v>
      </c>
      <c r="E91" s="699" t="s">
        <v>51</v>
      </c>
      <c r="F91" s="698">
        <v>3141</v>
      </c>
      <c r="G91" s="700" t="s">
        <v>321</v>
      </c>
      <c r="H91" s="701" t="s">
        <v>284</v>
      </c>
      <c r="I91" s="495">
        <v>3553304</v>
      </c>
      <c r="J91" s="496">
        <v>2569275</v>
      </c>
      <c r="K91" s="475">
        <v>20000</v>
      </c>
      <c r="L91" s="475">
        <v>0</v>
      </c>
      <c r="M91" s="319">
        <v>875175</v>
      </c>
      <c r="N91" s="319">
        <v>51386</v>
      </c>
      <c r="O91" s="496">
        <v>37468</v>
      </c>
      <c r="P91" s="497">
        <v>8.81</v>
      </c>
      <c r="Q91" s="412">
        <v>0</v>
      </c>
      <c r="R91" s="498">
        <v>8.81</v>
      </c>
      <c r="S91" s="530">
        <f t="shared" si="104"/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319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 t="shared" si="94"/>
        <v>0</v>
      </c>
      <c r="AF91" s="486">
        <f t="shared" si="95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si="105"/>
        <v>0</v>
      </c>
      <c r="AM91" s="501">
        <f t="shared" si="106"/>
        <v>0</v>
      </c>
      <c r="AN91" s="529">
        <f t="shared" si="96"/>
        <v>0</v>
      </c>
      <c r="AO91" s="530">
        <f>I91+AF91</f>
        <v>3553304</v>
      </c>
      <c r="AP91" s="486">
        <f>J91+V91</f>
        <v>2569275</v>
      </c>
      <c r="AQ91" s="486">
        <f>K91+Y91</f>
        <v>20000</v>
      </c>
      <c r="AR91" s="486">
        <f>L91</f>
        <v>0</v>
      </c>
      <c r="AS91" s="486">
        <f t="shared" si="107"/>
        <v>875175</v>
      </c>
      <c r="AT91" s="486">
        <f t="shared" si="107"/>
        <v>51386</v>
      </c>
      <c r="AU91" s="486">
        <f>O91+AE91</f>
        <v>37468</v>
      </c>
      <c r="AV91" s="501">
        <f>P91+AN91</f>
        <v>8.81</v>
      </c>
      <c r="AW91" s="501">
        <f t="shared" si="108"/>
        <v>0</v>
      </c>
      <c r="AX91" s="502">
        <f t="shared" si="108"/>
        <v>8.81</v>
      </c>
    </row>
    <row r="92" spans="1:50" s="695" customFormat="1" ht="12.75" customHeight="1" x14ac:dyDescent="0.2">
      <c r="A92" s="697">
        <v>22</v>
      </c>
      <c r="B92" s="698">
        <v>3412</v>
      </c>
      <c r="C92" s="698">
        <v>600078540</v>
      </c>
      <c r="D92" s="698">
        <v>72742879</v>
      </c>
      <c r="E92" s="699" t="s">
        <v>51</v>
      </c>
      <c r="F92" s="698">
        <v>3143</v>
      </c>
      <c r="G92" s="700" t="s">
        <v>634</v>
      </c>
      <c r="H92" s="701" t="s">
        <v>283</v>
      </c>
      <c r="I92" s="495">
        <v>3951920</v>
      </c>
      <c r="J92" s="496">
        <v>2910103</v>
      </c>
      <c r="K92" s="475">
        <v>0</v>
      </c>
      <c r="L92" s="475">
        <v>0</v>
      </c>
      <c r="M92" s="319">
        <v>983615</v>
      </c>
      <c r="N92" s="319">
        <v>58202</v>
      </c>
      <c r="O92" s="496">
        <v>0</v>
      </c>
      <c r="P92" s="497">
        <v>6.1205999999999996</v>
      </c>
      <c r="Q92" s="412">
        <v>6.1205999999999996</v>
      </c>
      <c r="R92" s="498">
        <v>0</v>
      </c>
      <c r="S92" s="530">
        <f t="shared" si="104"/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319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 t="shared" si="94"/>
        <v>0</v>
      </c>
      <c r="AF92" s="486">
        <f t="shared" si="95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05"/>
        <v>0</v>
      </c>
      <c r="AM92" s="501">
        <f t="shared" si="106"/>
        <v>0</v>
      </c>
      <c r="AN92" s="529">
        <f t="shared" si="96"/>
        <v>0</v>
      </c>
      <c r="AO92" s="530">
        <f>I92+AF92</f>
        <v>3951920</v>
      </c>
      <c r="AP92" s="486">
        <f>J92+V92</f>
        <v>2910103</v>
      </c>
      <c r="AQ92" s="486">
        <f>K92+Y92</f>
        <v>0</v>
      </c>
      <c r="AR92" s="486">
        <f>L92</f>
        <v>0</v>
      </c>
      <c r="AS92" s="486">
        <f t="shared" si="107"/>
        <v>983615</v>
      </c>
      <c r="AT92" s="486">
        <f t="shared" si="107"/>
        <v>58202</v>
      </c>
      <c r="AU92" s="486">
        <f>O92+AE92</f>
        <v>0</v>
      </c>
      <c r="AV92" s="501">
        <f>P92+AN92</f>
        <v>6.1205999999999996</v>
      </c>
      <c r="AW92" s="501">
        <f t="shared" si="108"/>
        <v>6.1205999999999996</v>
      </c>
      <c r="AX92" s="502">
        <f t="shared" si="108"/>
        <v>0</v>
      </c>
    </row>
    <row r="93" spans="1:50" s="695" customFormat="1" ht="12.75" customHeight="1" x14ac:dyDescent="0.2">
      <c r="A93" s="697">
        <v>22</v>
      </c>
      <c r="B93" s="698">
        <v>3412</v>
      </c>
      <c r="C93" s="698">
        <v>600078540</v>
      </c>
      <c r="D93" s="698">
        <v>72742879</v>
      </c>
      <c r="E93" s="699" t="s">
        <v>51</v>
      </c>
      <c r="F93" s="698">
        <v>3143</v>
      </c>
      <c r="G93" s="700" t="s">
        <v>635</v>
      </c>
      <c r="H93" s="701" t="s">
        <v>284</v>
      </c>
      <c r="I93" s="495">
        <v>141144</v>
      </c>
      <c r="J93" s="496">
        <v>99495</v>
      </c>
      <c r="K93" s="475">
        <v>0</v>
      </c>
      <c r="L93" s="475">
        <v>0</v>
      </c>
      <c r="M93" s="319">
        <v>33629</v>
      </c>
      <c r="N93" s="319">
        <v>1990</v>
      </c>
      <c r="O93" s="496">
        <v>6030</v>
      </c>
      <c r="P93" s="497">
        <v>0.42</v>
      </c>
      <c r="Q93" s="412">
        <v>0</v>
      </c>
      <c r="R93" s="498">
        <v>0.42</v>
      </c>
      <c r="S93" s="530">
        <f t="shared" si="104"/>
        <v>0</v>
      </c>
      <c r="T93" s="486">
        <v>0</v>
      </c>
      <c r="U93" s="486">
        <v>0</v>
      </c>
      <c r="V93" s="486">
        <f>SUM(S93:U93)</f>
        <v>0</v>
      </c>
      <c r="W93" s="486">
        <v>0</v>
      </c>
      <c r="X93" s="486">
        <v>0</v>
      </c>
      <c r="Y93" s="486">
        <f>SUM(W93:X93)</f>
        <v>0</v>
      </c>
      <c r="Z93" s="486">
        <f>V93+Y93</f>
        <v>0</v>
      </c>
      <c r="AA93" s="319">
        <f>ROUND((V93+W93)*33.8%,0)</f>
        <v>0</v>
      </c>
      <c r="AB93" s="178">
        <f>ROUND(V93*2%,0)</f>
        <v>0</v>
      </c>
      <c r="AC93" s="486">
        <v>0</v>
      </c>
      <c r="AD93" s="486">
        <v>0</v>
      </c>
      <c r="AE93" s="486">
        <f t="shared" si="94"/>
        <v>0</v>
      </c>
      <c r="AF93" s="486">
        <f t="shared" si="95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05"/>
        <v>0</v>
      </c>
      <c r="AM93" s="501">
        <f t="shared" si="106"/>
        <v>0</v>
      </c>
      <c r="AN93" s="529">
        <f t="shared" si="96"/>
        <v>0</v>
      </c>
      <c r="AO93" s="530">
        <f>I93+AF93</f>
        <v>141144</v>
      </c>
      <c r="AP93" s="486">
        <f>J93+V93</f>
        <v>99495</v>
      </c>
      <c r="AQ93" s="486">
        <f>K93+Y93</f>
        <v>0</v>
      </c>
      <c r="AR93" s="486">
        <f>L93</f>
        <v>0</v>
      </c>
      <c r="AS93" s="486">
        <f t="shared" si="107"/>
        <v>33629</v>
      </c>
      <c r="AT93" s="486">
        <f t="shared" si="107"/>
        <v>1990</v>
      </c>
      <c r="AU93" s="486">
        <f>O93+AE93</f>
        <v>6030</v>
      </c>
      <c r="AV93" s="501">
        <f>P93+AN93</f>
        <v>0.42</v>
      </c>
      <c r="AW93" s="501">
        <f t="shared" si="108"/>
        <v>0</v>
      </c>
      <c r="AX93" s="502">
        <f t="shared" si="108"/>
        <v>0.42</v>
      </c>
    </row>
    <row r="94" spans="1:50" s="695" customFormat="1" ht="12.75" customHeight="1" x14ac:dyDescent="0.2">
      <c r="A94" s="279">
        <v>22</v>
      </c>
      <c r="B94" s="21">
        <v>3412</v>
      </c>
      <c r="C94" s="277">
        <v>600078540</v>
      </c>
      <c r="D94" s="277">
        <v>72742879</v>
      </c>
      <c r="E94" s="696" t="s">
        <v>52</v>
      </c>
      <c r="F94" s="21"/>
      <c r="G94" s="278"/>
      <c r="H94" s="749"/>
      <c r="I94" s="29">
        <v>49328411</v>
      </c>
      <c r="J94" s="266">
        <v>34975844</v>
      </c>
      <c r="K94" s="266">
        <v>219456</v>
      </c>
      <c r="L94" s="266">
        <v>99456</v>
      </c>
      <c r="M94" s="266">
        <v>11862395</v>
      </c>
      <c r="N94" s="266">
        <v>699518</v>
      </c>
      <c r="O94" s="266">
        <v>1571198</v>
      </c>
      <c r="P94" s="750">
        <v>71.524599999999992</v>
      </c>
      <c r="Q94" s="750">
        <v>50.855800000000002</v>
      </c>
      <c r="R94" s="751">
        <v>20.668800000000001</v>
      </c>
      <c r="S94" s="29">
        <f t="shared" ref="S94:AX94" si="109">SUM(S89:S93)</f>
        <v>0</v>
      </c>
      <c r="T94" s="22">
        <f t="shared" si="109"/>
        <v>0</v>
      </c>
      <c r="U94" s="22">
        <f t="shared" si="109"/>
        <v>0</v>
      </c>
      <c r="V94" s="22">
        <f t="shared" si="109"/>
        <v>0</v>
      </c>
      <c r="W94" s="22">
        <f t="shared" si="109"/>
        <v>0</v>
      </c>
      <c r="X94" s="22">
        <f t="shared" si="109"/>
        <v>0</v>
      </c>
      <c r="Y94" s="22">
        <f t="shared" si="109"/>
        <v>0</v>
      </c>
      <c r="Z94" s="22">
        <f t="shared" si="109"/>
        <v>0</v>
      </c>
      <c r="AA94" s="22">
        <f t="shared" si="109"/>
        <v>0</v>
      </c>
      <c r="AB94" s="22">
        <f t="shared" si="109"/>
        <v>0</v>
      </c>
      <c r="AC94" s="22">
        <f t="shared" si="109"/>
        <v>0</v>
      </c>
      <c r="AD94" s="22">
        <f t="shared" si="109"/>
        <v>0</v>
      </c>
      <c r="AE94" s="22">
        <f t="shared" si="109"/>
        <v>0</v>
      </c>
      <c r="AF94" s="22">
        <f t="shared" si="109"/>
        <v>0</v>
      </c>
      <c r="AG94" s="23">
        <f t="shared" si="109"/>
        <v>0</v>
      </c>
      <c r="AH94" s="23">
        <f t="shared" si="109"/>
        <v>0</v>
      </c>
      <c r="AI94" s="23">
        <f t="shared" si="109"/>
        <v>0</v>
      </c>
      <c r="AJ94" s="23">
        <f t="shared" si="109"/>
        <v>0</v>
      </c>
      <c r="AK94" s="23">
        <f t="shared" si="109"/>
        <v>0</v>
      </c>
      <c r="AL94" s="23">
        <f t="shared" si="109"/>
        <v>0</v>
      </c>
      <c r="AM94" s="23">
        <f t="shared" si="109"/>
        <v>0</v>
      </c>
      <c r="AN94" s="752">
        <f t="shared" si="109"/>
        <v>0</v>
      </c>
      <c r="AO94" s="29">
        <f t="shared" si="109"/>
        <v>49328411</v>
      </c>
      <c r="AP94" s="22">
        <f t="shared" si="109"/>
        <v>34975844</v>
      </c>
      <c r="AQ94" s="22">
        <f t="shared" si="109"/>
        <v>219456</v>
      </c>
      <c r="AR94" s="67">
        <f t="shared" si="109"/>
        <v>99456</v>
      </c>
      <c r="AS94" s="22">
        <f t="shared" si="109"/>
        <v>11862395</v>
      </c>
      <c r="AT94" s="22">
        <f t="shared" si="109"/>
        <v>699518</v>
      </c>
      <c r="AU94" s="22">
        <f t="shared" si="109"/>
        <v>1571198</v>
      </c>
      <c r="AV94" s="23">
        <f t="shared" si="109"/>
        <v>71.524599999999992</v>
      </c>
      <c r="AW94" s="23">
        <f t="shared" si="109"/>
        <v>50.855800000000002</v>
      </c>
      <c r="AX94" s="55">
        <f t="shared" si="109"/>
        <v>20.668800000000001</v>
      </c>
    </row>
    <row r="95" spans="1:50" s="695" customFormat="1" ht="12" customHeight="1" x14ac:dyDescent="0.2">
      <c r="A95" s="697">
        <v>23</v>
      </c>
      <c r="B95" s="698">
        <v>3416</v>
      </c>
      <c r="C95" s="698">
        <v>600078426</v>
      </c>
      <c r="D95" s="698">
        <v>72743034</v>
      </c>
      <c r="E95" s="699" t="s">
        <v>53</v>
      </c>
      <c r="F95" s="698">
        <v>3113</v>
      </c>
      <c r="G95" s="700" t="s">
        <v>320</v>
      </c>
      <c r="H95" s="701" t="s">
        <v>283</v>
      </c>
      <c r="I95" s="495">
        <v>32011592</v>
      </c>
      <c r="J95" s="496">
        <v>22469930</v>
      </c>
      <c r="K95" s="496">
        <v>259372</v>
      </c>
      <c r="L95" s="496">
        <v>229622</v>
      </c>
      <c r="M95" s="496">
        <v>7604892</v>
      </c>
      <c r="N95" s="496">
        <v>449398</v>
      </c>
      <c r="O95" s="496">
        <v>1228000</v>
      </c>
      <c r="P95" s="497">
        <v>42.0276</v>
      </c>
      <c r="Q95" s="412">
        <v>31.823700000000002</v>
      </c>
      <c r="R95" s="498">
        <v>10.203899999999999</v>
      </c>
      <c r="S95" s="530">
        <f t="shared" ref="S95:S99" si="110">W95*-1</f>
        <v>0</v>
      </c>
      <c r="T95" s="486">
        <v>0</v>
      </c>
      <c r="U95" s="486">
        <v>0</v>
      </c>
      <c r="V95" s="486">
        <f>SUM(S95:U95)</f>
        <v>0</v>
      </c>
      <c r="W95" s="486">
        <v>0</v>
      </c>
      <c r="X95" s="486">
        <v>0</v>
      </c>
      <c r="Y95" s="486">
        <f>SUM(W95:X95)</f>
        <v>0</v>
      </c>
      <c r="Z95" s="486">
        <f>V95+Y95</f>
        <v>0</v>
      </c>
      <c r="AA95" s="319">
        <f>ROUND((V95+W95)*33.8%,0)</f>
        <v>0</v>
      </c>
      <c r="AB95" s="178">
        <f>ROUND(V95*2%,0)</f>
        <v>0</v>
      </c>
      <c r="AC95" s="486">
        <v>0</v>
      </c>
      <c r="AD95" s="486">
        <v>0</v>
      </c>
      <c r="AE95" s="486">
        <f t="shared" si="94"/>
        <v>0</v>
      </c>
      <c r="AF95" s="486">
        <f t="shared" si="95"/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ref="AL95:AL99" si="111">AG95+AI95+AJ95</f>
        <v>0</v>
      </c>
      <c r="AM95" s="501">
        <f t="shared" ref="AM95:AM99" si="112">AH95+AK95</f>
        <v>0</v>
      </c>
      <c r="AN95" s="529">
        <f t="shared" si="96"/>
        <v>0</v>
      </c>
      <c r="AO95" s="530">
        <f>I95+AF95</f>
        <v>32011592</v>
      </c>
      <c r="AP95" s="486">
        <f>J95+V95</f>
        <v>22469930</v>
      </c>
      <c r="AQ95" s="486">
        <f>K95+Y95</f>
        <v>259372</v>
      </c>
      <c r="AR95" s="486">
        <f>L95</f>
        <v>229622</v>
      </c>
      <c r="AS95" s="486">
        <f t="shared" ref="AS95:AT99" si="113">M95+AA95</f>
        <v>7604892</v>
      </c>
      <c r="AT95" s="486">
        <f t="shared" si="113"/>
        <v>449398</v>
      </c>
      <c r="AU95" s="486">
        <f>O95+AE95</f>
        <v>1228000</v>
      </c>
      <c r="AV95" s="501">
        <f>P95+AN95</f>
        <v>42.0276</v>
      </c>
      <c r="AW95" s="501">
        <f t="shared" ref="AW95:AX99" si="114">Q95+AL95</f>
        <v>31.823700000000002</v>
      </c>
      <c r="AX95" s="502">
        <f t="shared" si="114"/>
        <v>10.203899999999999</v>
      </c>
    </row>
    <row r="96" spans="1:50" s="695" customFormat="1" ht="12" customHeight="1" x14ac:dyDescent="0.2">
      <c r="A96" s="697">
        <v>23</v>
      </c>
      <c r="B96" s="698">
        <v>3416</v>
      </c>
      <c r="C96" s="698">
        <v>600078426</v>
      </c>
      <c r="D96" s="698">
        <v>72743034</v>
      </c>
      <c r="E96" s="699" t="s">
        <v>53</v>
      </c>
      <c r="F96" s="698">
        <v>3113</v>
      </c>
      <c r="G96" s="700" t="s">
        <v>318</v>
      </c>
      <c r="H96" s="701" t="s">
        <v>284</v>
      </c>
      <c r="I96" s="495">
        <v>2638603</v>
      </c>
      <c r="J96" s="496">
        <v>1943007</v>
      </c>
      <c r="K96" s="475">
        <v>0</v>
      </c>
      <c r="L96" s="475">
        <v>0</v>
      </c>
      <c r="M96" s="319">
        <v>656736</v>
      </c>
      <c r="N96" s="319">
        <v>38860</v>
      </c>
      <c r="O96" s="496">
        <v>0</v>
      </c>
      <c r="P96" s="497">
        <v>5.6400000000000006</v>
      </c>
      <c r="Q96" s="412">
        <v>5.6400000000000006</v>
      </c>
      <c r="R96" s="498">
        <v>0</v>
      </c>
      <c r="S96" s="530">
        <f t="shared" si="110"/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319">
        <f>ROUND((V96+W96)*33.8%,0)</f>
        <v>0</v>
      </c>
      <c r="AB96" s="178">
        <f>ROUND(V96*2%,0)</f>
        <v>0</v>
      </c>
      <c r="AC96" s="486">
        <v>0</v>
      </c>
      <c r="AD96" s="486">
        <v>0</v>
      </c>
      <c r="AE96" s="486">
        <f t="shared" si="94"/>
        <v>0</v>
      </c>
      <c r="AF96" s="486">
        <f t="shared" si="95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111"/>
        <v>0</v>
      </c>
      <c r="AM96" s="501">
        <f t="shared" si="112"/>
        <v>0</v>
      </c>
      <c r="AN96" s="529">
        <f t="shared" si="96"/>
        <v>0</v>
      </c>
      <c r="AO96" s="530">
        <f>I96+AF96</f>
        <v>2638603</v>
      </c>
      <c r="AP96" s="486">
        <f>J96+V96</f>
        <v>1943007</v>
      </c>
      <c r="AQ96" s="486">
        <f>K96+Y96</f>
        <v>0</v>
      </c>
      <c r="AR96" s="486">
        <f>L96</f>
        <v>0</v>
      </c>
      <c r="AS96" s="486">
        <f t="shared" si="113"/>
        <v>656736</v>
      </c>
      <c r="AT96" s="486">
        <f t="shared" si="113"/>
        <v>38860</v>
      </c>
      <c r="AU96" s="486">
        <f>O96+AE96</f>
        <v>0</v>
      </c>
      <c r="AV96" s="501">
        <f>P96+AN96</f>
        <v>5.6400000000000006</v>
      </c>
      <c r="AW96" s="501">
        <f t="shared" si="114"/>
        <v>5.6400000000000006</v>
      </c>
      <c r="AX96" s="502">
        <f t="shared" si="114"/>
        <v>0</v>
      </c>
    </row>
    <row r="97" spans="1:50" s="695" customFormat="1" ht="12.75" customHeight="1" x14ac:dyDescent="0.2">
      <c r="A97" s="697">
        <v>23</v>
      </c>
      <c r="B97" s="698">
        <v>3416</v>
      </c>
      <c r="C97" s="698">
        <v>600078426</v>
      </c>
      <c r="D97" s="698">
        <v>72743034</v>
      </c>
      <c r="E97" s="699" t="s">
        <v>53</v>
      </c>
      <c r="F97" s="698">
        <v>3141</v>
      </c>
      <c r="G97" s="700" t="s">
        <v>321</v>
      </c>
      <c r="H97" s="701" t="s">
        <v>284</v>
      </c>
      <c r="I97" s="495">
        <v>2817927</v>
      </c>
      <c r="J97" s="496">
        <v>2054599</v>
      </c>
      <c r="K97" s="475">
        <v>0</v>
      </c>
      <c r="L97" s="475">
        <v>0</v>
      </c>
      <c r="M97" s="319">
        <v>694454</v>
      </c>
      <c r="N97" s="319">
        <v>41092</v>
      </c>
      <c r="O97" s="496">
        <v>27782</v>
      </c>
      <c r="P97" s="497">
        <v>6.99</v>
      </c>
      <c r="Q97" s="412">
        <v>0</v>
      </c>
      <c r="R97" s="498">
        <v>6.99</v>
      </c>
      <c r="S97" s="530">
        <f t="shared" si="110"/>
        <v>0</v>
      </c>
      <c r="T97" s="486">
        <v>0</v>
      </c>
      <c r="U97" s="486">
        <v>0</v>
      </c>
      <c r="V97" s="486">
        <f>SUM(S97:U97)</f>
        <v>0</v>
      </c>
      <c r="W97" s="486">
        <v>0</v>
      </c>
      <c r="X97" s="486">
        <v>0</v>
      </c>
      <c r="Y97" s="486">
        <f>SUM(W97:X97)</f>
        <v>0</v>
      </c>
      <c r="Z97" s="486">
        <f>V97+Y97</f>
        <v>0</v>
      </c>
      <c r="AA97" s="319">
        <f>ROUND((V97+W97)*33.8%,0)</f>
        <v>0</v>
      </c>
      <c r="AB97" s="178">
        <f>ROUND(V97*2%,0)</f>
        <v>0</v>
      </c>
      <c r="AC97" s="486">
        <v>0</v>
      </c>
      <c r="AD97" s="486">
        <v>0</v>
      </c>
      <c r="AE97" s="486">
        <f t="shared" si="94"/>
        <v>0</v>
      </c>
      <c r="AF97" s="486">
        <f t="shared" si="95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11"/>
        <v>0</v>
      </c>
      <c r="AM97" s="501">
        <f t="shared" si="112"/>
        <v>0</v>
      </c>
      <c r="AN97" s="529">
        <f t="shared" si="96"/>
        <v>0</v>
      </c>
      <c r="AO97" s="530">
        <f>I97+AF97</f>
        <v>2817927</v>
      </c>
      <c r="AP97" s="486">
        <f>J97+V97</f>
        <v>2054599</v>
      </c>
      <c r="AQ97" s="486">
        <f>K97+Y97</f>
        <v>0</v>
      </c>
      <c r="AR97" s="486">
        <f>L97</f>
        <v>0</v>
      </c>
      <c r="AS97" s="486">
        <f t="shared" si="113"/>
        <v>694454</v>
      </c>
      <c r="AT97" s="486">
        <f t="shared" si="113"/>
        <v>41092</v>
      </c>
      <c r="AU97" s="486">
        <f>O97+AE97</f>
        <v>27782</v>
      </c>
      <c r="AV97" s="501">
        <f>P97+AN97</f>
        <v>6.99</v>
      </c>
      <c r="AW97" s="501">
        <f t="shared" si="114"/>
        <v>0</v>
      </c>
      <c r="AX97" s="502">
        <f t="shared" si="114"/>
        <v>6.99</v>
      </c>
    </row>
    <row r="98" spans="1:50" s="695" customFormat="1" ht="12.75" customHeight="1" x14ac:dyDescent="0.2">
      <c r="A98" s="697">
        <v>23</v>
      </c>
      <c r="B98" s="698">
        <v>3416</v>
      </c>
      <c r="C98" s="698">
        <v>600078426</v>
      </c>
      <c r="D98" s="698">
        <v>72743034</v>
      </c>
      <c r="E98" s="699" t="s">
        <v>53</v>
      </c>
      <c r="F98" s="698">
        <v>3143</v>
      </c>
      <c r="G98" s="700" t="s">
        <v>634</v>
      </c>
      <c r="H98" s="701" t="s">
        <v>283</v>
      </c>
      <c r="I98" s="495">
        <v>3494463</v>
      </c>
      <c r="J98" s="496">
        <v>2573242</v>
      </c>
      <c r="K98" s="475">
        <v>0</v>
      </c>
      <c r="L98" s="475">
        <v>0</v>
      </c>
      <c r="M98" s="319">
        <v>869756</v>
      </c>
      <c r="N98" s="319">
        <v>51465</v>
      </c>
      <c r="O98" s="496">
        <v>0</v>
      </c>
      <c r="P98" s="497">
        <v>5.4107000000000003</v>
      </c>
      <c r="Q98" s="412">
        <v>5.4107000000000003</v>
      </c>
      <c r="R98" s="498">
        <v>0</v>
      </c>
      <c r="S98" s="530">
        <f t="shared" si="110"/>
        <v>0</v>
      </c>
      <c r="T98" s="486">
        <v>0</v>
      </c>
      <c r="U98" s="486">
        <v>0</v>
      </c>
      <c r="V98" s="486">
        <f>SUM(S98:U98)</f>
        <v>0</v>
      </c>
      <c r="W98" s="486">
        <v>0</v>
      </c>
      <c r="X98" s="486">
        <v>0</v>
      </c>
      <c r="Y98" s="486">
        <f>SUM(W98:X98)</f>
        <v>0</v>
      </c>
      <c r="Z98" s="486">
        <f>V98+Y98</f>
        <v>0</v>
      </c>
      <c r="AA98" s="319">
        <f>ROUND((V98+W98)*33.8%,0)</f>
        <v>0</v>
      </c>
      <c r="AB98" s="178">
        <f>ROUND(V98*2%,0)</f>
        <v>0</v>
      </c>
      <c r="AC98" s="486">
        <v>0</v>
      </c>
      <c r="AD98" s="486">
        <v>0</v>
      </c>
      <c r="AE98" s="486">
        <f t="shared" si="94"/>
        <v>0</v>
      </c>
      <c r="AF98" s="486">
        <f t="shared" si="95"/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si="111"/>
        <v>0</v>
      </c>
      <c r="AM98" s="501">
        <f t="shared" si="112"/>
        <v>0</v>
      </c>
      <c r="AN98" s="529">
        <f t="shared" si="96"/>
        <v>0</v>
      </c>
      <c r="AO98" s="530">
        <f>I98+AF98</f>
        <v>3494463</v>
      </c>
      <c r="AP98" s="486">
        <f>J98+V98</f>
        <v>2573242</v>
      </c>
      <c r="AQ98" s="486">
        <f>K98+Y98</f>
        <v>0</v>
      </c>
      <c r="AR98" s="486">
        <f>L98</f>
        <v>0</v>
      </c>
      <c r="AS98" s="486">
        <f t="shared" si="113"/>
        <v>869756</v>
      </c>
      <c r="AT98" s="486">
        <f t="shared" si="113"/>
        <v>51465</v>
      </c>
      <c r="AU98" s="486">
        <f>O98+AE98</f>
        <v>0</v>
      </c>
      <c r="AV98" s="501">
        <f>P98+AN98</f>
        <v>5.4107000000000003</v>
      </c>
      <c r="AW98" s="501">
        <f t="shared" si="114"/>
        <v>5.4107000000000003</v>
      </c>
      <c r="AX98" s="502">
        <f t="shared" si="114"/>
        <v>0</v>
      </c>
    </row>
    <row r="99" spans="1:50" s="695" customFormat="1" ht="12.75" customHeight="1" x14ac:dyDescent="0.2">
      <c r="A99" s="697">
        <v>23</v>
      </c>
      <c r="B99" s="698">
        <v>3416</v>
      </c>
      <c r="C99" s="698">
        <v>600078426</v>
      </c>
      <c r="D99" s="698">
        <v>72743034</v>
      </c>
      <c r="E99" s="699" t="s">
        <v>53</v>
      </c>
      <c r="F99" s="698">
        <v>3143</v>
      </c>
      <c r="G99" s="700" t="s">
        <v>635</v>
      </c>
      <c r="H99" s="701" t="s">
        <v>284</v>
      </c>
      <c r="I99" s="495">
        <v>113056</v>
      </c>
      <c r="J99" s="496">
        <v>79695</v>
      </c>
      <c r="K99" s="475">
        <v>0</v>
      </c>
      <c r="L99" s="475">
        <v>0</v>
      </c>
      <c r="M99" s="319">
        <v>26937</v>
      </c>
      <c r="N99" s="319">
        <v>1594</v>
      </c>
      <c r="O99" s="496">
        <v>4830</v>
      </c>
      <c r="P99" s="497">
        <v>0.34</v>
      </c>
      <c r="Q99" s="412">
        <v>0</v>
      </c>
      <c r="R99" s="498">
        <v>0.34</v>
      </c>
      <c r="S99" s="530">
        <f t="shared" si="110"/>
        <v>0</v>
      </c>
      <c r="T99" s="486">
        <v>0</v>
      </c>
      <c r="U99" s="486">
        <v>0</v>
      </c>
      <c r="V99" s="486">
        <f>SUM(S99:U99)</f>
        <v>0</v>
      </c>
      <c r="W99" s="486">
        <v>0</v>
      </c>
      <c r="X99" s="486">
        <v>0</v>
      </c>
      <c r="Y99" s="486">
        <f>SUM(W99:X99)</f>
        <v>0</v>
      </c>
      <c r="Z99" s="486">
        <f>V99+Y99</f>
        <v>0</v>
      </c>
      <c r="AA99" s="319">
        <f>ROUND((V99+W99)*33.8%,0)</f>
        <v>0</v>
      </c>
      <c r="AB99" s="178">
        <f>ROUND(V99*2%,0)</f>
        <v>0</v>
      </c>
      <c r="AC99" s="486">
        <v>0</v>
      </c>
      <c r="AD99" s="486">
        <v>0</v>
      </c>
      <c r="AE99" s="486">
        <f t="shared" si="94"/>
        <v>0</v>
      </c>
      <c r="AF99" s="486">
        <f t="shared" si="95"/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si="111"/>
        <v>0</v>
      </c>
      <c r="AM99" s="501">
        <f t="shared" si="112"/>
        <v>0</v>
      </c>
      <c r="AN99" s="529">
        <f t="shared" si="96"/>
        <v>0</v>
      </c>
      <c r="AO99" s="530">
        <f>I99+AF99</f>
        <v>113056</v>
      </c>
      <c r="AP99" s="486">
        <f>J99+V99</f>
        <v>79695</v>
      </c>
      <c r="AQ99" s="486">
        <f>K99+Y99</f>
        <v>0</v>
      </c>
      <c r="AR99" s="486">
        <f>L99</f>
        <v>0</v>
      </c>
      <c r="AS99" s="486">
        <f t="shared" si="113"/>
        <v>26937</v>
      </c>
      <c r="AT99" s="486">
        <f t="shared" si="113"/>
        <v>1594</v>
      </c>
      <c r="AU99" s="486">
        <f>O99+AE99</f>
        <v>4830</v>
      </c>
      <c r="AV99" s="501">
        <f>P99+AN99</f>
        <v>0.34</v>
      </c>
      <c r="AW99" s="501">
        <f t="shared" si="114"/>
        <v>0</v>
      </c>
      <c r="AX99" s="502">
        <f t="shared" si="114"/>
        <v>0.34</v>
      </c>
    </row>
    <row r="100" spans="1:50" s="695" customFormat="1" ht="12.75" customHeight="1" x14ac:dyDescent="0.2">
      <c r="A100" s="279">
        <v>23</v>
      </c>
      <c r="B100" s="21">
        <v>3416</v>
      </c>
      <c r="C100" s="277">
        <v>600078426</v>
      </c>
      <c r="D100" s="277">
        <v>72743034</v>
      </c>
      <c r="E100" s="696" t="s">
        <v>54</v>
      </c>
      <c r="F100" s="21"/>
      <c r="G100" s="278"/>
      <c r="H100" s="749"/>
      <c r="I100" s="29">
        <v>41075641</v>
      </c>
      <c r="J100" s="266">
        <v>29120473</v>
      </c>
      <c r="K100" s="266">
        <v>259372</v>
      </c>
      <c r="L100" s="266">
        <v>229622</v>
      </c>
      <c r="M100" s="266">
        <v>9852775</v>
      </c>
      <c r="N100" s="266">
        <v>582409</v>
      </c>
      <c r="O100" s="266">
        <v>1260612</v>
      </c>
      <c r="P100" s="750">
        <v>60.408300000000004</v>
      </c>
      <c r="Q100" s="750">
        <v>42.874400000000001</v>
      </c>
      <c r="R100" s="751">
        <v>17.533899999999999</v>
      </c>
      <c r="S100" s="29">
        <f t="shared" ref="S100:AX100" si="115">SUM(S95:S99)</f>
        <v>0</v>
      </c>
      <c r="T100" s="22">
        <f t="shared" si="115"/>
        <v>0</v>
      </c>
      <c r="U100" s="22">
        <f t="shared" si="115"/>
        <v>0</v>
      </c>
      <c r="V100" s="22">
        <f t="shared" si="115"/>
        <v>0</v>
      </c>
      <c r="W100" s="22">
        <f t="shared" si="115"/>
        <v>0</v>
      </c>
      <c r="X100" s="22">
        <f t="shared" si="115"/>
        <v>0</v>
      </c>
      <c r="Y100" s="22">
        <f t="shared" si="115"/>
        <v>0</v>
      </c>
      <c r="Z100" s="22">
        <f t="shared" si="115"/>
        <v>0</v>
      </c>
      <c r="AA100" s="22">
        <f t="shared" si="115"/>
        <v>0</v>
      </c>
      <c r="AB100" s="22">
        <f t="shared" si="115"/>
        <v>0</v>
      </c>
      <c r="AC100" s="22">
        <f t="shared" si="115"/>
        <v>0</v>
      </c>
      <c r="AD100" s="22">
        <f t="shared" si="115"/>
        <v>0</v>
      </c>
      <c r="AE100" s="22">
        <f t="shared" si="115"/>
        <v>0</v>
      </c>
      <c r="AF100" s="22">
        <f t="shared" si="115"/>
        <v>0</v>
      </c>
      <c r="AG100" s="23">
        <f t="shared" si="115"/>
        <v>0</v>
      </c>
      <c r="AH100" s="23">
        <f t="shared" si="115"/>
        <v>0</v>
      </c>
      <c r="AI100" s="23">
        <f t="shared" si="115"/>
        <v>0</v>
      </c>
      <c r="AJ100" s="23">
        <f t="shared" si="115"/>
        <v>0</v>
      </c>
      <c r="AK100" s="23">
        <f t="shared" si="115"/>
        <v>0</v>
      </c>
      <c r="AL100" s="23">
        <f t="shared" si="115"/>
        <v>0</v>
      </c>
      <c r="AM100" s="23">
        <f t="shared" si="115"/>
        <v>0</v>
      </c>
      <c r="AN100" s="752">
        <f t="shared" si="115"/>
        <v>0</v>
      </c>
      <c r="AO100" s="29">
        <f t="shared" si="115"/>
        <v>41075641</v>
      </c>
      <c r="AP100" s="22">
        <f t="shared" si="115"/>
        <v>29120473</v>
      </c>
      <c r="AQ100" s="22">
        <f t="shared" si="115"/>
        <v>259372</v>
      </c>
      <c r="AR100" s="67">
        <f t="shared" si="115"/>
        <v>229622</v>
      </c>
      <c r="AS100" s="22">
        <f t="shared" si="115"/>
        <v>9852775</v>
      </c>
      <c r="AT100" s="22">
        <f t="shared" si="115"/>
        <v>582409</v>
      </c>
      <c r="AU100" s="22">
        <f t="shared" si="115"/>
        <v>1260612</v>
      </c>
      <c r="AV100" s="23">
        <f t="shared" si="115"/>
        <v>60.408300000000004</v>
      </c>
      <c r="AW100" s="23">
        <f t="shared" si="115"/>
        <v>42.874400000000001</v>
      </c>
      <c r="AX100" s="55">
        <f t="shared" si="115"/>
        <v>17.533899999999999</v>
      </c>
    </row>
    <row r="101" spans="1:50" s="695" customFormat="1" ht="12.75" customHeight="1" x14ac:dyDescent="0.2">
      <c r="A101" s="697">
        <v>24</v>
      </c>
      <c r="B101" s="698">
        <v>3414</v>
      </c>
      <c r="C101" s="698">
        <v>600078388</v>
      </c>
      <c r="D101" s="698">
        <v>43257721</v>
      </c>
      <c r="E101" s="699" t="s">
        <v>55</v>
      </c>
      <c r="F101" s="698">
        <v>3113</v>
      </c>
      <c r="G101" s="700" t="s">
        <v>320</v>
      </c>
      <c r="H101" s="701" t="s">
        <v>283</v>
      </c>
      <c r="I101" s="495">
        <v>33255054</v>
      </c>
      <c r="J101" s="496">
        <v>23203412</v>
      </c>
      <c r="K101" s="496">
        <v>416890</v>
      </c>
      <c r="L101" s="496">
        <v>331890</v>
      </c>
      <c r="M101" s="496">
        <v>7871483</v>
      </c>
      <c r="N101" s="496">
        <v>464069</v>
      </c>
      <c r="O101" s="496">
        <v>1299200</v>
      </c>
      <c r="P101" s="497">
        <v>45.325299999999999</v>
      </c>
      <c r="Q101" s="412">
        <v>34.239800000000002</v>
      </c>
      <c r="R101" s="498">
        <v>11.085499999999993</v>
      </c>
      <c r="S101" s="530">
        <f t="shared" ref="S101:S105" si="116">W101*-1</f>
        <v>0</v>
      </c>
      <c r="T101" s="486">
        <v>0</v>
      </c>
      <c r="U101" s="486"/>
      <c r="V101" s="486">
        <f>SUM(S101:U101)</f>
        <v>0</v>
      </c>
      <c r="W101" s="486">
        <v>0</v>
      </c>
      <c r="X101" s="486">
        <v>0</v>
      </c>
      <c r="Y101" s="486">
        <f>SUM(W101:X101)</f>
        <v>0</v>
      </c>
      <c r="Z101" s="486">
        <f>V101+Y101</f>
        <v>0</v>
      </c>
      <c r="AA101" s="319">
        <f>ROUND((V101+W101)*33.8%,0)</f>
        <v>0</v>
      </c>
      <c r="AB101" s="178">
        <f>ROUND(V101*2%,0)</f>
        <v>0</v>
      </c>
      <c r="AC101" s="486">
        <v>0</v>
      </c>
      <c r="AD101" s="486">
        <v>0</v>
      </c>
      <c r="AE101" s="486">
        <f t="shared" si="94"/>
        <v>0</v>
      </c>
      <c r="AF101" s="486">
        <f t="shared" si="95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ref="AL101:AL105" si="117">AG101+AI101+AJ101</f>
        <v>0</v>
      </c>
      <c r="AM101" s="501">
        <f t="shared" ref="AM101:AM105" si="118">AH101+AK101</f>
        <v>0</v>
      </c>
      <c r="AN101" s="529">
        <f t="shared" si="96"/>
        <v>0</v>
      </c>
      <c r="AO101" s="530">
        <f>I101+AF101</f>
        <v>33255054</v>
      </c>
      <c r="AP101" s="486">
        <f>J101+V101</f>
        <v>23203412</v>
      </c>
      <c r="AQ101" s="486">
        <f>K101+Y101</f>
        <v>416890</v>
      </c>
      <c r="AR101" s="486">
        <f>L101</f>
        <v>331890</v>
      </c>
      <c r="AS101" s="486">
        <f t="shared" ref="AS101:AT105" si="119">M101+AA101</f>
        <v>7871483</v>
      </c>
      <c r="AT101" s="486">
        <f t="shared" si="119"/>
        <v>464069</v>
      </c>
      <c r="AU101" s="486">
        <f>O101+AE101</f>
        <v>1299200</v>
      </c>
      <c r="AV101" s="501">
        <f>P101+AN101</f>
        <v>45.325299999999999</v>
      </c>
      <c r="AW101" s="501">
        <f t="shared" ref="AW101:AX105" si="120">Q101+AL101</f>
        <v>34.239800000000002</v>
      </c>
      <c r="AX101" s="502">
        <f t="shared" si="120"/>
        <v>11.085499999999993</v>
      </c>
    </row>
    <row r="102" spans="1:50" s="695" customFormat="1" x14ac:dyDescent="0.2">
      <c r="A102" s="697">
        <v>24</v>
      </c>
      <c r="B102" s="698">
        <v>3414</v>
      </c>
      <c r="C102" s="698">
        <v>600078388</v>
      </c>
      <c r="D102" s="698">
        <v>43257721</v>
      </c>
      <c r="E102" s="699" t="s">
        <v>55</v>
      </c>
      <c r="F102" s="698">
        <v>3113</v>
      </c>
      <c r="G102" s="700" t="s">
        <v>318</v>
      </c>
      <c r="H102" s="701" t="s">
        <v>284</v>
      </c>
      <c r="I102" s="495">
        <v>3450966</v>
      </c>
      <c r="J102" s="496">
        <v>2539739</v>
      </c>
      <c r="K102" s="475">
        <v>0</v>
      </c>
      <c r="L102" s="475">
        <v>0</v>
      </c>
      <c r="M102" s="319">
        <v>858432</v>
      </c>
      <c r="N102" s="319">
        <v>50795</v>
      </c>
      <c r="O102" s="496">
        <v>2000</v>
      </c>
      <c r="P102" s="497">
        <v>7.3699999999999992</v>
      </c>
      <c r="Q102" s="412">
        <v>7.3699999999999992</v>
      </c>
      <c r="R102" s="498">
        <v>0</v>
      </c>
      <c r="S102" s="530">
        <f t="shared" si="116"/>
        <v>0</v>
      </c>
      <c r="T102" s="486">
        <v>-21225</v>
      </c>
      <c r="U102" s="486">
        <v>0</v>
      </c>
      <c r="V102" s="486">
        <f>SUM(S102:U102)</f>
        <v>-21225</v>
      </c>
      <c r="W102" s="486">
        <v>0</v>
      </c>
      <c r="X102" s="486">
        <v>0</v>
      </c>
      <c r="Y102" s="486">
        <f>SUM(W102:X102)</f>
        <v>0</v>
      </c>
      <c r="Z102" s="486">
        <f>V102+Y102</f>
        <v>-21225</v>
      </c>
      <c r="AA102" s="319">
        <f>ROUND((V102+W102)*33.8%,0)</f>
        <v>-7174</v>
      </c>
      <c r="AB102" s="178">
        <f>ROUND(V102*2%,0)</f>
        <v>-425</v>
      </c>
      <c r="AC102" s="486">
        <v>0</v>
      </c>
      <c r="AD102" s="486">
        <v>0</v>
      </c>
      <c r="AE102" s="486">
        <f t="shared" si="94"/>
        <v>0</v>
      </c>
      <c r="AF102" s="486">
        <f t="shared" si="95"/>
        <v>-28824</v>
      </c>
      <c r="AG102" s="501">
        <v>0</v>
      </c>
      <c r="AH102" s="501">
        <v>0</v>
      </c>
      <c r="AI102" s="501">
        <v>-0.06</v>
      </c>
      <c r="AJ102" s="501">
        <v>0</v>
      </c>
      <c r="AK102" s="501">
        <v>0</v>
      </c>
      <c r="AL102" s="501">
        <f t="shared" si="117"/>
        <v>-0.06</v>
      </c>
      <c r="AM102" s="501">
        <f t="shared" si="118"/>
        <v>0</v>
      </c>
      <c r="AN102" s="529">
        <f t="shared" si="96"/>
        <v>-0.06</v>
      </c>
      <c r="AO102" s="530">
        <f>I102+AF102</f>
        <v>3422142</v>
      </c>
      <c r="AP102" s="486">
        <f>J102+V102</f>
        <v>2518514</v>
      </c>
      <c r="AQ102" s="486">
        <f>K102+Y102</f>
        <v>0</v>
      </c>
      <c r="AR102" s="486">
        <f>L102</f>
        <v>0</v>
      </c>
      <c r="AS102" s="486">
        <f t="shared" si="119"/>
        <v>851258</v>
      </c>
      <c r="AT102" s="486">
        <f t="shared" si="119"/>
        <v>50370</v>
      </c>
      <c r="AU102" s="486">
        <f>O102+AE102</f>
        <v>2000</v>
      </c>
      <c r="AV102" s="501">
        <f>P102+AN102</f>
        <v>7.31</v>
      </c>
      <c r="AW102" s="501">
        <f t="shared" si="120"/>
        <v>7.31</v>
      </c>
      <c r="AX102" s="502">
        <f t="shared" si="120"/>
        <v>0</v>
      </c>
    </row>
    <row r="103" spans="1:50" s="695" customFormat="1" ht="12.75" customHeight="1" x14ac:dyDescent="0.2">
      <c r="A103" s="697">
        <v>24</v>
      </c>
      <c r="B103" s="698">
        <v>3414</v>
      </c>
      <c r="C103" s="698">
        <v>600078388</v>
      </c>
      <c r="D103" s="698">
        <v>43257721</v>
      </c>
      <c r="E103" s="699" t="s">
        <v>55</v>
      </c>
      <c r="F103" s="698">
        <v>3141</v>
      </c>
      <c r="G103" s="700" t="s">
        <v>321</v>
      </c>
      <c r="H103" s="701" t="s">
        <v>284</v>
      </c>
      <c r="I103" s="495">
        <v>3103486</v>
      </c>
      <c r="J103" s="496">
        <v>2251437</v>
      </c>
      <c r="K103" s="475">
        <v>10000</v>
      </c>
      <c r="L103" s="475">
        <v>0</v>
      </c>
      <c r="M103" s="319">
        <v>764366</v>
      </c>
      <c r="N103" s="319">
        <v>45029</v>
      </c>
      <c r="O103" s="496">
        <v>32654</v>
      </c>
      <c r="P103" s="497">
        <v>7.7</v>
      </c>
      <c r="Q103" s="412">
        <v>0</v>
      </c>
      <c r="R103" s="498">
        <v>7.7</v>
      </c>
      <c r="S103" s="530">
        <f t="shared" si="116"/>
        <v>0</v>
      </c>
      <c r="T103" s="486">
        <v>0</v>
      </c>
      <c r="U103" s="486">
        <v>0</v>
      </c>
      <c r="V103" s="486">
        <f>SUM(S103:U103)</f>
        <v>0</v>
      </c>
      <c r="W103" s="486">
        <v>0</v>
      </c>
      <c r="X103" s="486">
        <v>0</v>
      </c>
      <c r="Y103" s="486">
        <f>SUM(W103:X103)</f>
        <v>0</v>
      </c>
      <c r="Z103" s="486">
        <f>V103+Y103</f>
        <v>0</v>
      </c>
      <c r="AA103" s="319">
        <f>ROUND((V103+W103)*33.8%,0)</f>
        <v>0</v>
      </c>
      <c r="AB103" s="178">
        <f>ROUND(V103*2%,0)</f>
        <v>0</v>
      </c>
      <c r="AC103" s="486">
        <v>0</v>
      </c>
      <c r="AD103" s="486">
        <v>0</v>
      </c>
      <c r="AE103" s="486">
        <f t="shared" si="94"/>
        <v>0</v>
      </c>
      <c r="AF103" s="486">
        <f t="shared" si="95"/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117"/>
        <v>0</v>
      </c>
      <c r="AM103" s="501">
        <f t="shared" si="118"/>
        <v>0</v>
      </c>
      <c r="AN103" s="529">
        <f t="shared" si="96"/>
        <v>0</v>
      </c>
      <c r="AO103" s="530">
        <f>I103+AF103</f>
        <v>3103486</v>
      </c>
      <c r="AP103" s="486">
        <f>J103+V103</f>
        <v>2251437</v>
      </c>
      <c r="AQ103" s="486">
        <f>K103+Y103</f>
        <v>10000</v>
      </c>
      <c r="AR103" s="486">
        <f>L103</f>
        <v>0</v>
      </c>
      <c r="AS103" s="486">
        <f t="shared" si="119"/>
        <v>764366</v>
      </c>
      <c r="AT103" s="486">
        <f t="shared" si="119"/>
        <v>45029</v>
      </c>
      <c r="AU103" s="486">
        <f>O103+AE103</f>
        <v>32654</v>
      </c>
      <c r="AV103" s="501">
        <f>P103+AN103</f>
        <v>7.7</v>
      </c>
      <c r="AW103" s="501">
        <f t="shared" si="120"/>
        <v>0</v>
      </c>
      <c r="AX103" s="502">
        <f t="shared" si="120"/>
        <v>7.7</v>
      </c>
    </row>
    <row r="104" spans="1:50" s="695" customFormat="1" ht="12.75" customHeight="1" x14ac:dyDescent="0.2">
      <c r="A104" s="697">
        <v>24</v>
      </c>
      <c r="B104" s="698">
        <v>3414</v>
      </c>
      <c r="C104" s="698">
        <v>600078388</v>
      </c>
      <c r="D104" s="698">
        <v>43257721</v>
      </c>
      <c r="E104" s="699" t="s">
        <v>55</v>
      </c>
      <c r="F104" s="698">
        <v>3143</v>
      </c>
      <c r="G104" s="700" t="s">
        <v>634</v>
      </c>
      <c r="H104" s="701" t="s">
        <v>283</v>
      </c>
      <c r="I104" s="495">
        <v>3489607</v>
      </c>
      <c r="J104" s="496">
        <v>2549961</v>
      </c>
      <c r="K104" s="475">
        <v>20000</v>
      </c>
      <c r="L104" s="475">
        <v>0</v>
      </c>
      <c r="M104" s="319">
        <v>868647</v>
      </c>
      <c r="N104" s="319">
        <v>50999</v>
      </c>
      <c r="O104" s="496">
        <v>0</v>
      </c>
      <c r="P104" s="497">
        <v>5.48</v>
      </c>
      <c r="Q104" s="497">
        <v>5.48</v>
      </c>
      <c r="R104" s="498">
        <v>0</v>
      </c>
      <c r="S104" s="530">
        <f t="shared" si="116"/>
        <v>0</v>
      </c>
      <c r="T104" s="486">
        <v>0</v>
      </c>
      <c r="U104" s="486">
        <v>0</v>
      </c>
      <c r="V104" s="486">
        <f>SUM(S104:U104)</f>
        <v>0</v>
      </c>
      <c r="W104" s="486">
        <v>0</v>
      </c>
      <c r="X104" s="486">
        <v>0</v>
      </c>
      <c r="Y104" s="486">
        <f>SUM(W104:X104)</f>
        <v>0</v>
      </c>
      <c r="Z104" s="486">
        <f>V104+Y104</f>
        <v>0</v>
      </c>
      <c r="AA104" s="319">
        <f>ROUND((V104+W104)*33.8%,0)</f>
        <v>0</v>
      </c>
      <c r="AB104" s="178">
        <f>ROUND(V104*2%,0)</f>
        <v>0</v>
      </c>
      <c r="AC104" s="486">
        <v>0</v>
      </c>
      <c r="AD104" s="486">
        <v>0</v>
      </c>
      <c r="AE104" s="486">
        <f t="shared" si="94"/>
        <v>0</v>
      </c>
      <c r="AF104" s="486">
        <f t="shared" si="95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si="117"/>
        <v>0</v>
      </c>
      <c r="AM104" s="501">
        <f t="shared" si="118"/>
        <v>0</v>
      </c>
      <c r="AN104" s="529">
        <f t="shared" si="96"/>
        <v>0</v>
      </c>
      <c r="AO104" s="530">
        <f>I104+AF104</f>
        <v>3489607</v>
      </c>
      <c r="AP104" s="486">
        <f>J104+V104</f>
        <v>2549961</v>
      </c>
      <c r="AQ104" s="486">
        <f>K104+Y104</f>
        <v>20000</v>
      </c>
      <c r="AR104" s="486">
        <f>L104</f>
        <v>0</v>
      </c>
      <c r="AS104" s="486">
        <f t="shared" si="119"/>
        <v>868647</v>
      </c>
      <c r="AT104" s="486">
        <f t="shared" si="119"/>
        <v>50999</v>
      </c>
      <c r="AU104" s="486">
        <f>O104+AE104</f>
        <v>0</v>
      </c>
      <c r="AV104" s="501">
        <f>P104+AN104</f>
        <v>5.48</v>
      </c>
      <c r="AW104" s="501">
        <f t="shared" si="120"/>
        <v>5.48</v>
      </c>
      <c r="AX104" s="502">
        <f t="shared" si="120"/>
        <v>0</v>
      </c>
    </row>
    <row r="105" spans="1:50" s="695" customFormat="1" ht="12.75" customHeight="1" x14ac:dyDescent="0.2">
      <c r="A105" s="697">
        <v>24</v>
      </c>
      <c r="B105" s="698">
        <v>3414</v>
      </c>
      <c r="C105" s="698">
        <v>600078388</v>
      </c>
      <c r="D105" s="698">
        <v>43257721</v>
      </c>
      <c r="E105" s="699" t="s">
        <v>55</v>
      </c>
      <c r="F105" s="698">
        <v>3143</v>
      </c>
      <c r="G105" s="700" t="s">
        <v>635</v>
      </c>
      <c r="H105" s="701" t="s">
        <v>284</v>
      </c>
      <c r="I105" s="495">
        <v>112354</v>
      </c>
      <c r="J105" s="496">
        <v>79200</v>
      </c>
      <c r="K105" s="475">
        <v>0</v>
      </c>
      <c r="L105" s="475">
        <v>0</v>
      </c>
      <c r="M105" s="319">
        <v>26770</v>
      </c>
      <c r="N105" s="319">
        <v>1584</v>
      </c>
      <c r="O105" s="496">
        <v>4800</v>
      </c>
      <c r="P105" s="497">
        <v>0.33</v>
      </c>
      <c r="Q105" s="412">
        <v>0</v>
      </c>
      <c r="R105" s="498">
        <v>0.33</v>
      </c>
      <c r="S105" s="530">
        <f t="shared" si="116"/>
        <v>0</v>
      </c>
      <c r="T105" s="486">
        <v>0</v>
      </c>
      <c r="U105" s="486">
        <v>0</v>
      </c>
      <c r="V105" s="486">
        <f>SUM(S105:U105)</f>
        <v>0</v>
      </c>
      <c r="W105" s="486">
        <v>0</v>
      </c>
      <c r="X105" s="486">
        <v>0</v>
      </c>
      <c r="Y105" s="486">
        <f>SUM(W105:X105)</f>
        <v>0</v>
      </c>
      <c r="Z105" s="486">
        <f>V105+Y105</f>
        <v>0</v>
      </c>
      <c r="AA105" s="319">
        <f>ROUND((V105+W105)*33.8%,0)</f>
        <v>0</v>
      </c>
      <c r="AB105" s="178">
        <f>ROUND(V105*2%,0)</f>
        <v>0</v>
      </c>
      <c r="AC105" s="486">
        <v>0</v>
      </c>
      <c r="AD105" s="486">
        <v>0</v>
      </c>
      <c r="AE105" s="486">
        <f t="shared" si="94"/>
        <v>0</v>
      </c>
      <c r="AF105" s="486">
        <f t="shared" si="95"/>
        <v>0</v>
      </c>
      <c r="AG105" s="501">
        <v>0</v>
      </c>
      <c r="AH105" s="501">
        <v>0</v>
      </c>
      <c r="AI105" s="501">
        <v>0</v>
      </c>
      <c r="AJ105" s="501">
        <v>0</v>
      </c>
      <c r="AK105" s="501">
        <v>0</v>
      </c>
      <c r="AL105" s="501">
        <f t="shared" si="117"/>
        <v>0</v>
      </c>
      <c r="AM105" s="501">
        <f t="shared" si="118"/>
        <v>0</v>
      </c>
      <c r="AN105" s="529">
        <f t="shared" si="96"/>
        <v>0</v>
      </c>
      <c r="AO105" s="530">
        <f>I105+AF105</f>
        <v>112354</v>
      </c>
      <c r="AP105" s="486">
        <f>J105+V105</f>
        <v>79200</v>
      </c>
      <c r="AQ105" s="486">
        <f>K105+Y105</f>
        <v>0</v>
      </c>
      <c r="AR105" s="486">
        <f>L105</f>
        <v>0</v>
      </c>
      <c r="AS105" s="486">
        <f t="shared" si="119"/>
        <v>26770</v>
      </c>
      <c r="AT105" s="486">
        <f t="shared" si="119"/>
        <v>1584</v>
      </c>
      <c r="AU105" s="486">
        <f>O105+AE105</f>
        <v>4800</v>
      </c>
      <c r="AV105" s="501">
        <f>P105+AN105</f>
        <v>0.33</v>
      </c>
      <c r="AW105" s="501">
        <f t="shared" si="120"/>
        <v>0</v>
      </c>
      <c r="AX105" s="502">
        <f t="shared" si="120"/>
        <v>0.33</v>
      </c>
    </row>
    <row r="106" spans="1:50" s="695" customFormat="1" ht="12.75" customHeight="1" x14ac:dyDescent="0.2">
      <c r="A106" s="279">
        <v>24</v>
      </c>
      <c r="B106" s="21">
        <v>3414</v>
      </c>
      <c r="C106" s="277">
        <v>600078388</v>
      </c>
      <c r="D106" s="277">
        <v>43257721</v>
      </c>
      <c r="E106" s="696" t="s">
        <v>56</v>
      </c>
      <c r="F106" s="21"/>
      <c r="G106" s="278"/>
      <c r="H106" s="749"/>
      <c r="I106" s="29">
        <v>43411467</v>
      </c>
      <c r="J106" s="266">
        <v>30623749</v>
      </c>
      <c r="K106" s="266">
        <v>446890</v>
      </c>
      <c r="L106" s="266">
        <v>331890</v>
      </c>
      <c r="M106" s="266">
        <v>10389698</v>
      </c>
      <c r="N106" s="266">
        <v>612476</v>
      </c>
      <c r="O106" s="266">
        <v>1338654</v>
      </c>
      <c r="P106" s="750">
        <v>66.205299999999994</v>
      </c>
      <c r="Q106" s="750">
        <v>47.089799999999997</v>
      </c>
      <c r="R106" s="751">
        <v>19.11549999999999</v>
      </c>
      <c r="S106" s="29">
        <f t="shared" ref="S106:AX106" si="121">SUM(S101:S105)</f>
        <v>0</v>
      </c>
      <c r="T106" s="22">
        <f t="shared" si="121"/>
        <v>-21225</v>
      </c>
      <c r="U106" s="22">
        <f t="shared" si="121"/>
        <v>0</v>
      </c>
      <c r="V106" s="22">
        <f t="shared" si="121"/>
        <v>-21225</v>
      </c>
      <c r="W106" s="22">
        <f t="shared" si="121"/>
        <v>0</v>
      </c>
      <c r="X106" s="22">
        <f t="shared" si="121"/>
        <v>0</v>
      </c>
      <c r="Y106" s="22">
        <f t="shared" si="121"/>
        <v>0</v>
      </c>
      <c r="Z106" s="22">
        <f t="shared" si="121"/>
        <v>-21225</v>
      </c>
      <c r="AA106" s="22">
        <f t="shared" si="121"/>
        <v>-7174</v>
      </c>
      <c r="AB106" s="22">
        <f t="shared" si="121"/>
        <v>-425</v>
      </c>
      <c r="AC106" s="22">
        <f t="shared" si="121"/>
        <v>0</v>
      </c>
      <c r="AD106" s="22">
        <f t="shared" si="121"/>
        <v>0</v>
      </c>
      <c r="AE106" s="22">
        <f t="shared" si="121"/>
        <v>0</v>
      </c>
      <c r="AF106" s="22">
        <f t="shared" si="121"/>
        <v>-28824</v>
      </c>
      <c r="AG106" s="23">
        <f t="shared" si="121"/>
        <v>0</v>
      </c>
      <c r="AH106" s="23">
        <f t="shared" si="121"/>
        <v>0</v>
      </c>
      <c r="AI106" s="23">
        <f t="shared" si="121"/>
        <v>-0.06</v>
      </c>
      <c r="AJ106" s="23">
        <f t="shared" si="121"/>
        <v>0</v>
      </c>
      <c r="AK106" s="23">
        <f t="shared" si="121"/>
        <v>0</v>
      </c>
      <c r="AL106" s="23">
        <f t="shared" si="121"/>
        <v>-0.06</v>
      </c>
      <c r="AM106" s="23">
        <f t="shared" si="121"/>
        <v>0</v>
      </c>
      <c r="AN106" s="752">
        <f t="shared" si="121"/>
        <v>-0.06</v>
      </c>
      <c r="AO106" s="29">
        <f t="shared" si="121"/>
        <v>43382643</v>
      </c>
      <c r="AP106" s="22">
        <f t="shared" si="121"/>
        <v>30602524</v>
      </c>
      <c r="AQ106" s="22">
        <f t="shared" si="121"/>
        <v>446890</v>
      </c>
      <c r="AR106" s="67">
        <f t="shared" si="121"/>
        <v>331890</v>
      </c>
      <c r="AS106" s="22">
        <f t="shared" si="121"/>
        <v>10382524</v>
      </c>
      <c r="AT106" s="22">
        <f t="shared" si="121"/>
        <v>612051</v>
      </c>
      <c r="AU106" s="22">
        <f t="shared" si="121"/>
        <v>1338654</v>
      </c>
      <c r="AV106" s="23">
        <f t="shared" si="121"/>
        <v>66.145300000000006</v>
      </c>
      <c r="AW106" s="23">
        <f t="shared" si="121"/>
        <v>47.029800000000009</v>
      </c>
      <c r="AX106" s="55">
        <f t="shared" si="121"/>
        <v>19.11549999999999</v>
      </c>
    </row>
    <row r="107" spans="1:50" s="695" customFormat="1" ht="12.75" customHeight="1" x14ac:dyDescent="0.2">
      <c r="A107" s="697">
        <v>25</v>
      </c>
      <c r="B107" s="698">
        <v>3411</v>
      </c>
      <c r="C107" s="698">
        <v>600078400</v>
      </c>
      <c r="D107" s="698">
        <v>72742950</v>
      </c>
      <c r="E107" s="699" t="s">
        <v>57</v>
      </c>
      <c r="F107" s="698">
        <v>3113</v>
      </c>
      <c r="G107" s="700" t="s">
        <v>320</v>
      </c>
      <c r="H107" s="701" t="s">
        <v>283</v>
      </c>
      <c r="I107" s="495">
        <v>29323139</v>
      </c>
      <c r="J107" s="496">
        <v>20620347</v>
      </c>
      <c r="K107" s="496">
        <v>210308</v>
      </c>
      <c r="L107" s="496">
        <v>210308</v>
      </c>
      <c r="M107" s="496">
        <v>6969677</v>
      </c>
      <c r="N107" s="496">
        <v>412407</v>
      </c>
      <c r="O107" s="496">
        <v>1110400</v>
      </c>
      <c r="P107" s="497">
        <v>38.793799999999997</v>
      </c>
      <c r="Q107" s="412">
        <v>29.9544</v>
      </c>
      <c r="R107" s="498">
        <v>8.8393999999999977</v>
      </c>
      <c r="S107" s="530">
        <f t="shared" ref="S107:S111" si="122">W107*-1</f>
        <v>0</v>
      </c>
      <c r="T107" s="486">
        <v>0</v>
      </c>
      <c r="U107" s="486">
        <v>0</v>
      </c>
      <c r="V107" s="486">
        <f>SUM(S107:U107)</f>
        <v>0</v>
      </c>
      <c r="W107" s="486">
        <v>0</v>
      </c>
      <c r="X107" s="486">
        <v>0</v>
      </c>
      <c r="Y107" s="486">
        <f>SUM(W107:X107)</f>
        <v>0</v>
      </c>
      <c r="Z107" s="486">
        <f>V107+Y107</f>
        <v>0</v>
      </c>
      <c r="AA107" s="319">
        <f>ROUND((V107+W107)*33.8%,0)</f>
        <v>0</v>
      </c>
      <c r="AB107" s="178">
        <f>ROUND(V107*2%,0)</f>
        <v>0</v>
      </c>
      <c r="AC107" s="486">
        <v>0</v>
      </c>
      <c r="AD107" s="486">
        <v>0</v>
      </c>
      <c r="AE107" s="486">
        <f t="shared" si="94"/>
        <v>0</v>
      </c>
      <c r="AF107" s="486">
        <f t="shared" si="95"/>
        <v>0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ref="AL107:AL111" si="123">AG107+AI107+AJ107</f>
        <v>0</v>
      </c>
      <c r="AM107" s="501">
        <f t="shared" ref="AM107:AM111" si="124">AH107+AK107</f>
        <v>0</v>
      </c>
      <c r="AN107" s="529">
        <f t="shared" si="96"/>
        <v>0</v>
      </c>
      <c r="AO107" s="530">
        <f>I107+AF107</f>
        <v>29323139</v>
      </c>
      <c r="AP107" s="486">
        <f>J107+V107</f>
        <v>20620347</v>
      </c>
      <c r="AQ107" s="486">
        <f>K107+Y107</f>
        <v>210308</v>
      </c>
      <c r="AR107" s="486">
        <f>L107</f>
        <v>210308</v>
      </c>
      <c r="AS107" s="486">
        <f t="shared" ref="AS107:AT111" si="125">M107+AA107</f>
        <v>6969677</v>
      </c>
      <c r="AT107" s="486">
        <f t="shared" si="125"/>
        <v>412407</v>
      </c>
      <c r="AU107" s="486">
        <f>O107+AE107</f>
        <v>1110400</v>
      </c>
      <c r="AV107" s="501">
        <f>P107+AN107</f>
        <v>38.793799999999997</v>
      </c>
      <c r="AW107" s="501">
        <f t="shared" ref="AW107:AX111" si="126">Q107+AL107</f>
        <v>29.9544</v>
      </c>
      <c r="AX107" s="502">
        <f t="shared" si="126"/>
        <v>8.8393999999999977</v>
      </c>
    </row>
    <row r="108" spans="1:50" s="695" customFormat="1" x14ac:dyDescent="0.2">
      <c r="A108" s="697">
        <v>25</v>
      </c>
      <c r="B108" s="698">
        <v>3411</v>
      </c>
      <c r="C108" s="698">
        <v>600078400</v>
      </c>
      <c r="D108" s="698">
        <v>72742950</v>
      </c>
      <c r="E108" s="699" t="s">
        <v>57</v>
      </c>
      <c r="F108" s="698">
        <v>3113</v>
      </c>
      <c r="G108" s="700" t="s">
        <v>318</v>
      </c>
      <c r="H108" s="701" t="s">
        <v>284</v>
      </c>
      <c r="I108" s="495">
        <v>3725247</v>
      </c>
      <c r="J108" s="496">
        <v>2737111</v>
      </c>
      <c r="K108" s="475">
        <v>0</v>
      </c>
      <c r="L108" s="475">
        <v>0</v>
      </c>
      <c r="M108" s="319">
        <v>925144</v>
      </c>
      <c r="N108" s="319">
        <v>54742</v>
      </c>
      <c r="O108" s="496">
        <v>8250</v>
      </c>
      <c r="P108" s="497">
        <v>7.52</v>
      </c>
      <c r="Q108" s="412">
        <v>7.52</v>
      </c>
      <c r="R108" s="498">
        <v>0</v>
      </c>
      <c r="S108" s="530">
        <f t="shared" si="122"/>
        <v>0</v>
      </c>
      <c r="T108" s="486">
        <v>-19294</v>
      </c>
      <c r="U108" s="486">
        <v>0</v>
      </c>
      <c r="V108" s="486">
        <f>SUM(S108:U108)</f>
        <v>-19294</v>
      </c>
      <c r="W108" s="486">
        <v>0</v>
      </c>
      <c r="X108" s="486">
        <v>0</v>
      </c>
      <c r="Y108" s="486">
        <f>SUM(W108:X108)</f>
        <v>0</v>
      </c>
      <c r="Z108" s="486">
        <f>V108+Y108</f>
        <v>-19294</v>
      </c>
      <c r="AA108" s="319">
        <f>ROUND((V108+W108)*33.8%,0)</f>
        <v>-6521</v>
      </c>
      <c r="AB108" s="178">
        <f>ROUND(V108*2%,0)</f>
        <v>-386</v>
      </c>
      <c r="AC108" s="486">
        <v>0</v>
      </c>
      <c r="AD108" s="486">
        <v>0</v>
      </c>
      <c r="AE108" s="486">
        <f t="shared" si="94"/>
        <v>0</v>
      </c>
      <c r="AF108" s="486">
        <f t="shared" si="95"/>
        <v>-26201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23"/>
        <v>0</v>
      </c>
      <c r="AM108" s="501">
        <f t="shared" si="124"/>
        <v>0</v>
      </c>
      <c r="AN108" s="529">
        <f t="shared" si="96"/>
        <v>0</v>
      </c>
      <c r="AO108" s="530">
        <f>I108+AF108</f>
        <v>3699046</v>
      </c>
      <c r="AP108" s="486">
        <f>J108+V108</f>
        <v>2717817</v>
      </c>
      <c r="AQ108" s="486">
        <f>K108+Y108</f>
        <v>0</v>
      </c>
      <c r="AR108" s="486">
        <f>L108</f>
        <v>0</v>
      </c>
      <c r="AS108" s="486">
        <f t="shared" si="125"/>
        <v>918623</v>
      </c>
      <c r="AT108" s="486">
        <f t="shared" si="125"/>
        <v>54356</v>
      </c>
      <c r="AU108" s="486">
        <f>O108+AE108</f>
        <v>8250</v>
      </c>
      <c r="AV108" s="501">
        <f>P108+AN108</f>
        <v>7.52</v>
      </c>
      <c r="AW108" s="501">
        <f t="shared" si="126"/>
        <v>7.52</v>
      </c>
      <c r="AX108" s="502">
        <f t="shared" si="126"/>
        <v>0</v>
      </c>
    </row>
    <row r="109" spans="1:50" s="695" customFormat="1" ht="12.75" customHeight="1" x14ac:dyDescent="0.2">
      <c r="A109" s="697">
        <v>25</v>
      </c>
      <c r="B109" s="698">
        <v>3411</v>
      </c>
      <c r="C109" s="698">
        <v>600078400</v>
      </c>
      <c r="D109" s="698">
        <v>72742950</v>
      </c>
      <c r="E109" s="699" t="s">
        <v>57</v>
      </c>
      <c r="F109" s="698">
        <v>3141</v>
      </c>
      <c r="G109" s="700" t="s">
        <v>321</v>
      </c>
      <c r="H109" s="701" t="s">
        <v>284</v>
      </c>
      <c r="I109" s="495">
        <v>3161893</v>
      </c>
      <c r="J109" s="496">
        <v>2306905</v>
      </c>
      <c r="K109" s="475">
        <v>0</v>
      </c>
      <c r="L109" s="475">
        <v>0</v>
      </c>
      <c r="M109" s="319">
        <v>779734</v>
      </c>
      <c r="N109" s="319">
        <v>46138</v>
      </c>
      <c r="O109" s="496">
        <v>29116</v>
      </c>
      <c r="P109" s="497">
        <v>7.85</v>
      </c>
      <c r="Q109" s="412">
        <v>0</v>
      </c>
      <c r="R109" s="498">
        <v>7.85</v>
      </c>
      <c r="S109" s="530">
        <f t="shared" si="122"/>
        <v>0</v>
      </c>
      <c r="T109" s="486">
        <v>0</v>
      </c>
      <c r="U109" s="486">
        <v>0</v>
      </c>
      <c r="V109" s="486">
        <f>SUM(S109:U109)</f>
        <v>0</v>
      </c>
      <c r="W109" s="486">
        <v>0</v>
      </c>
      <c r="X109" s="486">
        <v>0</v>
      </c>
      <c r="Y109" s="486">
        <f>SUM(W109:X109)</f>
        <v>0</v>
      </c>
      <c r="Z109" s="486">
        <f>V109+Y109</f>
        <v>0</v>
      </c>
      <c r="AA109" s="319">
        <f>ROUND((V109+W109)*33.8%,0)</f>
        <v>0</v>
      </c>
      <c r="AB109" s="178">
        <f>ROUND(V109*2%,0)</f>
        <v>0</v>
      </c>
      <c r="AC109" s="486">
        <v>0</v>
      </c>
      <c r="AD109" s="486">
        <v>0</v>
      </c>
      <c r="AE109" s="486">
        <f t="shared" si="94"/>
        <v>0</v>
      </c>
      <c r="AF109" s="486">
        <f t="shared" si="95"/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123"/>
        <v>0</v>
      </c>
      <c r="AM109" s="501">
        <f t="shared" si="124"/>
        <v>0</v>
      </c>
      <c r="AN109" s="529">
        <f t="shared" si="96"/>
        <v>0</v>
      </c>
      <c r="AO109" s="530">
        <f>I109+AF109</f>
        <v>3161893</v>
      </c>
      <c r="AP109" s="486">
        <f>J109+V109</f>
        <v>2306905</v>
      </c>
      <c r="AQ109" s="486">
        <f>K109+Y109</f>
        <v>0</v>
      </c>
      <c r="AR109" s="486">
        <f>L109</f>
        <v>0</v>
      </c>
      <c r="AS109" s="486">
        <f t="shared" si="125"/>
        <v>779734</v>
      </c>
      <c r="AT109" s="486">
        <f t="shared" si="125"/>
        <v>46138</v>
      </c>
      <c r="AU109" s="486">
        <f>O109+AE109</f>
        <v>29116</v>
      </c>
      <c r="AV109" s="501">
        <f>P109+AN109</f>
        <v>7.85</v>
      </c>
      <c r="AW109" s="501">
        <f t="shared" si="126"/>
        <v>0</v>
      </c>
      <c r="AX109" s="502">
        <f t="shared" si="126"/>
        <v>7.85</v>
      </c>
    </row>
    <row r="110" spans="1:50" s="695" customFormat="1" ht="12.75" customHeight="1" x14ac:dyDescent="0.2">
      <c r="A110" s="697">
        <v>25</v>
      </c>
      <c r="B110" s="698">
        <v>3411</v>
      </c>
      <c r="C110" s="698">
        <v>600078400</v>
      </c>
      <c r="D110" s="698">
        <v>72742950</v>
      </c>
      <c r="E110" s="699" t="s">
        <v>57</v>
      </c>
      <c r="F110" s="698">
        <v>3143</v>
      </c>
      <c r="G110" s="700" t="s">
        <v>634</v>
      </c>
      <c r="H110" s="701" t="s">
        <v>283</v>
      </c>
      <c r="I110" s="495">
        <v>2616404</v>
      </c>
      <c r="J110" s="496">
        <v>1926660</v>
      </c>
      <c r="K110" s="475">
        <v>0</v>
      </c>
      <c r="L110" s="475">
        <v>0</v>
      </c>
      <c r="M110" s="319">
        <v>651211</v>
      </c>
      <c r="N110" s="319">
        <v>38533</v>
      </c>
      <c r="O110" s="496">
        <v>0</v>
      </c>
      <c r="P110" s="497">
        <v>4</v>
      </c>
      <c r="Q110" s="412">
        <v>4</v>
      </c>
      <c r="R110" s="498">
        <v>0</v>
      </c>
      <c r="S110" s="530">
        <f t="shared" si="122"/>
        <v>0</v>
      </c>
      <c r="T110" s="486">
        <v>0</v>
      </c>
      <c r="U110" s="486">
        <v>0</v>
      </c>
      <c r="V110" s="486">
        <f>SUM(S110:U110)</f>
        <v>0</v>
      </c>
      <c r="W110" s="486">
        <v>0</v>
      </c>
      <c r="X110" s="486">
        <v>0</v>
      </c>
      <c r="Y110" s="486">
        <f>SUM(W110:X110)</f>
        <v>0</v>
      </c>
      <c r="Z110" s="486">
        <f>V110+Y110</f>
        <v>0</v>
      </c>
      <c r="AA110" s="319">
        <f>ROUND((V110+W110)*33.8%,0)</f>
        <v>0</v>
      </c>
      <c r="AB110" s="178">
        <f>ROUND(V110*2%,0)</f>
        <v>0</v>
      </c>
      <c r="AC110" s="486">
        <v>0</v>
      </c>
      <c r="AD110" s="486">
        <v>0</v>
      </c>
      <c r="AE110" s="486">
        <f t="shared" si="94"/>
        <v>0</v>
      </c>
      <c r="AF110" s="486">
        <f t="shared" si="95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si="123"/>
        <v>0</v>
      </c>
      <c r="AM110" s="501">
        <f t="shared" si="124"/>
        <v>0</v>
      </c>
      <c r="AN110" s="529">
        <f t="shared" si="96"/>
        <v>0</v>
      </c>
      <c r="AO110" s="530">
        <f>I110+AF110</f>
        <v>2616404</v>
      </c>
      <c r="AP110" s="486">
        <f>J110+V110</f>
        <v>1926660</v>
      </c>
      <c r="AQ110" s="486">
        <f>K110+Y110</f>
        <v>0</v>
      </c>
      <c r="AR110" s="486">
        <f>L110</f>
        <v>0</v>
      </c>
      <c r="AS110" s="486">
        <f t="shared" si="125"/>
        <v>651211</v>
      </c>
      <c r="AT110" s="486">
        <f t="shared" si="125"/>
        <v>38533</v>
      </c>
      <c r="AU110" s="486">
        <f>O110+AE110</f>
        <v>0</v>
      </c>
      <c r="AV110" s="501">
        <f>P110+AN110</f>
        <v>4</v>
      </c>
      <c r="AW110" s="501">
        <f t="shared" si="126"/>
        <v>4</v>
      </c>
      <c r="AX110" s="502">
        <f t="shared" si="126"/>
        <v>0</v>
      </c>
    </row>
    <row r="111" spans="1:50" s="695" customFormat="1" ht="12.75" customHeight="1" x14ac:dyDescent="0.2">
      <c r="A111" s="697">
        <v>25</v>
      </c>
      <c r="B111" s="698">
        <v>3411</v>
      </c>
      <c r="C111" s="698">
        <v>600078400</v>
      </c>
      <c r="D111" s="698">
        <v>72742950</v>
      </c>
      <c r="E111" s="699" t="s">
        <v>57</v>
      </c>
      <c r="F111" s="698">
        <v>3143</v>
      </c>
      <c r="G111" s="700" t="s">
        <v>635</v>
      </c>
      <c r="H111" s="701" t="s">
        <v>284</v>
      </c>
      <c r="I111" s="495">
        <v>94097</v>
      </c>
      <c r="J111" s="496">
        <v>66330</v>
      </c>
      <c r="K111" s="475">
        <v>0</v>
      </c>
      <c r="L111" s="475">
        <v>0</v>
      </c>
      <c r="M111" s="319">
        <v>22420</v>
      </c>
      <c r="N111" s="319">
        <v>1327</v>
      </c>
      <c r="O111" s="496">
        <v>4020</v>
      </c>
      <c r="P111" s="497">
        <v>0.28000000000000003</v>
      </c>
      <c r="Q111" s="412">
        <v>0</v>
      </c>
      <c r="R111" s="498">
        <v>0.28000000000000003</v>
      </c>
      <c r="S111" s="530">
        <f t="shared" si="122"/>
        <v>0</v>
      </c>
      <c r="T111" s="486">
        <v>0</v>
      </c>
      <c r="U111" s="486">
        <v>0</v>
      </c>
      <c r="V111" s="486">
        <f>SUM(S111:U111)</f>
        <v>0</v>
      </c>
      <c r="W111" s="486">
        <v>0</v>
      </c>
      <c r="X111" s="486">
        <v>0</v>
      </c>
      <c r="Y111" s="486">
        <f>SUM(W111:X111)</f>
        <v>0</v>
      </c>
      <c r="Z111" s="486">
        <f>V111+Y111</f>
        <v>0</v>
      </c>
      <c r="AA111" s="319">
        <f>ROUND((V111+W111)*33.8%,0)</f>
        <v>0</v>
      </c>
      <c r="AB111" s="178">
        <f>ROUND(V111*2%,0)</f>
        <v>0</v>
      </c>
      <c r="AC111" s="486">
        <v>0</v>
      </c>
      <c r="AD111" s="486">
        <v>0</v>
      </c>
      <c r="AE111" s="486">
        <f t="shared" si="94"/>
        <v>0</v>
      </c>
      <c r="AF111" s="486">
        <f t="shared" si="95"/>
        <v>0</v>
      </c>
      <c r="AG111" s="501">
        <v>0</v>
      </c>
      <c r="AH111" s="501">
        <v>0</v>
      </c>
      <c r="AI111" s="501">
        <v>0</v>
      </c>
      <c r="AJ111" s="501">
        <v>0</v>
      </c>
      <c r="AK111" s="501">
        <v>0</v>
      </c>
      <c r="AL111" s="501">
        <f t="shared" si="123"/>
        <v>0</v>
      </c>
      <c r="AM111" s="501">
        <f t="shared" si="124"/>
        <v>0</v>
      </c>
      <c r="AN111" s="529">
        <f t="shared" si="96"/>
        <v>0</v>
      </c>
      <c r="AO111" s="530">
        <f>I111+AF111</f>
        <v>94097</v>
      </c>
      <c r="AP111" s="486">
        <f>J111+V111</f>
        <v>66330</v>
      </c>
      <c r="AQ111" s="486">
        <f>K111+Y111</f>
        <v>0</v>
      </c>
      <c r="AR111" s="486">
        <f>L111</f>
        <v>0</v>
      </c>
      <c r="AS111" s="486">
        <f t="shared" si="125"/>
        <v>22420</v>
      </c>
      <c r="AT111" s="486">
        <f t="shared" si="125"/>
        <v>1327</v>
      </c>
      <c r="AU111" s="486">
        <f>O111+AE111</f>
        <v>4020</v>
      </c>
      <c r="AV111" s="501">
        <f>P111+AN111</f>
        <v>0.28000000000000003</v>
      </c>
      <c r="AW111" s="501">
        <f t="shared" si="126"/>
        <v>0</v>
      </c>
      <c r="AX111" s="502">
        <f t="shared" si="126"/>
        <v>0.28000000000000003</v>
      </c>
    </row>
    <row r="112" spans="1:50" s="695" customFormat="1" ht="12.75" customHeight="1" x14ac:dyDescent="0.2">
      <c r="A112" s="279">
        <v>25</v>
      </c>
      <c r="B112" s="21">
        <v>3411</v>
      </c>
      <c r="C112" s="277">
        <v>600078400</v>
      </c>
      <c r="D112" s="277">
        <v>72742950</v>
      </c>
      <c r="E112" s="696" t="s">
        <v>58</v>
      </c>
      <c r="F112" s="21"/>
      <c r="G112" s="278"/>
      <c r="H112" s="749"/>
      <c r="I112" s="29">
        <v>38920780</v>
      </c>
      <c r="J112" s="266">
        <v>27657353</v>
      </c>
      <c r="K112" s="266">
        <v>210308</v>
      </c>
      <c r="L112" s="266">
        <v>210308</v>
      </c>
      <c r="M112" s="266">
        <v>9348186</v>
      </c>
      <c r="N112" s="266">
        <v>553147</v>
      </c>
      <c r="O112" s="266">
        <v>1151786</v>
      </c>
      <c r="P112" s="750">
        <v>58.443800000000003</v>
      </c>
      <c r="Q112" s="750">
        <v>41.474400000000003</v>
      </c>
      <c r="R112" s="751">
        <v>16.9694</v>
      </c>
      <c r="S112" s="29">
        <f t="shared" ref="S112:AX112" si="127">SUM(S107:S111)</f>
        <v>0</v>
      </c>
      <c r="T112" s="22">
        <f t="shared" si="127"/>
        <v>-19294</v>
      </c>
      <c r="U112" s="22">
        <f t="shared" si="127"/>
        <v>0</v>
      </c>
      <c r="V112" s="22">
        <f t="shared" si="127"/>
        <v>-19294</v>
      </c>
      <c r="W112" s="22">
        <f t="shared" si="127"/>
        <v>0</v>
      </c>
      <c r="X112" s="22">
        <f t="shared" si="127"/>
        <v>0</v>
      </c>
      <c r="Y112" s="22">
        <f t="shared" si="127"/>
        <v>0</v>
      </c>
      <c r="Z112" s="22">
        <f t="shared" si="127"/>
        <v>-19294</v>
      </c>
      <c r="AA112" s="22">
        <f t="shared" si="127"/>
        <v>-6521</v>
      </c>
      <c r="AB112" s="22">
        <f t="shared" si="127"/>
        <v>-386</v>
      </c>
      <c r="AC112" s="22">
        <f t="shared" si="127"/>
        <v>0</v>
      </c>
      <c r="AD112" s="22">
        <f t="shared" si="127"/>
        <v>0</v>
      </c>
      <c r="AE112" s="22">
        <f t="shared" si="127"/>
        <v>0</v>
      </c>
      <c r="AF112" s="22">
        <f t="shared" si="127"/>
        <v>-26201</v>
      </c>
      <c r="AG112" s="23">
        <f t="shared" si="127"/>
        <v>0</v>
      </c>
      <c r="AH112" s="23">
        <f t="shared" si="127"/>
        <v>0</v>
      </c>
      <c r="AI112" s="23">
        <f t="shared" si="127"/>
        <v>0</v>
      </c>
      <c r="AJ112" s="23">
        <f t="shared" si="127"/>
        <v>0</v>
      </c>
      <c r="AK112" s="23">
        <f t="shared" si="127"/>
        <v>0</v>
      </c>
      <c r="AL112" s="23">
        <f t="shared" si="127"/>
        <v>0</v>
      </c>
      <c r="AM112" s="23">
        <f t="shared" si="127"/>
        <v>0</v>
      </c>
      <c r="AN112" s="752">
        <f t="shared" si="127"/>
        <v>0</v>
      </c>
      <c r="AO112" s="29">
        <f t="shared" si="127"/>
        <v>38894579</v>
      </c>
      <c r="AP112" s="22">
        <f t="shared" si="127"/>
        <v>27638059</v>
      </c>
      <c r="AQ112" s="22">
        <f t="shared" si="127"/>
        <v>210308</v>
      </c>
      <c r="AR112" s="67">
        <f t="shared" si="127"/>
        <v>210308</v>
      </c>
      <c r="AS112" s="22">
        <f t="shared" si="127"/>
        <v>9341665</v>
      </c>
      <c r="AT112" s="22">
        <f t="shared" si="127"/>
        <v>552761</v>
      </c>
      <c r="AU112" s="22">
        <f t="shared" si="127"/>
        <v>1151786</v>
      </c>
      <c r="AV112" s="23">
        <f t="shared" si="127"/>
        <v>58.443800000000003</v>
      </c>
      <c r="AW112" s="23">
        <f t="shared" si="127"/>
        <v>41.474400000000003</v>
      </c>
      <c r="AX112" s="55">
        <f t="shared" si="127"/>
        <v>16.9694</v>
      </c>
    </row>
    <row r="113" spans="1:50" s="695" customFormat="1" ht="12.75" customHeight="1" x14ac:dyDescent="0.2">
      <c r="A113" s="697">
        <v>26</v>
      </c>
      <c r="B113" s="698">
        <v>3408</v>
      </c>
      <c r="C113" s="698">
        <v>600078566</v>
      </c>
      <c r="D113" s="698">
        <v>72743115</v>
      </c>
      <c r="E113" s="699" t="s">
        <v>59</v>
      </c>
      <c r="F113" s="698">
        <v>3113</v>
      </c>
      <c r="G113" s="700" t="s">
        <v>320</v>
      </c>
      <c r="H113" s="701" t="s">
        <v>283</v>
      </c>
      <c r="I113" s="495">
        <v>18068206</v>
      </c>
      <c r="J113" s="496">
        <v>12873316</v>
      </c>
      <c r="K113" s="496">
        <v>37444</v>
      </c>
      <c r="L113" s="496">
        <v>37444</v>
      </c>
      <c r="M113" s="496">
        <v>4351180</v>
      </c>
      <c r="N113" s="496">
        <v>257466</v>
      </c>
      <c r="O113" s="496">
        <v>548800</v>
      </c>
      <c r="P113" s="497">
        <v>23.947700000000001</v>
      </c>
      <c r="Q113" s="412">
        <v>18.11</v>
      </c>
      <c r="R113" s="498">
        <v>5.8377000000000017</v>
      </c>
      <c r="S113" s="530">
        <f t="shared" ref="S113:S117" si="128">W113*-1</f>
        <v>0</v>
      </c>
      <c r="T113" s="486">
        <v>0</v>
      </c>
      <c r="U113" s="486">
        <v>0</v>
      </c>
      <c r="V113" s="486">
        <f>SUM(S113:U113)</f>
        <v>0</v>
      </c>
      <c r="W113" s="486">
        <v>0</v>
      </c>
      <c r="X113" s="486">
        <v>0</v>
      </c>
      <c r="Y113" s="486">
        <f>SUM(W113:X113)</f>
        <v>0</v>
      </c>
      <c r="Z113" s="486">
        <f>V113+Y113</f>
        <v>0</v>
      </c>
      <c r="AA113" s="319">
        <f>ROUND((V113+W113)*33.8%,0)</f>
        <v>0</v>
      </c>
      <c r="AB113" s="178">
        <f>ROUND(V113*2%,0)</f>
        <v>0</v>
      </c>
      <c r="AC113" s="486">
        <v>0</v>
      </c>
      <c r="AD113" s="486">
        <v>0</v>
      </c>
      <c r="AE113" s="486">
        <f t="shared" si="94"/>
        <v>0</v>
      </c>
      <c r="AF113" s="486">
        <f t="shared" si="95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ref="AL113:AL117" si="129">AG113+AI113+AJ113</f>
        <v>0</v>
      </c>
      <c r="AM113" s="501">
        <f t="shared" ref="AM113:AM117" si="130">AH113+AK113</f>
        <v>0</v>
      </c>
      <c r="AN113" s="529">
        <f t="shared" si="96"/>
        <v>0</v>
      </c>
      <c r="AO113" s="530">
        <f>I113+AF113</f>
        <v>18068206</v>
      </c>
      <c r="AP113" s="486">
        <f>J113+V113</f>
        <v>12873316</v>
      </c>
      <c r="AQ113" s="486">
        <f>K113+Y113</f>
        <v>37444</v>
      </c>
      <c r="AR113" s="486">
        <f>L113</f>
        <v>37444</v>
      </c>
      <c r="AS113" s="486">
        <f t="shared" ref="AS113:AT117" si="131">M113+AA113</f>
        <v>4351180</v>
      </c>
      <c r="AT113" s="486">
        <f t="shared" si="131"/>
        <v>257466</v>
      </c>
      <c r="AU113" s="486">
        <f>O113+AE113</f>
        <v>548800</v>
      </c>
      <c r="AV113" s="501">
        <f>P113+AN113</f>
        <v>23.947700000000001</v>
      </c>
      <c r="AW113" s="501">
        <f t="shared" ref="AW113:AX117" si="132">Q113+AL113</f>
        <v>18.11</v>
      </c>
      <c r="AX113" s="502">
        <f t="shared" si="132"/>
        <v>5.8377000000000017</v>
      </c>
    </row>
    <row r="114" spans="1:50" s="695" customFormat="1" x14ac:dyDescent="0.2">
      <c r="A114" s="697">
        <v>26</v>
      </c>
      <c r="B114" s="698">
        <v>3408</v>
      </c>
      <c r="C114" s="698">
        <v>600078566</v>
      </c>
      <c r="D114" s="698">
        <v>72743115</v>
      </c>
      <c r="E114" s="699" t="s">
        <v>59</v>
      </c>
      <c r="F114" s="698">
        <v>3113</v>
      </c>
      <c r="G114" s="700" t="s">
        <v>318</v>
      </c>
      <c r="H114" s="701" t="s">
        <v>284</v>
      </c>
      <c r="I114" s="495">
        <v>1402240</v>
      </c>
      <c r="J114" s="496">
        <v>1032577</v>
      </c>
      <c r="K114" s="475">
        <v>0</v>
      </c>
      <c r="L114" s="475">
        <v>0</v>
      </c>
      <c r="M114" s="319">
        <v>349011</v>
      </c>
      <c r="N114" s="319">
        <v>20652</v>
      </c>
      <c r="O114" s="496">
        <v>0</v>
      </c>
      <c r="P114" s="497">
        <v>2.7399999999999998</v>
      </c>
      <c r="Q114" s="412">
        <v>2.7399999999999998</v>
      </c>
      <c r="R114" s="498">
        <v>0</v>
      </c>
      <c r="S114" s="530">
        <f t="shared" si="128"/>
        <v>0</v>
      </c>
      <c r="T114" s="486">
        <v>0</v>
      </c>
      <c r="U114" s="486">
        <v>0</v>
      </c>
      <c r="V114" s="486">
        <f>SUM(S114:U114)</f>
        <v>0</v>
      </c>
      <c r="W114" s="486">
        <v>0</v>
      </c>
      <c r="X114" s="486">
        <v>0</v>
      </c>
      <c r="Y114" s="486">
        <f>SUM(W114:X114)</f>
        <v>0</v>
      </c>
      <c r="Z114" s="486">
        <f>V114+Y114</f>
        <v>0</v>
      </c>
      <c r="AA114" s="319">
        <f>ROUND((V114+W114)*33.8%,0)</f>
        <v>0</v>
      </c>
      <c r="AB114" s="178">
        <f>ROUND(V114*2%,0)</f>
        <v>0</v>
      </c>
      <c r="AC114" s="486">
        <v>0</v>
      </c>
      <c r="AD114" s="486">
        <v>0</v>
      </c>
      <c r="AE114" s="486">
        <f t="shared" si="94"/>
        <v>0</v>
      </c>
      <c r="AF114" s="486">
        <f t="shared" si="95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si="129"/>
        <v>0</v>
      </c>
      <c r="AM114" s="501">
        <f t="shared" si="130"/>
        <v>0</v>
      </c>
      <c r="AN114" s="529">
        <f t="shared" si="96"/>
        <v>0</v>
      </c>
      <c r="AO114" s="530">
        <f>I114+AF114</f>
        <v>1402240</v>
      </c>
      <c r="AP114" s="486">
        <f>J114+V114</f>
        <v>1032577</v>
      </c>
      <c r="AQ114" s="486">
        <f>K114+Y114</f>
        <v>0</v>
      </c>
      <c r="AR114" s="486">
        <f>L114</f>
        <v>0</v>
      </c>
      <c r="AS114" s="486">
        <f t="shared" si="131"/>
        <v>349011</v>
      </c>
      <c r="AT114" s="486">
        <f t="shared" si="131"/>
        <v>20652</v>
      </c>
      <c r="AU114" s="486">
        <f>O114+AE114</f>
        <v>0</v>
      </c>
      <c r="AV114" s="501">
        <f>P114+AN114</f>
        <v>2.7399999999999998</v>
      </c>
      <c r="AW114" s="501">
        <f t="shared" si="132"/>
        <v>2.7399999999999998</v>
      </c>
      <c r="AX114" s="502">
        <f t="shared" si="132"/>
        <v>0</v>
      </c>
    </row>
    <row r="115" spans="1:50" s="695" customFormat="1" ht="12.75" customHeight="1" x14ac:dyDescent="0.2">
      <c r="A115" s="697">
        <v>26</v>
      </c>
      <c r="B115" s="698">
        <v>3408</v>
      </c>
      <c r="C115" s="698">
        <v>600078566</v>
      </c>
      <c r="D115" s="698">
        <v>72743115</v>
      </c>
      <c r="E115" s="699" t="s">
        <v>59</v>
      </c>
      <c r="F115" s="698">
        <v>3141</v>
      </c>
      <c r="G115" s="700" t="s">
        <v>321</v>
      </c>
      <c r="H115" s="701" t="s">
        <v>284</v>
      </c>
      <c r="I115" s="495">
        <v>1540772</v>
      </c>
      <c r="J115" s="496">
        <v>1124765</v>
      </c>
      <c r="K115" s="475">
        <v>0</v>
      </c>
      <c r="L115" s="475">
        <v>0</v>
      </c>
      <c r="M115" s="319">
        <v>380171</v>
      </c>
      <c r="N115" s="319">
        <v>22496</v>
      </c>
      <c r="O115" s="496">
        <v>13340</v>
      </c>
      <c r="P115" s="497">
        <v>3.8200000000000003</v>
      </c>
      <c r="Q115" s="412">
        <v>0</v>
      </c>
      <c r="R115" s="498">
        <v>3.8200000000000003</v>
      </c>
      <c r="S115" s="530">
        <f t="shared" si="128"/>
        <v>0</v>
      </c>
      <c r="T115" s="486">
        <v>0</v>
      </c>
      <c r="U115" s="486">
        <v>0</v>
      </c>
      <c r="V115" s="486">
        <f>SUM(S115:U115)</f>
        <v>0</v>
      </c>
      <c r="W115" s="486">
        <v>0</v>
      </c>
      <c r="X115" s="486">
        <v>0</v>
      </c>
      <c r="Y115" s="486">
        <f>SUM(W115:X115)</f>
        <v>0</v>
      </c>
      <c r="Z115" s="486">
        <f>V115+Y115</f>
        <v>0</v>
      </c>
      <c r="AA115" s="319">
        <f>ROUND((V115+W115)*33.8%,0)</f>
        <v>0</v>
      </c>
      <c r="AB115" s="178">
        <f>ROUND(V115*2%,0)</f>
        <v>0</v>
      </c>
      <c r="AC115" s="486">
        <v>0</v>
      </c>
      <c r="AD115" s="486">
        <v>0</v>
      </c>
      <c r="AE115" s="486">
        <f t="shared" si="94"/>
        <v>0</v>
      </c>
      <c r="AF115" s="486">
        <f t="shared" si="95"/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si="129"/>
        <v>0</v>
      </c>
      <c r="AM115" s="501">
        <f t="shared" si="130"/>
        <v>0</v>
      </c>
      <c r="AN115" s="529">
        <f t="shared" si="96"/>
        <v>0</v>
      </c>
      <c r="AO115" s="530">
        <f>I115+AF115</f>
        <v>1540772</v>
      </c>
      <c r="AP115" s="486">
        <f>J115+V115</f>
        <v>1124765</v>
      </c>
      <c r="AQ115" s="486">
        <f>K115+Y115</f>
        <v>0</v>
      </c>
      <c r="AR115" s="486">
        <f>L115</f>
        <v>0</v>
      </c>
      <c r="AS115" s="486">
        <f t="shared" si="131"/>
        <v>380171</v>
      </c>
      <c r="AT115" s="486">
        <f t="shared" si="131"/>
        <v>22496</v>
      </c>
      <c r="AU115" s="486">
        <f>O115+AE115</f>
        <v>13340</v>
      </c>
      <c r="AV115" s="501">
        <f>P115+AN115</f>
        <v>3.8200000000000003</v>
      </c>
      <c r="AW115" s="501">
        <f t="shared" si="132"/>
        <v>0</v>
      </c>
      <c r="AX115" s="502">
        <f t="shared" si="132"/>
        <v>3.8200000000000003</v>
      </c>
    </row>
    <row r="116" spans="1:50" s="695" customFormat="1" ht="12.75" customHeight="1" x14ac:dyDescent="0.2">
      <c r="A116" s="697">
        <v>26</v>
      </c>
      <c r="B116" s="698">
        <v>3408</v>
      </c>
      <c r="C116" s="698">
        <v>600078566</v>
      </c>
      <c r="D116" s="698">
        <v>72743115</v>
      </c>
      <c r="E116" s="699" t="s">
        <v>59</v>
      </c>
      <c r="F116" s="698">
        <v>3143</v>
      </c>
      <c r="G116" s="700" t="s">
        <v>634</v>
      </c>
      <c r="H116" s="701" t="s">
        <v>283</v>
      </c>
      <c r="I116" s="495">
        <v>1609478</v>
      </c>
      <c r="J116" s="496">
        <v>1185182</v>
      </c>
      <c r="K116" s="475">
        <v>0</v>
      </c>
      <c r="L116" s="475">
        <v>0</v>
      </c>
      <c r="M116" s="319">
        <v>400592</v>
      </c>
      <c r="N116" s="319">
        <v>23704</v>
      </c>
      <c r="O116" s="496">
        <v>0</v>
      </c>
      <c r="P116" s="497">
        <v>2.5929000000000002</v>
      </c>
      <c r="Q116" s="412">
        <v>2.5929000000000002</v>
      </c>
      <c r="R116" s="498">
        <v>0</v>
      </c>
      <c r="S116" s="530">
        <f t="shared" si="128"/>
        <v>0</v>
      </c>
      <c r="T116" s="486">
        <v>0</v>
      </c>
      <c r="U116" s="486">
        <v>0</v>
      </c>
      <c r="V116" s="486">
        <f>SUM(S116:U116)</f>
        <v>0</v>
      </c>
      <c r="W116" s="486">
        <v>0</v>
      </c>
      <c r="X116" s="486">
        <v>0</v>
      </c>
      <c r="Y116" s="486">
        <f>SUM(W116:X116)</f>
        <v>0</v>
      </c>
      <c r="Z116" s="486">
        <f>V116+Y116</f>
        <v>0</v>
      </c>
      <c r="AA116" s="319">
        <f>ROUND((V116+W116)*33.8%,0)</f>
        <v>0</v>
      </c>
      <c r="AB116" s="178">
        <f>ROUND(V116*2%,0)</f>
        <v>0</v>
      </c>
      <c r="AC116" s="486">
        <v>0</v>
      </c>
      <c r="AD116" s="486">
        <v>0</v>
      </c>
      <c r="AE116" s="486">
        <f t="shared" si="94"/>
        <v>0</v>
      </c>
      <c r="AF116" s="486">
        <f t="shared" si="95"/>
        <v>0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si="129"/>
        <v>0</v>
      </c>
      <c r="AM116" s="501">
        <f t="shared" si="130"/>
        <v>0</v>
      </c>
      <c r="AN116" s="529">
        <f t="shared" si="96"/>
        <v>0</v>
      </c>
      <c r="AO116" s="530">
        <f>I116+AF116</f>
        <v>1609478</v>
      </c>
      <c r="AP116" s="486">
        <f>J116+V116</f>
        <v>1185182</v>
      </c>
      <c r="AQ116" s="486">
        <f>K116+Y116</f>
        <v>0</v>
      </c>
      <c r="AR116" s="486">
        <f>L116</f>
        <v>0</v>
      </c>
      <c r="AS116" s="486">
        <f t="shared" si="131"/>
        <v>400592</v>
      </c>
      <c r="AT116" s="486">
        <f t="shared" si="131"/>
        <v>23704</v>
      </c>
      <c r="AU116" s="486">
        <f>O116+AE116</f>
        <v>0</v>
      </c>
      <c r="AV116" s="501">
        <f>P116+AN116</f>
        <v>2.5929000000000002</v>
      </c>
      <c r="AW116" s="501">
        <f t="shared" si="132"/>
        <v>2.5929000000000002</v>
      </c>
      <c r="AX116" s="502">
        <f t="shared" si="132"/>
        <v>0</v>
      </c>
    </row>
    <row r="117" spans="1:50" s="695" customFormat="1" ht="12.75" customHeight="1" x14ac:dyDescent="0.2">
      <c r="A117" s="697">
        <v>26</v>
      </c>
      <c r="B117" s="698">
        <v>3408</v>
      </c>
      <c r="C117" s="698">
        <v>600078566</v>
      </c>
      <c r="D117" s="698">
        <v>72743115</v>
      </c>
      <c r="E117" s="699" t="s">
        <v>59</v>
      </c>
      <c r="F117" s="698">
        <v>3143</v>
      </c>
      <c r="G117" s="700" t="s">
        <v>635</v>
      </c>
      <c r="H117" s="701" t="s">
        <v>284</v>
      </c>
      <c r="I117" s="495">
        <v>47048</v>
      </c>
      <c r="J117" s="496">
        <v>33165</v>
      </c>
      <c r="K117" s="475">
        <v>0</v>
      </c>
      <c r="L117" s="475">
        <v>0</v>
      </c>
      <c r="M117" s="319">
        <v>11210</v>
      </c>
      <c r="N117" s="319">
        <v>663</v>
      </c>
      <c r="O117" s="496">
        <v>2010</v>
      </c>
      <c r="P117" s="497">
        <v>0.14000000000000001</v>
      </c>
      <c r="Q117" s="412">
        <v>0</v>
      </c>
      <c r="R117" s="498">
        <v>0.14000000000000001</v>
      </c>
      <c r="S117" s="530">
        <f t="shared" si="128"/>
        <v>0</v>
      </c>
      <c r="T117" s="486">
        <v>0</v>
      </c>
      <c r="U117" s="486">
        <v>0</v>
      </c>
      <c r="V117" s="486">
        <f>SUM(S117:U117)</f>
        <v>0</v>
      </c>
      <c r="W117" s="486">
        <v>0</v>
      </c>
      <c r="X117" s="486">
        <v>0</v>
      </c>
      <c r="Y117" s="486">
        <f>SUM(W117:X117)</f>
        <v>0</v>
      </c>
      <c r="Z117" s="486">
        <f>V117+Y117</f>
        <v>0</v>
      </c>
      <c r="AA117" s="319">
        <f>ROUND((V117+W117)*33.8%,0)</f>
        <v>0</v>
      </c>
      <c r="AB117" s="178">
        <f>ROUND(V117*2%,0)</f>
        <v>0</v>
      </c>
      <c r="AC117" s="486">
        <v>0</v>
      </c>
      <c r="AD117" s="486">
        <v>0</v>
      </c>
      <c r="AE117" s="486">
        <f t="shared" si="94"/>
        <v>0</v>
      </c>
      <c r="AF117" s="486">
        <f t="shared" si="95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si="129"/>
        <v>0</v>
      </c>
      <c r="AM117" s="501">
        <f t="shared" si="130"/>
        <v>0</v>
      </c>
      <c r="AN117" s="529">
        <f t="shared" si="96"/>
        <v>0</v>
      </c>
      <c r="AO117" s="530">
        <f>I117+AF117</f>
        <v>47048</v>
      </c>
      <c r="AP117" s="486">
        <f>J117+V117</f>
        <v>33165</v>
      </c>
      <c r="AQ117" s="486">
        <f>K117+Y117</f>
        <v>0</v>
      </c>
      <c r="AR117" s="486">
        <f>L117</f>
        <v>0</v>
      </c>
      <c r="AS117" s="486">
        <f t="shared" si="131"/>
        <v>11210</v>
      </c>
      <c r="AT117" s="486">
        <f t="shared" si="131"/>
        <v>663</v>
      </c>
      <c r="AU117" s="486">
        <f>O117+AE117</f>
        <v>2010</v>
      </c>
      <c r="AV117" s="501">
        <f>P117+AN117</f>
        <v>0.14000000000000001</v>
      </c>
      <c r="AW117" s="501">
        <f t="shared" si="132"/>
        <v>0</v>
      </c>
      <c r="AX117" s="502">
        <f t="shared" si="132"/>
        <v>0.14000000000000001</v>
      </c>
    </row>
    <row r="118" spans="1:50" s="695" customFormat="1" ht="12.75" customHeight="1" x14ac:dyDescent="0.2">
      <c r="A118" s="279">
        <v>26</v>
      </c>
      <c r="B118" s="21">
        <v>3408</v>
      </c>
      <c r="C118" s="277">
        <v>600078566</v>
      </c>
      <c r="D118" s="277">
        <v>72743115</v>
      </c>
      <c r="E118" s="696" t="s">
        <v>60</v>
      </c>
      <c r="F118" s="21"/>
      <c r="G118" s="278"/>
      <c r="H118" s="749"/>
      <c r="I118" s="29">
        <v>22667744</v>
      </c>
      <c r="J118" s="266">
        <v>16249005</v>
      </c>
      <c r="K118" s="266">
        <v>37444</v>
      </c>
      <c r="L118" s="266">
        <v>37444</v>
      </c>
      <c r="M118" s="266">
        <v>5492164</v>
      </c>
      <c r="N118" s="266">
        <v>324981</v>
      </c>
      <c r="O118" s="266">
        <v>564150</v>
      </c>
      <c r="P118" s="750">
        <v>33.240600000000001</v>
      </c>
      <c r="Q118" s="750">
        <v>23.442899999999998</v>
      </c>
      <c r="R118" s="751">
        <v>9.7977000000000025</v>
      </c>
      <c r="S118" s="29">
        <f t="shared" ref="S118:AX118" si="133">SUM(S113:S117)</f>
        <v>0</v>
      </c>
      <c r="T118" s="22">
        <f t="shared" si="133"/>
        <v>0</v>
      </c>
      <c r="U118" s="22">
        <f t="shared" si="133"/>
        <v>0</v>
      </c>
      <c r="V118" s="22">
        <f t="shared" si="133"/>
        <v>0</v>
      </c>
      <c r="W118" s="22">
        <f t="shared" si="133"/>
        <v>0</v>
      </c>
      <c r="X118" s="22">
        <f t="shared" si="133"/>
        <v>0</v>
      </c>
      <c r="Y118" s="22">
        <f t="shared" si="133"/>
        <v>0</v>
      </c>
      <c r="Z118" s="22">
        <f t="shared" si="133"/>
        <v>0</v>
      </c>
      <c r="AA118" s="22">
        <f t="shared" si="133"/>
        <v>0</v>
      </c>
      <c r="AB118" s="22">
        <f t="shared" si="133"/>
        <v>0</v>
      </c>
      <c r="AC118" s="22">
        <f t="shared" si="133"/>
        <v>0</v>
      </c>
      <c r="AD118" s="22">
        <f t="shared" si="133"/>
        <v>0</v>
      </c>
      <c r="AE118" s="22">
        <f t="shared" si="133"/>
        <v>0</v>
      </c>
      <c r="AF118" s="22">
        <f t="shared" si="133"/>
        <v>0</v>
      </c>
      <c r="AG118" s="23">
        <f t="shared" si="133"/>
        <v>0</v>
      </c>
      <c r="AH118" s="23">
        <f t="shared" si="133"/>
        <v>0</v>
      </c>
      <c r="AI118" s="23">
        <f t="shared" si="133"/>
        <v>0</v>
      </c>
      <c r="AJ118" s="23">
        <f t="shared" si="133"/>
        <v>0</v>
      </c>
      <c r="AK118" s="23">
        <f t="shared" si="133"/>
        <v>0</v>
      </c>
      <c r="AL118" s="23">
        <f t="shared" si="133"/>
        <v>0</v>
      </c>
      <c r="AM118" s="23">
        <f t="shared" si="133"/>
        <v>0</v>
      </c>
      <c r="AN118" s="752">
        <f t="shared" si="133"/>
        <v>0</v>
      </c>
      <c r="AO118" s="29">
        <f t="shared" si="133"/>
        <v>22667744</v>
      </c>
      <c r="AP118" s="22">
        <f t="shared" si="133"/>
        <v>16249005</v>
      </c>
      <c r="AQ118" s="22">
        <f t="shared" si="133"/>
        <v>37444</v>
      </c>
      <c r="AR118" s="67">
        <f t="shared" si="133"/>
        <v>37444</v>
      </c>
      <c r="AS118" s="22">
        <f t="shared" si="133"/>
        <v>5492164</v>
      </c>
      <c r="AT118" s="22">
        <f t="shared" si="133"/>
        <v>324981</v>
      </c>
      <c r="AU118" s="22">
        <f t="shared" si="133"/>
        <v>564150</v>
      </c>
      <c r="AV118" s="23">
        <f t="shared" si="133"/>
        <v>33.240600000000001</v>
      </c>
      <c r="AW118" s="23">
        <f t="shared" si="133"/>
        <v>23.442899999999998</v>
      </c>
      <c r="AX118" s="55">
        <f t="shared" si="133"/>
        <v>9.7977000000000025</v>
      </c>
    </row>
    <row r="119" spans="1:50" s="695" customFormat="1" ht="12.75" customHeight="1" x14ac:dyDescent="0.2">
      <c r="A119" s="697">
        <v>27</v>
      </c>
      <c r="B119" s="698">
        <v>3417</v>
      </c>
      <c r="C119" s="698">
        <v>600078353</v>
      </c>
      <c r="D119" s="698">
        <v>72743352</v>
      </c>
      <c r="E119" s="699" t="s">
        <v>61</v>
      </c>
      <c r="F119" s="698">
        <v>3113</v>
      </c>
      <c r="G119" s="700" t="s">
        <v>320</v>
      </c>
      <c r="H119" s="701" t="s">
        <v>283</v>
      </c>
      <c r="I119" s="495">
        <v>13695030</v>
      </c>
      <c r="J119" s="496">
        <v>9732237</v>
      </c>
      <c r="K119" s="496">
        <v>29452</v>
      </c>
      <c r="L119" s="496">
        <v>29452</v>
      </c>
      <c r="M119" s="496">
        <v>3289496</v>
      </c>
      <c r="N119" s="496">
        <v>194645</v>
      </c>
      <c r="O119" s="496">
        <v>449200</v>
      </c>
      <c r="P119" s="497">
        <v>18.190799999999999</v>
      </c>
      <c r="Q119" s="412">
        <v>13.6363</v>
      </c>
      <c r="R119" s="498">
        <v>4.5544999999999991</v>
      </c>
      <c r="S119" s="530">
        <f t="shared" ref="S119:S123" si="134">W119*-1</f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486">
        <v>0</v>
      </c>
      <c r="Y119" s="486">
        <f>SUM(W119:X119)</f>
        <v>0</v>
      </c>
      <c r="Z119" s="486">
        <f>V119+Y119</f>
        <v>0</v>
      </c>
      <c r="AA119" s="319">
        <f>ROUND((V119+W119)*33.8%,0)</f>
        <v>0</v>
      </c>
      <c r="AB119" s="178">
        <f>ROUND(V119*2%,0)</f>
        <v>0</v>
      </c>
      <c r="AC119" s="486">
        <v>0</v>
      </c>
      <c r="AD119" s="486">
        <v>0</v>
      </c>
      <c r="AE119" s="486">
        <f t="shared" si="94"/>
        <v>0</v>
      </c>
      <c r="AF119" s="486">
        <f t="shared" si="95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ref="AL119:AL123" si="135">AG119+AI119+AJ119</f>
        <v>0</v>
      </c>
      <c r="AM119" s="501">
        <f t="shared" ref="AM119:AM123" si="136">AH119+AK119</f>
        <v>0</v>
      </c>
      <c r="AN119" s="529">
        <f t="shared" si="96"/>
        <v>0</v>
      </c>
      <c r="AO119" s="530">
        <f>I119+AF119</f>
        <v>13695030</v>
      </c>
      <c r="AP119" s="486">
        <f>J119+V119</f>
        <v>9732237</v>
      </c>
      <c r="AQ119" s="486">
        <f>K119+Y119</f>
        <v>29452</v>
      </c>
      <c r="AR119" s="486">
        <f>L119</f>
        <v>29452</v>
      </c>
      <c r="AS119" s="486">
        <f t="shared" ref="AS119:AT123" si="137">M119+AA119</f>
        <v>3289496</v>
      </c>
      <c r="AT119" s="486">
        <f t="shared" si="137"/>
        <v>194645</v>
      </c>
      <c r="AU119" s="486">
        <f>O119+AE119</f>
        <v>449200</v>
      </c>
      <c r="AV119" s="501">
        <f>P119+AN119</f>
        <v>18.190799999999999</v>
      </c>
      <c r="AW119" s="501">
        <f t="shared" ref="AW119:AX123" si="138">Q119+AL119</f>
        <v>13.6363</v>
      </c>
      <c r="AX119" s="502">
        <f t="shared" si="138"/>
        <v>4.5544999999999991</v>
      </c>
    </row>
    <row r="120" spans="1:50" s="695" customFormat="1" x14ac:dyDescent="0.2">
      <c r="A120" s="697">
        <v>27</v>
      </c>
      <c r="B120" s="698">
        <v>3417</v>
      </c>
      <c r="C120" s="698">
        <v>600078353</v>
      </c>
      <c r="D120" s="698">
        <v>72743352</v>
      </c>
      <c r="E120" s="699" t="s">
        <v>61</v>
      </c>
      <c r="F120" s="698">
        <v>3113</v>
      </c>
      <c r="G120" s="700" t="s">
        <v>318</v>
      </c>
      <c r="H120" s="701" t="s">
        <v>284</v>
      </c>
      <c r="I120" s="495">
        <v>1054629</v>
      </c>
      <c r="J120" s="496">
        <v>772922</v>
      </c>
      <c r="K120" s="475">
        <v>0</v>
      </c>
      <c r="L120" s="475">
        <v>0</v>
      </c>
      <c r="M120" s="319">
        <v>261248</v>
      </c>
      <c r="N120" s="319">
        <v>15459</v>
      </c>
      <c r="O120" s="496">
        <v>5000</v>
      </c>
      <c r="P120" s="497">
        <v>2.2799999999999998</v>
      </c>
      <c r="Q120" s="412">
        <v>2.2799999999999998</v>
      </c>
      <c r="R120" s="498">
        <v>0</v>
      </c>
      <c r="S120" s="530">
        <f t="shared" si="134"/>
        <v>0</v>
      </c>
      <c r="T120" s="486">
        <v>0</v>
      </c>
      <c r="U120" s="486">
        <v>0</v>
      </c>
      <c r="V120" s="486">
        <f>SUM(S120:U120)</f>
        <v>0</v>
      </c>
      <c r="W120" s="486">
        <v>0</v>
      </c>
      <c r="X120" s="486">
        <v>0</v>
      </c>
      <c r="Y120" s="486">
        <f>SUM(W120:X120)</f>
        <v>0</v>
      </c>
      <c r="Z120" s="486">
        <f>V120+Y120</f>
        <v>0</v>
      </c>
      <c r="AA120" s="319">
        <f>ROUND((V120+W120)*33.8%,0)</f>
        <v>0</v>
      </c>
      <c r="AB120" s="178">
        <f>ROUND(V120*2%,0)</f>
        <v>0</v>
      </c>
      <c r="AC120" s="486">
        <v>0</v>
      </c>
      <c r="AD120" s="486">
        <v>0</v>
      </c>
      <c r="AE120" s="486">
        <f t="shared" si="94"/>
        <v>0</v>
      </c>
      <c r="AF120" s="486">
        <f t="shared" si="95"/>
        <v>0</v>
      </c>
      <c r="AG120" s="501">
        <v>0</v>
      </c>
      <c r="AH120" s="501">
        <v>0</v>
      </c>
      <c r="AI120" s="501">
        <v>0</v>
      </c>
      <c r="AJ120" s="501">
        <v>0</v>
      </c>
      <c r="AK120" s="501">
        <v>0</v>
      </c>
      <c r="AL120" s="501">
        <f t="shared" si="135"/>
        <v>0</v>
      </c>
      <c r="AM120" s="501">
        <f t="shared" si="136"/>
        <v>0</v>
      </c>
      <c r="AN120" s="529">
        <f t="shared" si="96"/>
        <v>0</v>
      </c>
      <c r="AO120" s="530">
        <f>I120+AF120</f>
        <v>1054629</v>
      </c>
      <c r="AP120" s="486">
        <f>J120+V120</f>
        <v>772922</v>
      </c>
      <c r="AQ120" s="486">
        <f>K120+Y120</f>
        <v>0</v>
      </c>
      <c r="AR120" s="486">
        <f>L120</f>
        <v>0</v>
      </c>
      <c r="AS120" s="486">
        <f t="shared" si="137"/>
        <v>261248</v>
      </c>
      <c r="AT120" s="486">
        <f t="shared" si="137"/>
        <v>15459</v>
      </c>
      <c r="AU120" s="486">
        <f>O120+AE120</f>
        <v>5000</v>
      </c>
      <c r="AV120" s="501">
        <f>P120+AN120</f>
        <v>2.2799999999999998</v>
      </c>
      <c r="AW120" s="501">
        <f t="shared" si="138"/>
        <v>2.2799999999999998</v>
      </c>
      <c r="AX120" s="502">
        <f t="shared" si="138"/>
        <v>0</v>
      </c>
    </row>
    <row r="121" spans="1:50" s="695" customFormat="1" ht="12.75" customHeight="1" x14ac:dyDescent="0.2">
      <c r="A121" s="697">
        <v>27</v>
      </c>
      <c r="B121" s="698">
        <v>3417</v>
      </c>
      <c r="C121" s="698">
        <v>600078353</v>
      </c>
      <c r="D121" s="698">
        <v>72743352</v>
      </c>
      <c r="E121" s="699" t="s">
        <v>61</v>
      </c>
      <c r="F121" s="698">
        <v>3141</v>
      </c>
      <c r="G121" s="700" t="s">
        <v>321</v>
      </c>
      <c r="H121" s="701" t="s">
        <v>284</v>
      </c>
      <c r="I121" s="495">
        <v>1383000</v>
      </c>
      <c r="J121" s="496">
        <v>1000015</v>
      </c>
      <c r="K121" s="475">
        <v>10000</v>
      </c>
      <c r="L121" s="475">
        <v>0</v>
      </c>
      <c r="M121" s="319">
        <v>341385</v>
      </c>
      <c r="N121" s="319">
        <v>20000</v>
      </c>
      <c r="O121" s="496">
        <v>11600</v>
      </c>
      <c r="P121" s="497">
        <v>3.4400000000000004</v>
      </c>
      <c r="Q121" s="412">
        <v>0</v>
      </c>
      <c r="R121" s="498">
        <v>3.4400000000000004</v>
      </c>
      <c r="S121" s="530">
        <f t="shared" si="134"/>
        <v>0</v>
      </c>
      <c r="T121" s="486">
        <v>0</v>
      </c>
      <c r="U121" s="486">
        <v>0</v>
      </c>
      <c r="V121" s="486">
        <f>SUM(S121:U121)</f>
        <v>0</v>
      </c>
      <c r="W121" s="486">
        <v>0</v>
      </c>
      <c r="X121" s="486">
        <v>0</v>
      </c>
      <c r="Y121" s="486">
        <f>SUM(W121:X121)</f>
        <v>0</v>
      </c>
      <c r="Z121" s="486">
        <f>V121+Y121</f>
        <v>0</v>
      </c>
      <c r="AA121" s="319">
        <f>ROUND((V121+W121)*33.8%,0)</f>
        <v>0</v>
      </c>
      <c r="AB121" s="178">
        <f>ROUND(V121*2%,0)</f>
        <v>0</v>
      </c>
      <c r="AC121" s="486">
        <v>0</v>
      </c>
      <c r="AD121" s="486">
        <v>0</v>
      </c>
      <c r="AE121" s="486">
        <f t="shared" si="94"/>
        <v>0</v>
      </c>
      <c r="AF121" s="486">
        <f t="shared" si="95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si="135"/>
        <v>0</v>
      </c>
      <c r="AM121" s="501">
        <f t="shared" si="136"/>
        <v>0</v>
      </c>
      <c r="AN121" s="529">
        <f t="shared" si="96"/>
        <v>0</v>
      </c>
      <c r="AO121" s="530">
        <f>I121+AF121</f>
        <v>1383000</v>
      </c>
      <c r="AP121" s="486">
        <f>J121+V121</f>
        <v>1000015</v>
      </c>
      <c r="AQ121" s="486">
        <f>K121+Y121</f>
        <v>10000</v>
      </c>
      <c r="AR121" s="486">
        <f>L121</f>
        <v>0</v>
      </c>
      <c r="AS121" s="486">
        <f t="shared" si="137"/>
        <v>341385</v>
      </c>
      <c r="AT121" s="486">
        <f t="shared" si="137"/>
        <v>20000</v>
      </c>
      <c r="AU121" s="486">
        <f>O121+AE121</f>
        <v>11600</v>
      </c>
      <c r="AV121" s="501">
        <f>P121+AN121</f>
        <v>3.4400000000000004</v>
      </c>
      <c r="AW121" s="501">
        <f t="shared" si="138"/>
        <v>0</v>
      </c>
      <c r="AX121" s="502">
        <f t="shared" si="138"/>
        <v>3.4400000000000004</v>
      </c>
    </row>
    <row r="122" spans="1:50" s="695" customFormat="1" ht="12.75" customHeight="1" x14ac:dyDescent="0.2">
      <c r="A122" s="697">
        <v>27</v>
      </c>
      <c r="B122" s="698">
        <v>3417</v>
      </c>
      <c r="C122" s="698">
        <v>600078353</v>
      </c>
      <c r="D122" s="698">
        <v>72743352</v>
      </c>
      <c r="E122" s="699" t="s">
        <v>61</v>
      </c>
      <c r="F122" s="698">
        <v>3143</v>
      </c>
      <c r="G122" s="700" t="s">
        <v>634</v>
      </c>
      <c r="H122" s="701" t="s">
        <v>283</v>
      </c>
      <c r="I122" s="495">
        <v>1314750</v>
      </c>
      <c r="J122" s="496">
        <v>943520</v>
      </c>
      <c r="K122" s="475">
        <v>25000</v>
      </c>
      <c r="L122" s="475">
        <v>0</v>
      </c>
      <c r="M122" s="319">
        <v>327360</v>
      </c>
      <c r="N122" s="319">
        <v>18870</v>
      </c>
      <c r="O122" s="496">
        <v>0</v>
      </c>
      <c r="P122" s="497">
        <v>2</v>
      </c>
      <c r="Q122" s="412">
        <v>2</v>
      </c>
      <c r="R122" s="498">
        <v>0</v>
      </c>
      <c r="S122" s="530">
        <f t="shared" si="134"/>
        <v>0</v>
      </c>
      <c r="T122" s="486">
        <v>0</v>
      </c>
      <c r="U122" s="486">
        <v>0</v>
      </c>
      <c r="V122" s="486">
        <f>SUM(S122:U122)</f>
        <v>0</v>
      </c>
      <c r="W122" s="486">
        <v>0</v>
      </c>
      <c r="X122" s="486">
        <v>0</v>
      </c>
      <c r="Y122" s="486">
        <f>SUM(W122:X122)</f>
        <v>0</v>
      </c>
      <c r="Z122" s="486">
        <f>V122+Y122</f>
        <v>0</v>
      </c>
      <c r="AA122" s="319">
        <f>ROUND((V122+W122)*33.8%,0)</f>
        <v>0</v>
      </c>
      <c r="AB122" s="178">
        <f>ROUND(V122*2%,0)</f>
        <v>0</v>
      </c>
      <c r="AC122" s="486">
        <v>0</v>
      </c>
      <c r="AD122" s="486">
        <v>0</v>
      </c>
      <c r="AE122" s="486">
        <f t="shared" si="94"/>
        <v>0</v>
      </c>
      <c r="AF122" s="486">
        <f t="shared" si="95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135"/>
        <v>0</v>
      </c>
      <c r="AM122" s="501">
        <f t="shared" si="136"/>
        <v>0</v>
      </c>
      <c r="AN122" s="529">
        <f t="shared" si="96"/>
        <v>0</v>
      </c>
      <c r="AO122" s="530">
        <f>I122+AF122</f>
        <v>1314750</v>
      </c>
      <c r="AP122" s="486">
        <f>J122+V122</f>
        <v>943520</v>
      </c>
      <c r="AQ122" s="486">
        <f>K122+Y122</f>
        <v>25000</v>
      </c>
      <c r="AR122" s="486">
        <f>L122</f>
        <v>0</v>
      </c>
      <c r="AS122" s="486">
        <f t="shared" si="137"/>
        <v>327360</v>
      </c>
      <c r="AT122" s="486">
        <f t="shared" si="137"/>
        <v>18870</v>
      </c>
      <c r="AU122" s="486">
        <f>O122+AE122</f>
        <v>0</v>
      </c>
      <c r="AV122" s="501">
        <f>P122+AN122</f>
        <v>2</v>
      </c>
      <c r="AW122" s="501">
        <f t="shared" si="138"/>
        <v>2</v>
      </c>
      <c r="AX122" s="502">
        <f t="shared" si="138"/>
        <v>0</v>
      </c>
    </row>
    <row r="123" spans="1:50" s="695" customFormat="1" ht="12.75" customHeight="1" x14ac:dyDescent="0.2">
      <c r="A123" s="697">
        <v>27</v>
      </c>
      <c r="B123" s="698">
        <v>3417</v>
      </c>
      <c r="C123" s="698">
        <v>600078353</v>
      </c>
      <c r="D123" s="698">
        <v>72743352</v>
      </c>
      <c r="E123" s="699" t="s">
        <v>61</v>
      </c>
      <c r="F123" s="698">
        <v>3143</v>
      </c>
      <c r="G123" s="700" t="s">
        <v>635</v>
      </c>
      <c r="H123" s="701" t="s">
        <v>284</v>
      </c>
      <c r="I123" s="495">
        <v>42133</v>
      </c>
      <c r="J123" s="496">
        <v>29700</v>
      </c>
      <c r="K123" s="475">
        <v>0</v>
      </c>
      <c r="L123" s="475">
        <v>0</v>
      </c>
      <c r="M123" s="319">
        <v>10039</v>
      </c>
      <c r="N123" s="319">
        <v>594</v>
      </c>
      <c r="O123" s="496">
        <v>1800</v>
      </c>
      <c r="P123" s="497">
        <v>0.13</v>
      </c>
      <c r="Q123" s="412">
        <v>0</v>
      </c>
      <c r="R123" s="498">
        <v>0.13</v>
      </c>
      <c r="S123" s="530">
        <f t="shared" si="134"/>
        <v>0</v>
      </c>
      <c r="T123" s="486">
        <v>0</v>
      </c>
      <c r="U123" s="486">
        <v>0</v>
      </c>
      <c r="V123" s="486">
        <f>SUM(S123:U123)</f>
        <v>0</v>
      </c>
      <c r="W123" s="486">
        <v>0</v>
      </c>
      <c r="X123" s="486">
        <v>0</v>
      </c>
      <c r="Y123" s="486">
        <f>SUM(W123:X123)</f>
        <v>0</v>
      </c>
      <c r="Z123" s="486">
        <f>V123+Y123</f>
        <v>0</v>
      </c>
      <c r="AA123" s="319">
        <f>ROUND((V123+W123)*33.8%,0)</f>
        <v>0</v>
      </c>
      <c r="AB123" s="178">
        <f>ROUND(V123*2%,0)</f>
        <v>0</v>
      </c>
      <c r="AC123" s="486">
        <v>0</v>
      </c>
      <c r="AD123" s="486">
        <v>0</v>
      </c>
      <c r="AE123" s="486">
        <f t="shared" si="94"/>
        <v>0</v>
      </c>
      <c r="AF123" s="486">
        <f t="shared" si="95"/>
        <v>0</v>
      </c>
      <c r="AG123" s="501">
        <v>0</v>
      </c>
      <c r="AH123" s="501">
        <v>0</v>
      </c>
      <c r="AI123" s="501">
        <v>0</v>
      </c>
      <c r="AJ123" s="501">
        <v>0</v>
      </c>
      <c r="AK123" s="501">
        <v>0</v>
      </c>
      <c r="AL123" s="501">
        <f t="shared" si="135"/>
        <v>0</v>
      </c>
      <c r="AM123" s="501">
        <f t="shared" si="136"/>
        <v>0</v>
      </c>
      <c r="AN123" s="529">
        <f t="shared" si="96"/>
        <v>0</v>
      </c>
      <c r="AO123" s="530">
        <f>I123+AF123</f>
        <v>42133</v>
      </c>
      <c r="AP123" s="486">
        <f>J123+V123</f>
        <v>29700</v>
      </c>
      <c r="AQ123" s="486">
        <f>K123+Y123</f>
        <v>0</v>
      </c>
      <c r="AR123" s="486">
        <f>L123</f>
        <v>0</v>
      </c>
      <c r="AS123" s="486">
        <f t="shared" si="137"/>
        <v>10039</v>
      </c>
      <c r="AT123" s="486">
        <f t="shared" si="137"/>
        <v>594</v>
      </c>
      <c r="AU123" s="486">
        <f>O123+AE123</f>
        <v>1800</v>
      </c>
      <c r="AV123" s="501">
        <f>P123+AN123</f>
        <v>0.13</v>
      </c>
      <c r="AW123" s="501">
        <f t="shared" si="138"/>
        <v>0</v>
      </c>
      <c r="AX123" s="502">
        <f t="shared" si="138"/>
        <v>0.13</v>
      </c>
    </row>
    <row r="124" spans="1:50" s="695" customFormat="1" ht="12.75" customHeight="1" x14ac:dyDescent="0.2">
      <c r="A124" s="279">
        <v>27</v>
      </c>
      <c r="B124" s="21">
        <v>3417</v>
      </c>
      <c r="C124" s="277">
        <v>600078353</v>
      </c>
      <c r="D124" s="277">
        <v>72743352</v>
      </c>
      <c r="E124" s="696" t="s">
        <v>62</v>
      </c>
      <c r="F124" s="21"/>
      <c r="G124" s="278"/>
      <c r="H124" s="749"/>
      <c r="I124" s="29">
        <v>17489542</v>
      </c>
      <c r="J124" s="266">
        <v>12478394</v>
      </c>
      <c r="K124" s="266">
        <v>64452</v>
      </c>
      <c r="L124" s="266">
        <v>29452</v>
      </c>
      <c r="M124" s="266">
        <v>4229528</v>
      </c>
      <c r="N124" s="266">
        <v>249568</v>
      </c>
      <c r="O124" s="266">
        <v>467600</v>
      </c>
      <c r="P124" s="750">
        <v>26.040800000000001</v>
      </c>
      <c r="Q124" s="750">
        <v>17.9163</v>
      </c>
      <c r="R124" s="751">
        <v>8.1244999999999994</v>
      </c>
      <c r="S124" s="29">
        <f t="shared" ref="S124:AX124" si="139">SUM(S119:S123)</f>
        <v>0</v>
      </c>
      <c r="T124" s="22">
        <f t="shared" si="139"/>
        <v>0</v>
      </c>
      <c r="U124" s="22">
        <f t="shared" si="139"/>
        <v>0</v>
      </c>
      <c r="V124" s="22">
        <f t="shared" si="139"/>
        <v>0</v>
      </c>
      <c r="W124" s="22">
        <f t="shared" si="139"/>
        <v>0</v>
      </c>
      <c r="X124" s="22">
        <f t="shared" si="139"/>
        <v>0</v>
      </c>
      <c r="Y124" s="22">
        <f t="shared" si="139"/>
        <v>0</v>
      </c>
      <c r="Z124" s="22">
        <f t="shared" si="139"/>
        <v>0</v>
      </c>
      <c r="AA124" s="22">
        <f t="shared" si="139"/>
        <v>0</v>
      </c>
      <c r="AB124" s="22">
        <f t="shared" si="139"/>
        <v>0</v>
      </c>
      <c r="AC124" s="22">
        <f t="shared" si="139"/>
        <v>0</v>
      </c>
      <c r="AD124" s="22">
        <f t="shared" si="139"/>
        <v>0</v>
      </c>
      <c r="AE124" s="22">
        <f t="shared" si="139"/>
        <v>0</v>
      </c>
      <c r="AF124" s="22">
        <f t="shared" si="139"/>
        <v>0</v>
      </c>
      <c r="AG124" s="23">
        <f t="shared" si="139"/>
        <v>0</v>
      </c>
      <c r="AH124" s="23">
        <f t="shared" si="139"/>
        <v>0</v>
      </c>
      <c r="AI124" s="23">
        <f t="shared" si="139"/>
        <v>0</v>
      </c>
      <c r="AJ124" s="23">
        <f t="shared" si="139"/>
        <v>0</v>
      </c>
      <c r="AK124" s="23">
        <f t="shared" si="139"/>
        <v>0</v>
      </c>
      <c r="AL124" s="23">
        <f t="shared" si="139"/>
        <v>0</v>
      </c>
      <c r="AM124" s="23">
        <f t="shared" si="139"/>
        <v>0</v>
      </c>
      <c r="AN124" s="752">
        <f t="shared" si="139"/>
        <v>0</v>
      </c>
      <c r="AO124" s="29">
        <f t="shared" si="139"/>
        <v>17489542</v>
      </c>
      <c r="AP124" s="22">
        <f t="shared" si="139"/>
        <v>12478394</v>
      </c>
      <c r="AQ124" s="22">
        <f t="shared" si="139"/>
        <v>64452</v>
      </c>
      <c r="AR124" s="67">
        <f t="shared" si="139"/>
        <v>29452</v>
      </c>
      <c r="AS124" s="22">
        <f t="shared" si="139"/>
        <v>4229528</v>
      </c>
      <c r="AT124" s="22">
        <f t="shared" si="139"/>
        <v>249568</v>
      </c>
      <c r="AU124" s="22">
        <f t="shared" si="139"/>
        <v>467600</v>
      </c>
      <c r="AV124" s="23">
        <f t="shared" si="139"/>
        <v>26.040800000000001</v>
      </c>
      <c r="AW124" s="23">
        <f t="shared" si="139"/>
        <v>17.9163</v>
      </c>
      <c r="AX124" s="55">
        <f t="shared" si="139"/>
        <v>8.1244999999999994</v>
      </c>
    </row>
    <row r="125" spans="1:50" s="695" customFormat="1" ht="12.75" customHeight="1" x14ac:dyDescent="0.2">
      <c r="A125" s="697">
        <v>28</v>
      </c>
      <c r="B125" s="698">
        <v>3410</v>
      </c>
      <c r="C125" s="698">
        <v>650038550</v>
      </c>
      <c r="D125" s="698">
        <v>72743191</v>
      </c>
      <c r="E125" s="699" t="s">
        <v>63</v>
      </c>
      <c r="F125" s="698">
        <v>3113</v>
      </c>
      <c r="G125" s="700" t="s">
        <v>320</v>
      </c>
      <c r="H125" s="701" t="s">
        <v>283</v>
      </c>
      <c r="I125" s="495">
        <v>23958274</v>
      </c>
      <c r="J125" s="496">
        <v>16884026</v>
      </c>
      <c r="K125" s="496">
        <v>132128</v>
      </c>
      <c r="L125" s="496">
        <v>123728</v>
      </c>
      <c r="M125" s="496">
        <v>5709639</v>
      </c>
      <c r="N125" s="496">
        <v>337681</v>
      </c>
      <c r="O125" s="496">
        <v>894800</v>
      </c>
      <c r="P125" s="497">
        <v>32.050800000000002</v>
      </c>
      <c r="Q125" s="412">
        <v>24.008999999999997</v>
      </c>
      <c r="R125" s="498">
        <v>8.0418000000000003</v>
      </c>
      <c r="S125" s="530">
        <f t="shared" ref="S125:S129" si="140">W125*-1</f>
        <v>0</v>
      </c>
      <c r="T125" s="486">
        <v>0</v>
      </c>
      <c r="U125" s="486">
        <v>0</v>
      </c>
      <c r="V125" s="486">
        <f>SUM(S125:U125)</f>
        <v>0</v>
      </c>
      <c r="W125" s="486">
        <v>0</v>
      </c>
      <c r="X125" s="486">
        <v>0</v>
      </c>
      <c r="Y125" s="486">
        <f>SUM(W125:X125)</f>
        <v>0</v>
      </c>
      <c r="Z125" s="486">
        <f>V125+Y125</f>
        <v>0</v>
      </c>
      <c r="AA125" s="319">
        <f>ROUND((V125+W125)*33.8%,0)</f>
        <v>0</v>
      </c>
      <c r="AB125" s="178">
        <f>ROUND(V125*2%,0)</f>
        <v>0</v>
      </c>
      <c r="AC125" s="486">
        <v>0</v>
      </c>
      <c r="AD125" s="486">
        <v>0</v>
      </c>
      <c r="AE125" s="486">
        <f t="shared" si="94"/>
        <v>0</v>
      </c>
      <c r="AF125" s="486">
        <f t="shared" si="95"/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ref="AL125:AL129" si="141">AG125+AI125+AJ125</f>
        <v>0</v>
      </c>
      <c r="AM125" s="501">
        <f t="shared" ref="AM125:AM129" si="142">AH125+AK125</f>
        <v>0</v>
      </c>
      <c r="AN125" s="529">
        <f t="shared" si="96"/>
        <v>0</v>
      </c>
      <c r="AO125" s="530">
        <f>I125+AF125</f>
        <v>23958274</v>
      </c>
      <c r="AP125" s="486">
        <f>J125+V125</f>
        <v>16884026</v>
      </c>
      <c r="AQ125" s="486">
        <f>K125+Y125</f>
        <v>132128</v>
      </c>
      <c r="AR125" s="486">
        <f>L125</f>
        <v>123728</v>
      </c>
      <c r="AS125" s="486">
        <f t="shared" ref="AS125:AT129" si="143">M125+AA125</f>
        <v>5709639</v>
      </c>
      <c r="AT125" s="486">
        <f t="shared" si="143"/>
        <v>337681</v>
      </c>
      <c r="AU125" s="486">
        <f>O125+AE125</f>
        <v>894800</v>
      </c>
      <c r="AV125" s="501">
        <f>P125+AN125</f>
        <v>32.050800000000002</v>
      </c>
      <c r="AW125" s="501">
        <f t="shared" ref="AW125:AX129" si="144">Q125+AL125</f>
        <v>24.008999999999997</v>
      </c>
      <c r="AX125" s="502">
        <f t="shared" si="144"/>
        <v>8.0418000000000003</v>
      </c>
    </row>
    <row r="126" spans="1:50" s="695" customFormat="1" x14ac:dyDescent="0.2">
      <c r="A126" s="697">
        <v>28</v>
      </c>
      <c r="B126" s="698">
        <v>3410</v>
      </c>
      <c r="C126" s="698">
        <v>650038550</v>
      </c>
      <c r="D126" s="698">
        <v>72743191</v>
      </c>
      <c r="E126" s="699" t="s">
        <v>63</v>
      </c>
      <c r="F126" s="698">
        <v>3113</v>
      </c>
      <c r="G126" s="700" t="s">
        <v>318</v>
      </c>
      <c r="H126" s="701" t="s">
        <v>284</v>
      </c>
      <c r="I126" s="495">
        <v>924361</v>
      </c>
      <c r="J126" s="496">
        <v>677364</v>
      </c>
      <c r="K126" s="475">
        <v>0</v>
      </c>
      <c r="L126" s="475">
        <v>0</v>
      </c>
      <c r="M126" s="319">
        <v>228949</v>
      </c>
      <c r="N126" s="319">
        <v>13548</v>
      </c>
      <c r="O126" s="496">
        <v>4500</v>
      </c>
      <c r="P126" s="497">
        <v>1.98</v>
      </c>
      <c r="Q126" s="412">
        <v>1.98</v>
      </c>
      <c r="R126" s="498">
        <v>0</v>
      </c>
      <c r="S126" s="530">
        <f t="shared" si="140"/>
        <v>0</v>
      </c>
      <c r="T126" s="486">
        <v>0</v>
      </c>
      <c r="U126" s="486">
        <v>0</v>
      </c>
      <c r="V126" s="486">
        <f>SUM(S126:U126)</f>
        <v>0</v>
      </c>
      <c r="W126" s="486">
        <v>0</v>
      </c>
      <c r="X126" s="486">
        <v>0</v>
      </c>
      <c r="Y126" s="486">
        <f>SUM(W126:X126)</f>
        <v>0</v>
      </c>
      <c r="Z126" s="486">
        <f>V126+Y126</f>
        <v>0</v>
      </c>
      <c r="AA126" s="319">
        <f>ROUND((V126+W126)*33.8%,0)</f>
        <v>0</v>
      </c>
      <c r="AB126" s="178">
        <f>ROUND(V126*2%,0)</f>
        <v>0</v>
      </c>
      <c r="AC126" s="486">
        <v>0</v>
      </c>
      <c r="AD126" s="486">
        <v>0</v>
      </c>
      <c r="AE126" s="486">
        <f t="shared" si="94"/>
        <v>0</v>
      </c>
      <c r="AF126" s="486">
        <f t="shared" si="95"/>
        <v>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si="141"/>
        <v>0</v>
      </c>
      <c r="AM126" s="501">
        <f t="shared" si="142"/>
        <v>0</v>
      </c>
      <c r="AN126" s="529">
        <f t="shared" si="96"/>
        <v>0</v>
      </c>
      <c r="AO126" s="530">
        <f>I126+AF126</f>
        <v>924361</v>
      </c>
      <c r="AP126" s="486">
        <f>J126+V126</f>
        <v>677364</v>
      </c>
      <c r="AQ126" s="486">
        <f>K126+Y126</f>
        <v>0</v>
      </c>
      <c r="AR126" s="486">
        <f>L126</f>
        <v>0</v>
      </c>
      <c r="AS126" s="486">
        <f t="shared" si="143"/>
        <v>228949</v>
      </c>
      <c r="AT126" s="486">
        <f t="shared" si="143"/>
        <v>13548</v>
      </c>
      <c r="AU126" s="486">
        <f>O126+AE126</f>
        <v>4500</v>
      </c>
      <c r="AV126" s="501">
        <f>P126+AN126</f>
        <v>1.98</v>
      </c>
      <c r="AW126" s="501">
        <f t="shared" si="144"/>
        <v>1.98</v>
      </c>
      <c r="AX126" s="502">
        <f t="shared" si="144"/>
        <v>0</v>
      </c>
    </row>
    <row r="127" spans="1:50" s="695" customFormat="1" ht="12.75" customHeight="1" x14ac:dyDescent="0.2">
      <c r="A127" s="697">
        <v>28</v>
      </c>
      <c r="B127" s="698">
        <v>3410</v>
      </c>
      <c r="C127" s="698">
        <v>650038550</v>
      </c>
      <c r="D127" s="698">
        <v>72743191</v>
      </c>
      <c r="E127" s="699" t="s">
        <v>63</v>
      </c>
      <c r="F127" s="698">
        <v>3141</v>
      </c>
      <c r="G127" s="700" t="s">
        <v>321</v>
      </c>
      <c r="H127" s="701" t="s">
        <v>284</v>
      </c>
      <c r="I127" s="495">
        <v>2471838</v>
      </c>
      <c r="J127" s="496">
        <v>1805342</v>
      </c>
      <c r="K127" s="475">
        <v>0</v>
      </c>
      <c r="L127" s="475">
        <v>0</v>
      </c>
      <c r="M127" s="319">
        <v>610206</v>
      </c>
      <c r="N127" s="319">
        <v>36106</v>
      </c>
      <c r="O127" s="496">
        <v>20184</v>
      </c>
      <c r="P127" s="497">
        <v>6.1400000000000006</v>
      </c>
      <c r="Q127" s="412">
        <v>0</v>
      </c>
      <c r="R127" s="498">
        <v>6.1400000000000006</v>
      </c>
      <c r="S127" s="530">
        <f t="shared" si="140"/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319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 t="shared" si="94"/>
        <v>0</v>
      </c>
      <c r="AF127" s="486">
        <f t="shared" si="95"/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si="141"/>
        <v>0</v>
      </c>
      <c r="AM127" s="501">
        <f t="shared" si="142"/>
        <v>0</v>
      </c>
      <c r="AN127" s="529">
        <f t="shared" si="96"/>
        <v>0</v>
      </c>
      <c r="AO127" s="530">
        <f>I127+AF127</f>
        <v>2471838</v>
      </c>
      <c r="AP127" s="486">
        <f>J127+V127</f>
        <v>1805342</v>
      </c>
      <c r="AQ127" s="486">
        <f>K127+Y127</f>
        <v>0</v>
      </c>
      <c r="AR127" s="486">
        <f>L127</f>
        <v>0</v>
      </c>
      <c r="AS127" s="486">
        <f t="shared" si="143"/>
        <v>610206</v>
      </c>
      <c r="AT127" s="486">
        <f t="shared" si="143"/>
        <v>36106</v>
      </c>
      <c r="AU127" s="486">
        <f>O127+AE127</f>
        <v>20184</v>
      </c>
      <c r="AV127" s="501">
        <f>P127+AN127</f>
        <v>6.1400000000000006</v>
      </c>
      <c r="AW127" s="501">
        <f t="shared" si="144"/>
        <v>0</v>
      </c>
      <c r="AX127" s="502">
        <f t="shared" si="144"/>
        <v>6.1400000000000006</v>
      </c>
    </row>
    <row r="128" spans="1:50" s="695" customFormat="1" ht="12.75" customHeight="1" x14ac:dyDescent="0.2">
      <c r="A128" s="697">
        <v>28</v>
      </c>
      <c r="B128" s="698">
        <v>3410</v>
      </c>
      <c r="C128" s="698">
        <v>650038550</v>
      </c>
      <c r="D128" s="698">
        <v>72743191</v>
      </c>
      <c r="E128" s="699" t="s">
        <v>63</v>
      </c>
      <c r="F128" s="698">
        <v>3143</v>
      </c>
      <c r="G128" s="700" t="s">
        <v>634</v>
      </c>
      <c r="H128" s="701" t="s">
        <v>283</v>
      </c>
      <c r="I128" s="495">
        <v>2083144</v>
      </c>
      <c r="J128" s="496">
        <v>1512697</v>
      </c>
      <c r="K128" s="475">
        <v>21600</v>
      </c>
      <c r="L128" s="475">
        <v>0</v>
      </c>
      <c r="M128" s="319">
        <v>518593</v>
      </c>
      <c r="N128" s="319">
        <v>30254</v>
      </c>
      <c r="O128" s="496">
        <v>0</v>
      </c>
      <c r="P128" s="497">
        <v>3.1245000000000003</v>
      </c>
      <c r="Q128" s="497">
        <v>3.1245000000000003</v>
      </c>
      <c r="R128" s="498">
        <v>0</v>
      </c>
      <c r="S128" s="530">
        <f t="shared" si="140"/>
        <v>0</v>
      </c>
      <c r="T128" s="486">
        <v>0</v>
      </c>
      <c r="U128" s="486">
        <v>0</v>
      </c>
      <c r="V128" s="486">
        <f>SUM(S128:U128)</f>
        <v>0</v>
      </c>
      <c r="W128" s="486">
        <v>0</v>
      </c>
      <c r="X128" s="486">
        <v>0</v>
      </c>
      <c r="Y128" s="486">
        <f>SUM(W128:X128)</f>
        <v>0</v>
      </c>
      <c r="Z128" s="486">
        <f>V128+Y128</f>
        <v>0</v>
      </c>
      <c r="AA128" s="319">
        <f>ROUND((V128+W128)*33.8%,0)</f>
        <v>0</v>
      </c>
      <c r="AB128" s="178">
        <f>ROUND(V128*2%,0)</f>
        <v>0</v>
      </c>
      <c r="AC128" s="486">
        <v>0</v>
      </c>
      <c r="AD128" s="486">
        <v>0</v>
      </c>
      <c r="AE128" s="486">
        <f t="shared" si="94"/>
        <v>0</v>
      </c>
      <c r="AF128" s="486">
        <f t="shared" si="95"/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si="141"/>
        <v>0</v>
      </c>
      <c r="AM128" s="501">
        <f t="shared" si="142"/>
        <v>0</v>
      </c>
      <c r="AN128" s="529">
        <f t="shared" si="96"/>
        <v>0</v>
      </c>
      <c r="AO128" s="530">
        <f>I128+AF128</f>
        <v>2083144</v>
      </c>
      <c r="AP128" s="486">
        <f>J128+V128</f>
        <v>1512697</v>
      </c>
      <c r="AQ128" s="486">
        <f>K128+Y128</f>
        <v>21600</v>
      </c>
      <c r="AR128" s="486">
        <f>L128</f>
        <v>0</v>
      </c>
      <c r="AS128" s="486">
        <f t="shared" si="143"/>
        <v>518593</v>
      </c>
      <c r="AT128" s="486">
        <f t="shared" si="143"/>
        <v>30254</v>
      </c>
      <c r="AU128" s="486">
        <f>O128+AE128</f>
        <v>0</v>
      </c>
      <c r="AV128" s="501">
        <f>P128+AN128</f>
        <v>3.1245000000000003</v>
      </c>
      <c r="AW128" s="501">
        <f t="shared" si="144"/>
        <v>3.1245000000000003</v>
      </c>
      <c r="AX128" s="502">
        <f t="shared" si="144"/>
        <v>0</v>
      </c>
    </row>
    <row r="129" spans="1:50" s="695" customFormat="1" ht="12.75" customHeight="1" x14ac:dyDescent="0.2">
      <c r="A129" s="697">
        <v>28</v>
      </c>
      <c r="B129" s="698">
        <v>3410</v>
      </c>
      <c r="C129" s="698">
        <v>650038550</v>
      </c>
      <c r="D129" s="698">
        <v>72743191</v>
      </c>
      <c r="E129" s="699" t="s">
        <v>63</v>
      </c>
      <c r="F129" s="698">
        <v>3143</v>
      </c>
      <c r="G129" s="700" t="s">
        <v>635</v>
      </c>
      <c r="H129" s="701" t="s">
        <v>284</v>
      </c>
      <c r="I129" s="495">
        <v>84265</v>
      </c>
      <c r="J129" s="496">
        <v>59400</v>
      </c>
      <c r="K129" s="475">
        <v>0</v>
      </c>
      <c r="L129" s="475">
        <v>0</v>
      </c>
      <c r="M129" s="319">
        <v>20077</v>
      </c>
      <c r="N129" s="319">
        <v>1188</v>
      </c>
      <c r="O129" s="496">
        <v>3600</v>
      </c>
      <c r="P129" s="497">
        <v>0.26</v>
      </c>
      <c r="Q129" s="412">
        <v>0</v>
      </c>
      <c r="R129" s="498">
        <v>0.26</v>
      </c>
      <c r="S129" s="530">
        <f t="shared" si="140"/>
        <v>0</v>
      </c>
      <c r="T129" s="486">
        <v>0</v>
      </c>
      <c r="U129" s="486">
        <v>0</v>
      </c>
      <c r="V129" s="486">
        <f>SUM(S129:U129)</f>
        <v>0</v>
      </c>
      <c r="W129" s="486">
        <v>0</v>
      </c>
      <c r="X129" s="486">
        <v>0</v>
      </c>
      <c r="Y129" s="486">
        <f>SUM(W129:X129)</f>
        <v>0</v>
      </c>
      <c r="Z129" s="486">
        <f>V129+Y129</f>
        <v>0</v>
      </c>
      <c r="AA129" s="319">
        <f>ROUND((V129+W129)*33.8%,0)</f>
        <v>0</v>
      </c>
      <c r="AB129" s="178">
        <f>ROUND(V129*2%,0)</f>
        <v>0</v>
      </c>
      <c r="AC129" s="486">
        <v>0</v>
      </c>
      <c r="AD129" s="486">
        <v>0</v>
      </c>
      <c r="AE129" s="486">
        <f t="shared" si="94"/>
        <v>0</v>
      </c>
      <c r="AF129" s="486">
        <f t="shared" si="95"/>
        <v>0</v>
      </c>
      <c r="AG129" s="501">
        <v>0</v>
      </c>
      <c r="AH129" s="501">
        <v>0</v>
      </c>
      <c r="AI129" s="501">
        <v>0</v>
      </c>
      <c r="AJ129" s="501">
        <v>0</v>
      </c>
      <c r="AK129" s="501">
        <v>0</v>
      </c>
      <c r="AL129" s="501">
        <f t="shared" si="141"/>
        <v>0</v>
      </c>
      <c r="AM129" s="501">
        <f t="shared" si="142"/>
        <v>0</v>
      </c>
      <c r="AN129" s="529">
        <f t="shared" si="96"/>
        <v>0</v>
      </c>
      <c r="AO129" s="530">
        <f>I129+AF129</f>
        <v>84265</v>
      </c>
      <c r="AP129" s="486">
        <f>J129+V129</f>
        <v>59400</v>
      </c>
      <c r="AQ129" s="486">
        <f>K129+Y129</f>
        <v>0</v>
      </c>
      <c r="AR129" s="486">
        <f>L129</f>
        <v>0</v>
      </c>
      <c r="AS129" s="486">
        <f t="shared" si="143"/>
        <v>20077</v>
      </c>
      <c r="AT129" s="486">
        <f t="shared" si="143"/>
        <v>1188</v>
      </c>
      <c r="AU129" s="486">
        <f>O129+AE129</f>
        <v>3600</v>
      </c>
      <c r="AV129" s="501">
        <f>P129+AN129</f>
        <v>0.26</v>
      </c>
      <c r="AW129" s="501">
        <f t="shared" si="144"/>
        <v>0</v>
      </c>
      <c r="AX129" s="502">
        <f t="shared" si="144"/>
        <v>0.26</v>
      </c>
    </row>
    <row r="130" spans="1:50" s="695" customFormat="1" ht="12.75" customHeight="1" x14ac:dyDescent="0.2">
      <c r="A130" s="279">
        <v>28</v>
      </c>
      <c r="B130" s="21">
        <v>3410</v>
      </c>
      <c r="C130" s="277">
        <v>650038550</v>
      </c>
      <c r="D130" s="277">
        <v>72743191</v>
      </c>
      <c r="E130" s="696" t="s">
        <v>64</v>
      </c>
      <c r="F130" s="21"/>
      <c r="G130" s="278"/>
      <c r="H130" s="749"/>
      <c r="I130" s="29">
        <v>29521882</v>
      </c>
      <c r="J130" s="266">
        <v>20938829</v>
      </c>
      <c r="K130" s="266">
        <v>153728</v>
      </c>
      <c r="L130" s="266">
        <v>123728</v>
      </c>
      <c r="M130" s="266">
        <v>7087464</v>
      </c>
      <c r="N130" s="266">
        <v>418777</v>
      </c>
      <c r="O130" s="266">
        <v>923084</v>
      </c>
      <c r="P130" s="750">
        <v>43.555299999999995</v>
      </c>
      <c r="Q130" s="750">
        <v>29.113499999999998</v>
      </c>
      <c r="R130" s="751">
        <v>14.441800000000001</v>
      </c>
      <c r="S130" s="29">
        <f t="shared" ref="S130:AX130" si="145">SUM(S125:S129)</f>
        <v>0</v>
      </c>
      <c r="T130" s="22">
        <f t="shared" si="145"/>
        <v>0</v>
      </c>
      <c r="U130" s="22">
        <f t="shared" si="145"/>
        <v>0</v>
      </c>
      <c r="V130" s="22">
        <f t="shared" si="145"/>
        <v>0</v>
      </c>
      <c r="W130" s="22">
        <f t="shared" si="145"/>
        <v>0</v>
      </c>
      <c r="X130" s="22">
        <f t="shared" si="145"/>
        <v>0</v>
      </c>
      <c r="Y130" s="22">
        <f t="shared" si="145"/>
        <v>0</v>
      </c>
      <c r="Z130" s="22">
        <f t="shared" si="145"/>
        <v>0</v>
      </c>
      <c r="AA130" s="22">
        <f t="shared" si="145"/>
        <v>0</v>
      </c>
      <c r="AB130" s="22">
        <f t="shared" si="145"/>
        <v>0</v>
      </c>
      <c r="AC130" s="22">
        <f t="shared" si="145"/>
        <v>0</v>
      </c>
      <c r="AD130" s="22">
        <f t="shared" si="145"/>
        <v>0</v>
      </c>
      <c r="AE130" s="22">
        <f t="shared" si="145"/>
        <v>0</v>
      </c>
      <c r="AF130" s="22">
        <f t="shared" si="145"/>
        <v>0</v>
      </c>
      <c r="AG130" s="23">
        <f t="shared" si="145"/>
        <v>0</v>
      </c>
      <c r="AH130" s="23">
        <f t="shared" si="145"/>
        <v>0</v>
      </c>
      <c r="AI130" s="23">
        <f t="shared" si="145"/>
        <v>0</v>
      </c>
      <c r="AJ130" s="23">
        <f t="shared" si="145"/>
        <v>0</v>
      </c>
      <c r="AK130" s="23">
        <f t="shared" si="145"/>
        <v>0</v>
      </c>
      <c r="AL130" s="23">
        <f t="shared" si="145"/>
        <v>0</v>
      </c>
      <c r="AM130" s="23">
        <f t="shared" si="145"/>
        <v>0</v>
      </c>
      <c r="AN130" s="752">
        <f t="shared" si="145"/>
        <v>0</v>
      </c>
      <c r="AO130" s="29">
        <f t="shared" si="145"/>
        <v>29521882</v>
      </c>
      <c r="AP130" s="22">
        <f t="shared" si="145"/>
        <v>20938829</v>
      </c>
      <c r="AQ130" s="22">
        <f t="shared" si="145"/>
        <v>153728</v>
      </c>
      <c r="AR130" s="67">
        <f t="shared" si="145"/>
        <v>123728</v>
      </c>
      <c r="AS130" s="22">
        <f t="shared" si="145"/>
        <v>7087464</v>
      </c>
      <c r="AT130" s="22">
        <f t="shared" si="145"/>
        <v>418777</v>
      </c>
      <c r="AU130" s="22">
        <f t="shared" si="145"/>
        <v>923084</v>
      </c>
      <c r="AV130" s="23">
        <f t="shared" si="145"/>
        <v>43.555299999999995</v>
      </c>
      <c r="AW130" s="23">
        <f t="shared" si="145"/>
        <v>29.113499999999998</v>
      </c>
      <c r="AX130" s="55">
        <f t="shared" si="145"/>
        <v>14.441800000000001</v>
      </c>
    </row>
    <row r="131" spans="1:50" s="695" customFormat="1" ht="12.75" customHeight="1" x14ac:dyDescent="0.2">
      <c r="A131" s="697">
        <v>29</v>
      </c>
      <c r="B131" s="698">
        <v>3455</v>
      </c>
      <c r="C131" s="698">
        <v>651040515</v>
      </c>
      <c r="D131" s="698">
        <v>75122308</v>
      </c>
      <c r="E131" s="699" t="s">
        <v>65</v>
      </c>
      <c r="F131" s="698">
        <v>3231</v>
      </c>
      <c r="G131" s="700" t="s">
        <v>322</v>
      </c>
      <c r="H131" s="701" t="s">
        <v>283</v>
      </c>
      <c r="I131" s="495">
        <v>28164052</v>
      </c>
      <c r="J131" s="496">
        <v>20391934</v>
      </c>
      <c r="K131" s="496">
        <v>280000</v>
      </c>
      <c r="L131" s="496">
        <v>0</v>
      </c>
      <c r="M131" s="496">
        <v>6987114</v>
      </c>
      <c r="N131" s="496">
        <v>407839</v>
      </c>
      <c r="O131" s="496">
        <v>97165</v>
      </c>
      <c r="P131" s="497">
        <v>40.116400000000006</v>
      </c>
      <c r="Q131" s="412">
        <v>35.640800000000006</v>
      </c>
      <c r="R131" s="498">
        <v>4.4755999999999991</v>
      </c>
      <c r="S131" s="530">
        <f>W131*-1</f>
        <v>0</v>
      </c>
      <c r="T131" s="486">
        <v>0</v>
      </c>
      <c r="U131" s="486">
        <v>0</v>
      </c>
      <c r="V131" s="486">
        <f>SUM(S131:U131)</f>
        <v>0</v>
      </c>
      <c r="W131" s="486">
        <v>0</v>
      </c>
      <c r="X131" s="486">
        <v>0</v>
      </c>
      <c r="Y131" s="486">
        <f>SUM(W131:X131)</f>
        <v>0</v>
      </c>
      <c r="Z131" s="486">
        <f>V131+Y131</f>
        <v>0</v>
      </c>
      <c r="AA131" s="319">
        <f>ROUND((V131+W131)*33.8%,0)</f>
        <v>0</v>
      </c>
      <c r="AB131" s="178">
        <f>ROUND(V131*2%,0)</f>
        <v>0</v>
      </c>
      <c r="AC131" s="486">
        <v>0</v>
      </c>
      <c r="AD131" s="486">
        <v>0</v>
      </c>
      <c r="AE131" s="486">
        <f t="shared" si="94"/>
        <v>0</v>
      </c>
      <c r="AF131" s="486">
        <f t="shared" si="95"/>
        <v>0</v>
      </c>
      <c r="AG131" s="501">
        <v>0</v>
      </c>
      <c r="AH131" s="501">
        <v>0</v>
      </c>
      <c r="AI131" s="501">
        <v>0</v>
      </c>
      <c r="AJ131" s="501">
        <v>0</v>
      </c>
      <c r="AK131" s="501">
        <v>0</v>
      </c>
      <c r="AL131" s="501">
        <f>AG131+AI131+AJ131</f>
        <v>0</v>
      </c>
      <c r="AM131" s="501">
        <f>AH131+AK131</f>
        <v>0</v>
      </c>
      <c r="AN131" s="529">
        <f t="shared" si="96"/>
        <v>0</v>
      </c>
      <c r="AO131" s="530">
        <f>I131+AF131</f>
        <v>28164052</v>
      </c>
      <c r="AP131" s="486">
        <f>J131+V131</f>
        <v>20391934</v>
      </c>
      <c r="AQ131" s="486">
        <f>K131+Y131</f>
        <v>280000</v>
      </c>
      <c r="AR131" s="486">
        <f>L131</f>
        <v>0</v>
      </c>
      <c r="AS131" s="486">
        <f>M131+AA131</f>
        <v>6987114</v>
      </c>
      <c r="AT131" s="486">
        <f>N131+AB131</f>
        <v>407839</v>
      </c>
      <c r="AU131" s="486">
        <f>O131+AE131</f>
        <v>97165</v>
      </c>
      <c r="AV131" s="501">
        <f>P131+AN131</f>
        <v>40.116400000000006</v>
      </c>
      <c r="AW131" s="501">
        <f>Q131+AL131</f>
        <v>35.640800000000006</v>
      </c>
      <c r="AX131" s="502">
        <f>R131+AM131</f>
        <v>4.4755999999999991</v>
      </c>
    </row>
    <row r="132" spans="1:50" s="695" customFormat="1" ht="12.75" customHeight="1" x14ac:dyDescent="0.2">
      <c r="A132" s="279">
        <v>29</v>
      </c>
      <c r="B132" s="21">
        <v>3455</v>
      </c>
      <c r="C132" s="277">
        <v>651040515</v>
      </c>
      <c r="D132" s="277">
        <v>75122308</v>
      </c>
      <c r="E132" s="696" t="s">
        <v>66</v>
      </c>
      <c r="F132" s="21"/>
      <c r="G132" s="278"/>
      <c r="H132" s="749"/>
      <c r="I132" s="29">
        <v>28164052</v>
      </c>
      <c r="J132" s="266">
        <v>20391934</v>
      </c>
      <c r="K132" s="266">
        <v>280000</v>
      </c>
      <c r="L132" s="266">
        <v>0</v>
      </c>
      <c r="M132" s="266">
        <v>6987114</v>
      </c>
      <c r="N132" s="266">
        <v>407839</v>
      </c>
      <c r="O132" s="266">
        <v>97165</v>
      </c>
      <c r="P132" s="750">
        <v>40.116400000000006</v>
      </c>
      <c r="Q132" s="750">
        <v>35.640800000000006</v>
      </c>
      <c r="R132" s="751">
        <v>4.4755999999999991</v>
      </c>
      <c r="S132" s="29">
        <f t="shared" ref="S132:AX132" si="146">SUM(S131)</f>
        <v>0</v>
      </c>
      <c r="T132" s="22">
        <f t="shared" si="146"/>
        <v>0</v>
      </c>
      <c r="U132" s="22">
        <f t="shared" si="146"/>
        <v>0</v>
      </c>
      <c r="V132" s="22">
        <f t="shared" si="146"/>
        <v>0</v>
      </c>
      <c r="W132" s="22">
        <f t="shared" si="146"/>
        <v>0</v>
      </c>
      <c r="X132" s="22">
        <f t="shared" si="146"/>
        <v>0</v>
      </c>
      <c r="Y132" s="22">
        <f t="shared" si="146"/>
        <v>0</v>
      </c>
      <c r="Z132" s="22">
        <f t="shared" si="146"/>
        <v>0</v>
      </c>
      <c r="AA132" s="22">
        <f t="shared" si="146"/>
        <v>0</v>
      </c>
      <c r="AB132" s="22">
        <f t="shared" si="146"/>
        <v>0</v>
      </c>
      <c r="AC132" s="22">
        <f t="shared" si="146"/>
        <v>0</v>
      </c>
      <c r="AD132" s="22">
        <f t="shared" si="146"/>
        <v>0</v>
      </c>
      <c r="AE132" s="22">
        <f t="shared" si="146"/>
        <v>0</v>
      </c>
      <c r="AF132" s="22">
        <f t="shared" si="146"/>
        <v>0</v>
      </c>
      <c r="AG132" s="23">
        <f t="shared" si="146"/>
        <v>0</v>
      </c>
      <c r="AH132" s="23">
        <f t="shared" si="146"/>
        <v>0</v>
      </c>
      <c r="AI132" s="23">
        <f t="shared" si="146"/>
        <v>0</v>
      </c>
      <c r="AJ132" s="23">
        <f t="shared" si="146"/>
        <v>0</v>
      </c>
      <c r="AK132" s="23">
        <f t="shared" si="146"/>
        <v>0</v>
      </c>
      <c r="AL132" s="23">
        <f t="shared" si="146"/>
        <v>0</v>
      </c>
      <c r="AM132" s="23">
        <f t="shared" si="146"/>
        <v>0</v>
      </c>
      <c r="AN132" s="752">
        <f t="shared" si="146"/>
        <v>0</v>
      </c>
      <c r="AO132" s="29">
        <f t="shared" si="146"/>
        <v>28164052</v>
      </c>
      <c r="AP132" s="22">
        <f t="shared" si="146"/>
        <v>20391934</v>
      </c>
      <c r="AQ132" s="22">
        <f t="shared" si="146"/>
        <v>280000</v>
      </c>
      <c r="AR132" s="67">
        <f t="shared" si="146"/>
        <v>0</v>
      </c>
      <c r="AS132" s="22">
        <f t="shared" si="146"/>
        <v>6987114</v>
      </c>
      <c r="AT132" s="22">
        <f t="shared" si="146"/>
        <v>407839</v>
      </c>
      <c r="AU132" s="22">
        <f t="shared" si="146"/>
        <v>97165</v>
      </c>
      <c r="AV132" s="23">
        <f t="shared" si="146"/>
        <v>40.116400000000006</v>
      </c>
      <c r="AW132" s="23">
        <f t="shared" si="146"/>
        <v>35.640800000000006</v>
      </c>
      <c r="AX132" s="55">
        <f t="shared" si="146"/>
        <v>4.4755999999999991</v>
      </c>
    </row>
    <row r="133" spans="1:50" s="695" customFormat="1" ht="12.75" customHeight="1" x14ac:dyDescent="0.2">
      <c r="A133" s="697">
        <v>30</v>
      </c>
      <c r="B133" s="698">
        <v>3419</v>
      </c>
      <c r="C133" s="698">
        <v>600078434</v>
      </c>
      <c r="D133" s="698">
        <v>72742658</v>
      </c>
      <c r="E133" s="699" t="s">
        <v>67</v>
      </c>
      <c r="F133" s="698">
        <v>3111</v>
      </c>
      <c r="G133" s="700" t="s">
        <v>317</v>
      </c>
      <c r="H133" s="701" t="s">
        <v>283</v>
      </c>
      <c r="I133" s="495">
        <v>2976377</v>
      </c>
      <c r="J133" s="496">
        <v>2156110</v>
      </c>
      <c r="K133" s="475">
        <v>10000</v>
      </c>
      <c r="L133" s="475">
        <v>0</v>
      </c>
      <c r="M133" s="319">
        <v>732145</v>
      </c>
      <c r="N133" s="319">
        <v>43122</v>
      </c>
      <c r="O133" s="496">
        <v>35000</v>
      </c>
      <c r="P133" s="497">
        <v>4.9718</v>
      </c>
      <c r="Q133" s="412">
        <v>4</v>
      </c>
      <c r="R133" s="498">
        <v>0.9718</v>
      </c>
      <c r="S133" s="530">
        <f t="shared" ref="S133:S139" si="147">W133*-1</f>
        <v>0</v>
      </c>
      <c r="T133" s="486">
        <v>0</v>
      </c>
      <c r="U133" s="486">
        <v>0</v>
      </c>
      <c r="V133" s="486">
        <f t="shared" ref="V133:V139" si="148">SUM(S133:U133)</f>
        <v>0</v>
      </c>
      <c r="W133" s="486">
        <v>0</v>
      </c>
      <c r="X133" s="486">
        <v>0</v>
      </c>
      <c r="Y133" s="486">
        <f t="shared" ref="Y133:Y139" si="149">SUM(W133:X133)</f>
        <v>0</v>
      </c>
      <c r="Z133" s="486">
        <f t="shared" ref="Z133:Z139" si="150">V133+Y133</f>
        <v>0</v>
      </c>
      <c r="AA133" s="319">
        <f t="shared" ref="AA133:AA139" si="151">ROUND((V133+W133)*33.8%,0)</f>
        <v>0</v>
      </c>
      <c r="AB133" s="178">
        <f t="shared" ref="AB133:AB139" si="152">ROUND(V133*2%,0)</f>
        <v>0</v>
      </c>
      <c r="AC133" s="486">
        <v>0</v>
      </c>
      <c r="AD133" s="486">
        <v>0</v>
      </c>
      <c r="AE133" s="486">
        <f t="shared" si="94"/>
        <v>0</v>
      </c>
      <c r="AF133" s="486">
        <f t="shared" si="95"/>
        <v>0</v>
      </c>
      <c r="AG133" s="501">
        <v>0</v>
      </c>
      <c r="AH133" s="501">
        <v>0</v>
      </c>
      <c r="AI133" s="501">
        <v>0</v>
      </c>
      <c r="AJ133" s="501">
        <v>0</v>
      </c>
      <c r="AK133" s="501">
        <v>0</v>
      </c>
      <c r="AL133" s="501">
        <f t="shared" ref="AL133:AL139" si="153">AG133+AI133+AJ133</f>
        <v>0</v>
      </c>
      <c r="AM133" s="501">
        <f t="shared" ref="AM133:AM139" si="154">AH133+AK133</f>
        <v>0</v>
      </c>
      <c r="AN133" s="529">
        <f t="shared" si="96"/>
        <v>0</v>
      </c>
      <c r="AO133" s="530">
        <f t="shared" ref="AO133:AO139" si="155">I133+AF133</f>
        <v>2976377</v>
      </c>
      <c r="AP133" s="486">
        <f t="shared" ref="AP133:AP139" si="156">J133+V133</f>
        <v>2156110</v>
      </c>
      <c r="AQ133" s="486">
        <f t="shared" ref="AQ133:AQ139" si="157">K133+Y133</f>
        <v>10000</v>
      </c>
      <c r="AR133" s="486">
        <f t="shared" ref="AR133:AR139" si="158">L133</f>
        <v>0</v>
      </c>
      <c r="AS133" s="486">
        <f t="shared" ref="AS133:AT139" si="159">M133+AA133</f>
        <v>732145</v>
      </c>
      <c r="AT133" s="486">
        <f t="shared" si="159"/>
        <v>43122</v>
      </c>
      <c r="AU133" s="486">
        <f t="shared" ref="AU133:AU139" si="160">O133+AE133</f>
        <v>35000</v>
      </c>
      <c r="AV133" s="501">
        <f t="shared" ref="AV133:AV139" si="161">P133+AN133</f>
        <v>4.9718</v>
      </c>
      <c r="AW133" s="501">
        <f t="shared" ref="AW133:AX139" si="162">Q133+AL133</f>
        <v>4</v>
      </c>
      <c r="AX133" s="502">
        <f t="shared" si="162"/>
        <v>0.9718</v>
      </c>
    </row>
    <row r="134" spans="1:50" s="695" customFormat="1" ht="12.75" customHeight="1" x14ac:dyDescent="0.2">
      <c r="A134" s="697">
        <v>30</v>
      </c>
      <c r="B134" s="698">
        <v>3419</v>
      </c>
      <c r="C134" s="698">
        <v>600078434</v>
      </c>
      <c r="D134" s="698">
        <v>72742658</v>
      </c>
      <c r="E134" s="699" t="s">
        <v>67</v>
      </c>
      <c r="F134" s="698">
        <v>3113</v>
      </c>
      <c r="G134" s="700" t="s">
        <v>320</v>
      </c>
      <c r="H134" s="701" t="s">
        <v>283</v>
      </c>
      <c r="I134" s="495">
        <v>11948734</v>
      </c>
      <c r="J134" s="496">
        <v>8503830</v>
      </c>
      <c r="K134" s="496">
        <v>78128</v>
      </c>
      <c r="L134" s="496">
        <v>20128</v>
      </c>
      <c r="M134" s="496">
        <v>2893899</v>
      </c>
      <c r="N134" s="496">
        <v>170077</v>
      </c>
      <c r="O134" s="496">
        <v>302800</v>
      </c>
      <c r="P134" s="497">
        <v>16.814299999999999</v>
      </c>
      <c r="Q134" s="412">
        <v>12.687100000000001</v>
      </c>
      <c r="R134" s="498">
        <v>4.1272000000000011</v>
      </c>
      <c r="S134" s="530">
        <f t="shared" si="147"/>
        <v>0</v>
      </c>
      <c r="T134" s="486">
        <v>0</v>
      </c>
      <c r="U134" s="486">
        <v>0</v>
      </c>
      <c r="V134" s="486">
        <f t="shared" si="148"/>
        <v>0</v>
      </c>
      <c r="W134" s="486">
        <v>0</v>
      </c>
      <c r="X134" s="486">
        <v>0</v>
      </c>
      <c r="Y134" s="486">
        <f t="shared" si="149"/>
        <v>0</v>
      </c>
      <c r="Z134" s="486">
        <f t="shared" si="150"/>
        <v>0</v>
      </c>
      <c r="AA134" s="319">
        <f t="shared" si="151"/>
        <v>0</v>
      </c>
      <c r="AB134" s="178">
        <f t="shared" si="152"/>
        <v>0</v>
      </c>
      <c r="AC134" s="486">
        <v>0</v>
      </c>
      <c r="AD134" s="486">
        <v>0</v>
      </c>
      <c r="AE134" s="486">
        <f t="shared" si="94"/>
        <v>0</v>
      </c>
      <c r="AF134" s="486">
        <f t="shared" si="95"/>
        <v>0</v>
      </c>
      <c r="AG134" s="501">
        <v>0</v>
      </c>
      <c r="AH134" s="501">
        <v>0</v>
      </c>
      <c r="AI134" s="501">
        <v>0</v>
      </c>
      <c r="AJ134" s="501">
        <v>0</v>
      </c>
      <c r="AK134" s="501">
        <v>0</v>
      </c>
      <c r="AL134" s="501">
        <f t="shared" si="153"/>
        <v>0</v>
      </c>
      <c r="AM134" s="501">
        <f t="shared" si="154"/>
        <v>0</v>
      </c>
      <c r="AN134" s="529">
        <f t="shared" si="96"/>
        <v>0</v>
      </c>
      <c r="AO134" s="530">
        <f t="shared" si="155"/>
        <v>11948734</v>
      </c>
      <c r="AP134" s="486">
        <f t="shared" si="156"/>
        <v>8503830</v>
      </c>
      <c r="AQ134" s="486">
        <f t="shared" si="157"/>
        <v>78128</v>
      </c>
      <c r="AR134" s="486">
        <f t="shared" si="158"/>
        <v>20128</v>
      </c>
      <c r="AS134" s="486">
        <f t="shared" si="159"/>
        <v>2893899</v>
      </c>
      <c r="AT134" s="486">
        <f t="shared" si="159"/>
        <v>170077</v>
      </c>
      <c r="AU134" s="486">
        <f t="shared" si="160"/>
        <v>302800</v>
      </c>
      <c r="AV134" s="501">
        <f t="shared" si="161"/>
        <v>16.814299999999999</v>
      </c>
      <c r="AW134" s="501">
        <f t="shared" si="162"/>
        <v>12.687100000000001</v>
      </c>
      <c r="AX134" s="502">
        <f t="shared" si="162"/>
        <v>4.1272000000000011</v>
      </c>
    </row>
    <row r="135" spans="1:50" s="695" customFormat="1" x14ac:dyDescent="0.2">
      <c r="A135" s="697">
        <v>30</v>
      </c>
      <c r="B135" s="698">
        <v>3419</v>
      </c>
      <c r="C135" s="698">
        <v>600078434</v>
      </c>
      <c r="D135" s="698">
        <v>72742658</v>
      </c>
      <c r="E135" s="699" t="s">
        <v>67</v>
      </c>
      <c r="F135" s="698">
        <v>3113</v>
      </c>
      <c r="G135" s="700" t="s">
        <v>318</v>
      </c>
      <c r="H135" s="701" t="s">
        <v>284</v>
      </c>
      <c r="I135" s="495">
        <v>2416254</v>
      </c>
      <c r="J135" s="496">
        <v>1777801</v>
      </c>
      <c r="K135" s="475">
        <v>0</v>
      </c>
      <c r="L135" s="475">
        <v>0</v>
      </c>
      <c r="M135" s="319">
        <v>600897</v>
      </c>
      <c r="N135" s="319">
        <v>35556</v>
      </c>
      <c r="O135" s="496">
        <v>2000</v>
      </c>
      <c r="P135" s="497">
        <v>5.2600000000000007</v>
      </c>
      <c r="Q135" s="412">
        <v>5.2600000000000007</v>
      </c>
      <c r="R135" s="498">
        <v>0</v>
      </c>
      <c r="S135" s="530">
        <f t="shared" si="147"/>
        <v>0</v>
      </c>
      <c r="T135" s="486">
        <v>0</v>
      </c>
      <c r="U135" s="486">
        <v>0</v>
      </c>
      <c r="V135" s="486">
        <f t="shared" si="148"/>
        <v>0</v>
      </c>
      <c r="W135" s="486">
        <v>0</v>
      </c>
      <c r="X135" s="486">
        <v>0</v>
      </c>
      <c r="Y135" s="486">
        <f t="shared" si="149"/>
        <v>0</v>
      </c>
      <c r="Z135" s="486">
        <f t="shared" si="150"/>
        <v>0</v>
      </c>
      <c r="AA135" s="319">
        <f t="shared" si="151"/>
        <v>0</v>
      </c>
      <c r="AB135" s="178">
        <f t="shared" si="152"/>
        <v>0</v>
      </c>
      <c r="AC135" s="486">
        <v>0</v>
      </c>
      <c r="AD135" s="486">
        <v>0</v>
      </c>
      <c r="AE135" s="486">
        <f t="shared" si="94"/>
        <v>0</v>
      </c>
      <c r="AF135" s="486">
        <f t="shared" si="95"/>
        <v>0</v>
      </c>
      <c r="AG135" s="501">
        <v>0</v>
      </c>
      <c r="AH135" s="501">
        <v>0</v>
      </c>
      <c r="AI135" s="501">
        <v>0</v>
      </c>
      <c r="AJ135" s="501">
        <v>0</v>
      </c>
      <c r="AK135" s="501">
        <v>0</v>
      </c>
      <c r="AL135" s="501">
        <f t="shared" si="153"/>
        <v>0</v>
      </c>
      <c r="AM135" s="501">
        <f t="shared" si="154"/>
        <v>0</v>
      </c>
      <c r="AN135" s="529">
        <f t="shared" si="96"/>
        <v>0</v>
      </c>
      <c r="AO135" s="530">
        <f t="shared" si="155"/>
        <v>2416254</v>
      </c>
      <c r="AP135" s="486">
        <f t="shared" si="156"/>
        <v>1777801</v>
      </c>
      <c r="AQ135" s="486">
        <f t="shared" si="157"/>
        <v>0</v>
      </c>
      <c r="AR135" s="486">
        <f t="shared" si="158"/>
        <v>0</v>
      </c>
      <c r="AS135" s="486">
        <f t="shared" si="159"/>
        <v>600897</v>
      </c>
      <c r="AT135" s="486">
        <f t="shared" si="159"/>
        <v>35556</v>
      </c>
      <c r="AU135" s="486">
        <f t="shared" si="160"/>
        <v>2000</v>
      </c>
      <c r="AV135" s="501">
        <f t="shared" si="161"/>
        <v>5.2600000000000007</v>
      </c>
      <c r="AW135" s="501">
        <f t="shared" si="162"/>
        <v>5.2600000000000007</v>
      </c>
      <c r="AX135" s="502">
        <f t="shared" si="162"/>
        <v>0</v>
      </c>
    </row>
    <row r="136" spans="1:50" s="695" customFormat="1" ht="12.75" customHeight="1" x14ac:dyDescent="0.2">
      <c r="A136" s="697">
        <v>30</v>
      </c>
      <c r="B136" s="698">
        <v>3419</v>
      </c>
      <c r="C136" s="698">
        <v>600078434</v>
      </c>
      <c r="D136" s="698">
        <v>72742658</v>
      </c>
      <c r="E136" s="699" t="s">
        <v>67</v>
      </c>
      <c r="F136" s="698">
        <v>3141</v>
      </c>
      <c r="G136" s="700" t="s">
        <v>321</v>
      </c>
      <c r="H136" s="701" t="s">
        <v>284</v>
      </c>
      <c r="I136" s="495">
        <v>1675096</v>
      </c>
      <c r="J136" s="496">
        <v>1225559</v>
      </c>
      <c r="K136" s="475">
        <v>0</v>
      </c>
      <c r="L136" s="475">
        <v>0</v>
      </c>
      <c r="M136" s="319">
        <v>414238</v>
      </c>
      <c r="N136" s="319">
        <v>24511</v>
      </c>
      <c r="O136" s="496">
        <v>10788</v>
      </c>
      <c r="P136" s="497">
        <v>4.17</v>
      </c>
      <c r="Q136" s="412">
        <v>0</v>
      </c>
      <c r="R136" s="498">
        <v>4.17</v>
      </c>
      <c r="S136" s="530">
        <f t="shared" si="147"/>
        <v>0</v>
      </c>
      <c r="T136" s="486">
        <v>0</v>
      </c>
      <c r="U136" s="486">
        <v>0</v>
      </c>
      <c r="V136" s="486">
        <f t="shared" si="148"/>
        <v>0</v>
      </c>
      <c r="W136" s="486">
        <v>0</v>
      </c>
      <c r="X136" s="486">
        <v>0</v>
      </c>
      <c r="Y136" s="486">
        <f t="shared" si="149"/>
        <v>0</v>
      </c>
      <c r="Z136" s="486">
        <f t="shared" si="150"/>
        <v>0</v>
      </c>
      <c r="AA136" s="319">
        <f t="shared" si="151"/>
        <v>0</v>
      </c>
      <c r="AB136" s="178">
        <f t="shared" si="152"/>
        <v>0</v>
      </c>
      <c r="AC136" s="486">
        <v>0</v>
      </c>
      <c r="AD136" s="486">
        <v>0</v>
      </c>
      <c r="AE136" s="486">
        <f t="shared" si="94"/>
        <v>0</v>
      </c>
      <c r="AF136" s="486">
        <f t="shared" si="95"/>
        <v>0</v>
      </c>
      <c r="AG136" s="501">
        <v>0</v>
      </c>
      <c r="AH136" s="501">
        <v>0</v>
      </c>
      <c r="AI136" s="501">
        <v>0</v>
      </c>
      <c r="AJ136" s="501">
        <v>0</v>
      </c>
      <c r="AK136" s="501">
        <v>0</v>
      </c>
      <c r="AL136" s="501">
        <f t="shared" si="153"/>
        <v>0</v>
      </c>
      <c r="AM136" s="501">
        <f t="shared" si="154"/>
        <v>0</v>
      </c>
      <c r="AN136" s="529">
        <f t="shared" si="96"/>
        <v>0</v>
      </c>
      <c r="AO136" s="530">
        <f t="shared" si="155"/>
        <v>1675096</v>
      </c>
      <c r="AP136" s="486">
        <f t="shared" si="156"/>
        <v>1225559</v>
      </c>
      <c r="AQ136" s="486">
        <f t="shared" si="157"/>
        <v>0</v>
      </c>
      <c r="AR136" s="486">
        <f t="shared" si="158"/>
        <v>0</v>
      </c>
      <c r="AS136" s="486">
        <f t="shared" si="159"/>
        <v>414238</v>
      </c>
      <c r="AT136" s="486">
        <f t="shared" si="159"/>
        <v>24511</v>
      </c>
      <c r="AU136" s="486">
        <f t="shared" si="160"/>
        <v>10788</v>
      </c>
      <c r="AV136" s="501">
        <f t="shared" si="161"/>
        <v>4.17</v>
      </c>
      <c r="AW136" s="501">
        <f t="shared" si="162"/>
        <v>0</v>
      </c>
      <c r="AX136" s="502">
        <f t="shared" si="162"/>
        <v>4.17</v>
      </c>
    </row>
    <row r="137" spans="1:50" s="695" customFormat="1" ht="12.75" customHeight="1" x14ac:dyDescent="0.2">
      <c r="A137" s="697">
        <v>30</v>
      </c>
      <c r="B137" s="698">
        <v>3419</v>
      </c>
      <c r="C137" s="698">
        <v>600078434</v>
      </c>
      <c r="D137" s="698">
        <v>72742658</v>
      </c>
      <c r="E137" s="699" t="s">
        <v>67</v>
      </c>
      <c r="F137" s="698">
        <v>3143</v>
      </c>
      <c r="G137" s="700" t="s">
        <v>634</v>
      </c>
      <c r="H137" s="701" t="s">
        <v>283</v>
      </c>
      <c r="I137" s="495">
        <v>825146</v>
      </c>
      <c r="J137" s="496">
        <v>607619</v>
      </c>
      <c r="K137" s="475">
        <v>0</v>
      </c>
      <c r="L137" s="475">
        <v>0</v>
      </c>
      <c r="M137" s="319">
        <v>205375</v>
      </c>
      <c r="N137" s="319">
        <v>12152</v>
      </c>
      <c r="O137" s="496">
        <v>0</v>
      </c>
      <c r="P137" s="497">
        <v>1.2946</v>
      </c>
      <c r="Q137" s="497">
        <v>1.2946</v>
      </c>
      <c r="R137" s="498">
        <v>0</v>
      </c>
      <c r="S137" s="530">
        <f t="shared" si="147"/>
        <v>0</v>
      </c>
      <c r="T137" s="486">
        <v>0</v>
      </c>
      <c r="U137" s="486">
        <v>0</v>
      </c>
      <c r="V137" s="486">
        <f t="shared" si="148"/>
        <v>0</v>
      </c>
      <c r="W137" s="486">
        <v>0</v>
      </c>
      <c r="X137" s="486">
        <v>0</v>
      </c>
      <c r="Y137" s="486">
        <f t="shared" si="149"/>
        <v>0</v>
      </c>
      <c r="Z137" s="486">
        <f t="shared" si="150"/>
        <v>0</v>
      </c>
      <c r="AA137" s="319">
        <f t="shared" si="151"/>
        <v>0</v>
      </c>
      <c r="AB137" s="178">
        <f t="shared" si="152"/>
        <v>0</v>
      </c>
      <c r="AC137" s="486">
        <v>0</v>
      </c>
      <c r="AD137" s="486">
        <v>0</v>
      </c>
      <c r="AE137" s="486">
        <f t="shared" si="94"/>
        <v>0</v>
      </c>
      <c r="AF137" s="486">
        <f t="shared" si="95"/>
        <v>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si="153"/>
        <v>0</v>
      </c>
      <c r="AM137" s="501">
        <f t="shared" si="154"/>
        <v>0</v>
      </c>
      <c r="AN137" s="529">
        <f t="shared" si="96"/>
        <v>0</v>
      </c>
      <c r="AO137" s="530">
        <f t="shared" si="155"/>
        <v>825146</v>
      </c>
      <c r="AP137" s="486">
        <f t="shared" si="156"/>
        <v>607619</v>
      </c>
      <c r="AQ137" s="486">
        <f t="shared" si="157"/>
        <v>0</v>
      </c>
      <c r="AR137" s="486">
        <f t="shared" si="158"/>
        <v>0</v>
      </c>
      <c r="AS137" s="486">
        <f t="shared" si="159"/>
        <v>205375</v>
      </c>
      <c r="AT137" s="486">
        <f t="shared" si="159"/>
        <v>12152</v>
      </c>
      <c r="AU137" s="486">
        <f t="shared" si="160"/>
        <v>0</v>
      </c>
      <c r="AV137" s="501">
        <f t="shared" si="161"/>
        <v>1.2946</v>
      </c>
      <c r="AW137" s="501">
        <f t="shared" si="162"/>
        <v>1.2946</v>
      </c>
      <c r="AX137" s="502">
        <f t="shared" si="162"/>
        <v>0</v>
      </c>
    </row>
    <row r="138" spans="1:50" s="695" customFormat="1" ht="12.75" customHeight="1" x14ac:dyDescent="0.2">
      <c r="A138" s="697">
        <v>30</v>
      </c>
      <c r="B138" s="698">
        <v>3419</v>
      </c>
      <c r="C138" s="698">
        <v>600078434</v>
      </c>
      <c r="D138" s="698">
        <v>72742658</v>
      </c>
      <c r="E138" s="699" t="s">
        <v>67</v>
      </c>
      <c r="F138" s="698">
        <v>3143</v>
      </c>
      <c r="G138" s="700" t="s">
        <v>635</v>
      </c>
      <c r="H138" s="701" t="s">
        <v>284</v>
      </c>
      <c r="I138" s="495">
        <v>32301</v>
      </c>
      <c r="J138" s="496">
        <v>22770</v>
      </c>
      <c r="K138" s="475">
        <v>0</v>
      </c>
      <c r="L138" s="475">
        <v>0</v>
      </c>
      <c r="M138" s="319">
        <v>7696</v>
      </c>
      <c r="N138" s="319">
        <v>455</v>
      </c>
      <c r="O138" s="496">
        <v>1380</v>
      </c>
      <c r="P138" s="497">
        <v>0.1</v>
      </c>
      <c r="Q138" s="412">
        <v>0</v>
      </c>
      <c r="R138" s="498">
        <v>0.1</v>
      </c>
      <c r="S138" s="530">
        <f t="shared" si="147"/>
        <v>0</v>
      </c>
      <c r="T138" s="486">
        <v>0</v>
      </c>
      <c r="U138" s="486">
        <v>0</v>
      </c>
      <c r="V138" s="486">
        <f t="shared" si="148"/>
        <v>0</v>
      </c>
      <c r="W138" s="486">
        <v>0</v>
      </c>
      <c r="X138" s="486">
        <v>0</v>
      </c>
      <c r="Y138" s="486">
        <f t="shared" si="149"/>
        <v>0</v>
      </c>
      <c r="Z138" s="486">
        <f t="shared" si="150"/>
        <v>0</v>
      </c>
      <c r="AA138" s="319">
        <f t="shared" si="151"/>
        <v>0</v>
      </c>
      <c r="AB138" s="178">
        <f t="shared" si="152"/>
        <v>0</v>
      </c>
      <c r="AC138" s="486">
        <v>0</v>
      </c>
      <c r="AD138" s="486">
        <v>0</v>
      </c>
      <c r="AE138" s="486">
        <f t="shared" si="94"/>
        <v>0</v>
      </c>
      <c r="AF138" s="486">
        <f t="shared" si="95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153"/>
        <v>0</v>
      </c>
      <c r="AM138" s="501">
        <f t="shared" si="154"/>
        <v>0</v>
      </c>
      <c r="AN138" s="529">
        <f t="shared" si="96"/>
        <v>0</v>
      </c>
      <c r="AO138" s="530">
        <f t="shared" si="155"/>
        <v>32301</v>
      </c>
      <c r="AP138" s="486">
        <f t="shared" si="156"/>
        <v>22770</v>
      </c>
      <c r="AQ138" s="486">
        <f t="shared" si="157"/>
        <v>0</v>
      </c>
      <c r="AR138" s="486">
        <f t="shared" si="158"/>
        <v>0</v>
      </c>
      <c r="AS138" s="486">
        <f t="shared" si="159"/>
        <v>7696</v>
      </c>
      <c r="AT138" s="486">
        <f t="shared" si="159"/>
        <v>455</v>
      </c>
      <c r="AU138" s="486">
        <f t="shared" si="160"/>
        <v>1380</v>
      </c>
      <c r="AV138" s="501">
        <f t="shared" si="161"/>
        <v>0.1</v>
      </c>
      <c r="AW138" s="501">
        <f t="shared" si="162"/>
        <v>0</v>
      </c>
      <c r="AX138" s="502">
        <f t="shared" si="162"/>
        <v>0.1</v>
      </c>
    </row>
    <row r="139" spans="1:50" s="695" customFormat="1" ht="12.75" customHeight="1" x14ac:dyDescent="0.2">
      <c r="A139" s="697">
        <v>30</v>
      </c>
      <c r="B139" s="698">
        <v>3419</v>
      </c>
      <c r="C139" s="698">
        <v>600078434</v>
      </c>
      <c r="D139" s="698">
        <v>72742658</v>
      </c>
      <c r="E139" s="699" t="s">
        <v>67</v>
      </c>
      <c r="F139" s="698">
        <v>3143</v>
      </c>
      <c r="G139" s="700" t="s">
        <v>323</v>
      </c>
      <c r="H139" s="701" t="s">
        <v>284</v>
      </c>
      <c r="I139" s="495">
        <v>331366</v>
      </c>
      <c r="J139" s="496">
        <v>243480</v>
      </c>
      <c r="K139" s="475">
        <v>0</v>
      </c>
      <c r="L139" s="475">
        <v>0</v>
      </c>
      <c r="M139" s="319">
        <v>82296</v>
      </c>
      <c r="N139" s="319">
        <v>4870</v>
      </c>
      <c r="O139" s="496">
        <v>720</v>
      </c>
      <c r="P139" s="497">
        <v>0.55000000000000004</v>
      </c>
      <c r="Q139" s="412">
        <v>0.5</v>
      </c>
      <c r="R139" s="498">
        <v>0.05</v>
      </c>
      <c r="S139" s="530">
        <f t="shared" si="147"/>
        <v>0</v>
      </c>
      <c r="T139" s="486">
        <v>0</v>
      </c>
      <c r="U139" s="486">
        <v>0</v>
      </c>
      <c r="V139" s="486">
        <f t="shared" si="148"/>
        <v>0</v>
      </c>
      <c r="W139" s="486">
        <v>0</v>
      </c>
      <c r="X139" s="486">
        <v>0</v>
      </c>
      <c r="Y139" s="486">
        <f t="shared" si="149"/>
        <v>0</v>
      </c>
      <c r="Z139" s="486">
        <f t="shared" si="150"/>
        <v>0</v>
      </c>
      <c r="AA139" s="319">
        <f t="shared" si="151"/>
        <v>0</v>
      </c>
      <c r="AB139" s="178">
        <f t="shared" si="152"/>
        <v>0</v>
      </c>
      <c r="AC139" s="486">
        <v>0</v>
      </c>
      <c r="AD139" s="486">
        <v>0</v>
      </c>
      <c r="AE139" s="486">
        <f t="shared" si="94"/>
        <v>0</v>
      </c>
      <c r="AF139" s="486">
        <f t="shared" si="95"/>
        <v>0</v>
      </c>
      <c r="AG139" s="501">
        <v>0</v>
      </c>
      <c r="AH139" s="501">
        <v>0</v>
      </c>
      <c r="AI139" s="501">
        <v>0</v>
      </c>
      <c r="AJ139" s="501">
        <v>0</v>
      </c>
      <c r="AK139" s="501">
        <v>0</v>
      </c>
      <c r="AL139" s="501">
        <f t="shared" si="153"/>
        <v>0</v>
      </c>
      <c r="AM139" s="501">
        <f t="shared" si="154"/>
        <v>0</v>
      </c>
      <c r="AN139" s="529">
        <f t="shared" si="96"/>
        <v>0</v>
      </c>
      <c r="AO139" s="530">
        <f t="shared" si="155"/>
        <v>331366</v>
      </c>
      <c r="AP139" s="486">
        <f t="shared" si="156"/>
        <v>243480</v>
      </c>
      <c r="AQ139" s="486">
        <f t="shared" si="157"/>
        <v>0</v>
      </c>
      <c r="AR139" s="486">
        <f t="shared" si="158"/>
        <v>0</v>
      </c>
      <c r="AS139" s="486">
        <f t="shared" si="159"/>
        <v>82296</v>
      </c>
      <c r="AT139" s="486">
        <f t="shared" si="159"/>
        <v>4870</v>
      </c>
      <c r="AU139" s="486">
        <f t="shared" si="160"/>
        <v>720</v>
      </c>
      <c r="AV139" s="501">
        <f t="shared" si="161"/>
        <v>0.55000000000000004</v>
      </c>
      <c r="AW139" s="501">
        <f t="shared" si="162"/>
        <v>0.5</v>
      </c>
      <c r="AX139" s="502">
        <f t="shared" si="162"/>
        <v>0.05</v>
      </c>
    </row>
    <row r="140" spans="1:50" s="695" customFormat="1" ht="12.75" customHeight="1" x14ac:dyDescent="0.2">
      <c r="A140" s="279">
        <v>30</v>
      </c>
      <c r="B140" s="21">
        <v>3419</v>
      </c>
      <c r="C140" s="277">
        <v>600078434</v>
      </c>
      <c r="D140" s="277">
        <v>72742658</v>
      </c>
      <c r="E140" s="696" t="s">
        <v>68</v>
      </c>
      <c r="F140" s="21"/>
      <c r="G140" s="278"/>
      <c r="H140" s="749"/>
      <c r="I140" s="29">
        <v>20205274</v>
      </c>
      <c r="J140" s="266">
        <v>14537169</v>
      </c>
      <c r="K140" s="266">
        <v>88128</v>
      </c>
      <c r="L140" s="266">
        <v>20128</v>
      </c>
      <c r="M140" s="266">
        <v>4936546</v>
      </c>
      <c r="N140" s="266">
        <v>290743</v>
      </c>
      <c r="O140" s="266">
        <v>352688</v>
      </c>
      <c r="P140" s="750">
        <v>33.160699999999999</v>
      </c>
      <c r="Q140" s="750">
        <v>23.741700000000002</v>
      </c>
      <c r="R140" s="751">
        <v>9.4190000000000023</v>
      </c>
      <c r="S140" s="29">
        <f t="shared" ref="S140:AX140" si="163">SUM(S133:S139)</f>
        <v>0</v>
      </c>
      <c r="T140" s="22">
        <f t="shared" si="163"/>
        <v>0</v>
      </c>
      <c r="U140" s="22">
        <f t="shared" si="163"/>
        <v>0</v>
      </c>
      <c r="V140" s="22">
        <f t="shared" si="163"/>
        <v>0</v>
      </c>
      <c r="W140" s="22">
        <f t="shared" si="163"/>
        <v>0</v>
      </c>
      <c r="X140" s="22">
        <f t="shared" si="163"/>
        <v>0</v>
      </c>
      <c r="Y140" s="22">
        <f t="shared" si="163"/>
        <v>0</v>
      </c>
      <c r="Z140" s="22">
        <f t="shared" si="163"/>
        <v>0</v>
      </c>
      <c r="AA140" s="22">
        <f t="shared" si="163"/>
        <v>0</v>
      </c>
      <c r="AB140" s="22">
        <f t="shared" si="163"/>
        <v>0</v>
      </c>
      <c r="AC140" s="22">
        <f t="shared" si="163"/>
        <v>0</v>
      </c>
      <c r="AD140" s="22">
        <f t="shared" si="163"/>
        <v>0</v>
      </c>
      <c r="AE140" s="22">
        <f t="shared" si="163"/>
        <v>0</v>
      </c>
      <c r="AF140" s="22">
        <f t="shared" si="163"/>
        <v>0</v>
      </c>
      <c r="AG140" s="23">
        <f t="shared" si="163"/>
        <v>0</v>
      </c>
      <c r="AH140" s="23">
        <f t="shared" si="163"/>
        <v>0</v>
      </c>
      <c r="AI140" s="23">
        <f t="shared" si="163"/>
        <v>0</v>
      </c>
      <c r="AJ140" s="23">
        <f t="shared" si="163"/>
        <v>0</v>
      </c>
      <c r="AK140" s="23">
        <f t="shared" si="163"/>
        <v>0</v>
      </c>
      <c r="AL140" s="23">
        <f t="shared" si="163"/>
        <v>0</v>
      </c>
      <c r="AM140" s="23">
        <f t="shared" si="163"/>
        <v>0</v>
      </c>
      <c r="AN140" s="752">
        <f t="shared" si="163"/>
        <v>0</v>
      </c>
      <c r="AO140" s="29">
        <f t="shared" si="163"/>
        <v>20205274</v>
      </c>
      <c r="AP140" s="22">
        <f t="shared" si="163"/>
        <v>14537169</v>
      </c>
      <c r="AQ140" s="22">
        <f t="shared" si="163"/>
        <v>88128</v>
      </c>
      <c r="AR140" s="67">
        <f t="shared" si="163"/>
        <v>20128</v>
      </c>
      <c r="AS140" s="22">
        <f t="shared" si="163"/>
        <v>4936546</v>
      </c>
      <c r="AT140" s="22">
        <f t="shared" si="163"/>
        <v>290743</v>
      </c>
      <c r="AU140" s="22">
        <f t="shared" si="163"/>
        <v>352688</v>
      </c>
      <c r="AV140" s="23">
        <f t="shared" si="163"/>
        <v>33.160699999999999</v>
      </c>
      <c r="AW140" s="23">
        <f t="shared" si="163"/>
        <v>23.741700000000002</v>
      </c>
      <c r="AX140" s="55">
        <f t="shared" si="163"/>
        <v>9.4190000000000023</v>
      </c>
    </row>
    <row r="141" spans="1:50" s="695" customFormat="1" ht="12.75" customHeight="1" x14ac:dyDescent="0.2">
      <c r="A141" s="697">
        <v>31</v>
      </c>
      <c r="B141" s="698">
        <v>3422</v>
      </c>
      <c r="C141" s="698">
        <v>600078591</v>
      </c>
      <c r="D141" s="698">
        <v>72742682</v>
      </c>
      <c r="E141" s="699" t="s">
        <v>69</v>
      </c>
      <c r="F141" s="698">
        <v>3111</v>
      </c>
      <c r="G141" s="700" t="s">
        <v>317</v>
      </c>
      <c r="H141" s="701" t="s">
        <v>283</v>
      </c>
      <c r="I141" s="495">
        <v>2537972</v>
      </c>
      <c r="J141" s="496">
        <v>1846739</v>
      </c>
      <c r="K141" s="475">
        <v>0</v>
      </c>
      <c r="L141" s="475">
        <v>0</v>
      </c>
      <c r="M141" s="319">
        <v>624198</v>
      </c>
      <c r="N141" s="319">
        <v>36935</v>
      </c>
      <c r="O141" s="496">
        <v>30100</v>
      </c>
      <c r="P141" s="497">
        <v>4.8281999999999998</v>
      </c>
      <c r="Q141" s="412">
        <v>3.8064</v>
      </c>
      <c r="R141" s="498">
        <v>1.0218</v>
      </c>
      <c r="S141" s="530">
        <f t="shared" ref="S141:S146" si="164">W141*-1</f>
        <v>0</v>
      </c>
      <c r="T141" s="486">
        <v>0</v>
      </c>
      <c r="U141" s="486">
        <v>0</v>
      </c>
      <c r="V141" s="486">
        <f t="shared" ref="V141:V146" si="165">SUM(S141:U141)</f>
        <v>0</v>
      </c>
      <c r="W141" s="486">
        <v>0</v>
      </c>
      <c r="X141" s="486">
        <v>0</v>
      </c>
      <c r="Y141" s="486">
        <f t="shared" ref="Y141:Y146" si="166">SUM(W141:X141)</f>
        <v>0</v>
      </c>
      <c r="Z141" s="486">
        <f t="shared" ref="Z141:Z146" si="167">V141+Y141</f>
        <v>0</v>
      </c>
      <c r="AA141" s="319">
        <f t="shared" ref="AA141:AA146" si="168">ROUND((V141+W141)*33.8%,0)</f>
        <v>0</v>
      </c>
      <c r="AB141" s="178">
        <f t="shared" ref="AB141:AB146" si="169">ROUND(V141*2%,0)</f>
        <v>0</v>
      </c>
      <c r="AC141" s="486">
        <v>0</v>
      </c>
      <c r="AD141" s="486">
        <v>0</v>
      </c>
      <c r="AE141" s="486">
        <f t="shared" si="94"/>
        <v>0</v>
      </c>
      <c r="AF141" s="486">
        <f t="shared" si="95"/>
        <v>0</v>
      </c>
      <c r="AG141" s="501">
        <v>0</v>
      </c>
      <c r="AH141" s="501">
        <v>0</v>
      </c>
      <c r="AI141" s="501">
        <v>0</v>
      </c>
      <c r="AJ141" s="501">
        <v>0</v>
      </c>
      <c r="AK141" s="501">
        <v>0</v>
      </c>
      <c r="AL141" s="501">
        <f t="shared" ref="AL141:AL146" si="170">AG141+AI141+AJ141</f>
        <v>0</v>
      </c>
      <c r="AM141" s="501">
        <f t="shared" ref="AM141:AM146" si="171">AH141+AK141</f>
        <v>0</v>
      </c>
      <c r="AN141" s="529">
        <f t="shared" si="96"/>
        <v>0</v>
      </c>
      <c r="AO141" s="530">
        <f t="shared" ref="AO141:AO146" si="172">I141+AF141</f>
        <v>2537972</v>
      </c>
      <c r="AP141" s="486">
        <f t="shared" ref="AP141:AP146" si="173">J141+V141</f>
        <v>1846739</v>
      </c>
      <c r="AQ141" s="486">
        <f t="shared" ref="AQ141:AQ146" si="174">K141+Y141</f>
        <v>0</v>
      </c>
      <c r="AR141" s="486">
        <f t="shared" ref="AR141:AR146" si="175">L141</f>
        <v>0</v>
      </c>
      <c r="AS141" s="486">
        <f t="shared" ref="AS141:AT146" si="176">M141+AA141</f>
        <v>624198</v>
      </c>
      <c r="AT141" s="486">
        <f t="shared" si="176"/>
        <v>36935</v>
      </c>
      <c r="AU141" s="486">
        <f t="shared" ref="AU141:AU146" si="177">O141+AE141</f>
        <v>30100</v>
      </c>
      <c r="AV141" s="501">
        <f t="shared" ref="AV141:AV146" si="178">P141+AN141</f>
        <v>4.8281999999999998</v>
      </c>
      <c r="AW141" s="501">
        <f t="shared" ref="AW141:AX146" si="179">Q141+AL141</f>
        <v>3.8064</v>
      </c>
      <c r="AX141" s="502">
        <f t="shared" si="179"/>
        <v>1.0218</v>
      </c>
    </row>
    <row r="142" spans="1:50" s="695" customFormat="1" ht="12.75" customHeight="1" x14ac:dyDescent="0.2">
      <c r="A142" s="697">
        <v>31</v>
      </c>
      <c r="B142" s="698">
        <v>3422</v>
      </c>
      <c r="C142" s="698">
        <v>600078591</v>
      </c>
      <c r="D142" s="698">
        <v>72742682</v>
      </c>
      <c r="E142" s="699" t="s">
        <v>69</v>
      </c>
      <c r="F142" s="698">
        <v>3113</v>
      </c>
      <c r="G142" s="700" t="s">
        <v>320</v>
      </c>
      <c r="H142" s="701" t="s">
        <v>283</v>
      </c>
      <c r="I142" s="495">
        <v>8118986</v>
      </c>
      <c r="J142" s="496">
        <v>5822676</v>
      </c>
      <c r="K142" s="496">
        <v>48736</v>
      </c>
      <c r="L142" s="496">
        <v>34336</v>
      </c>
      <c r="M142" s="496">
        <v>1962321</v>
      </c>
      <c r="N142" s="496">
        <v>116453</v>
      </c>
      <c r="O142" s="496">
        <v>168800</v>
      </c>
      <c r="P142" s="497">
        <v>12.4542</v>
      </c>
      <c r="Q142" s="412">
        <v>8.9388999999999985</v>
      </c>
      <c r="R142" s="498">
        <v>3.5153000000000016</v>
      </c>
      <c r="S142" s="530">
        <f t="shared" si="164"/>
        <v>0</v>
      </c>
      <c r="T142" s="486">
        <v>0</v>
      </c>
      <c r="U142" s="486">
        <v>0</v>
      </c>
      <c r="V142" s="486">
        <f t="shared" si="165"/>
        <v>0</v>
      </c>
      <c r="W142" s="486">
        <v>0</v>
      </c>
      <c r="X142" s="486">
        <v>0</v>
      </c>
      <c r="Y142" s="486">
        <f t="shared" si="166"/>
        <v>0</v>
      </c>
      <c r="Z142" s="486">
        <f t="shared" si="167"/>
        <v>0</v>
      </c>
      <c r="AA142" s="319">
        <f t="shared" si="168"/>
        <v>0</v>
      </c>
      <c r="AB142" s="178">
        <f t="shared" si="169"/>
        <v>0</v>
      </c>
      <c r="AC142" s="486">
        <v>0</v>
      </c>
      <c r="AD142" s="486">
        <v>0</v>
      </c>
      <c r="AE142" s="486">
        <f t="shared" si="94"/>
        <v>0</v>
      </c>
      <c r="AF142" s="486">
        <f t="shared" si="95"/>
        <v>0</v>
      </c>
      <c r="AG142" s="501">
        <v>0</v>
      </c>
      <c r="AH142" s="501">
        <v>0</v>
      </c>
      <c r="AI142" s="501">
        <v>0</v>
      </c>
      <c r="AJ142" s="501">
        <v>0</v>
      </c>
      <c r="AK142" s="501">
        <v>0</v>
      </c>
      <c r="AL142" s="501">
        <f t="shared" si="170"/>
        <v>0</v>
      </c>
      <c r="AM142" s="501">
        <f t="shared" si="171"/>
        <v>0</v>
      </c>
      <c r="AN142" s="529">
        <f t="shared" si="96"/>
        <v>0</v>
      </c>
      <c r="AO142" s="530">
        <f t="shared" si="172"/>
        <v>8118986</v>
      </c>
      <c r="AP142" s="486">
        <f t="shared" si="173"/>
        <v>5822676</v>
      </c>
      <c r="AQ142" s="486">
        <f t="shared" si="174"/>
        <v>48736</v>
      </c>
      <c r="AR142" s="486">
        <f t="shared" si="175"/>
        <v>34336</v>
      </c>
      <c r="AS142" s="486">
        <f t="shared" si="176"/>
        <v>1962321</v>
      </c>
      <c r="AT142" s="486">
        <f t="shared" si="176"/>
        <v>116453</v>
      </c>
      <c r="AU142" s="486">
        <f t="shared" si="177"/>
        <v>168800</v>
      </c>
      <c r="AV142" s="501">
        <f t="shared" si="178"/>
        <v>12.4542</v>
      </c>
      <c r="AW142" s="501">
        <f t="shared" si="179"/>
        <v>8.9388999999999985</v>
      </c>
      <c r="AX142" s="502">
        <f t="shared" si="179"/>
        <v>3.5153000000000016</v>
      </c>
    </row>
    <row r="143" spans="1:50" s="695" customFormat="1" x14ac:dyDescent="0.2">
      <c r="A143" s="697">
        <v>31</v>
      </c>
      <c r="B143" s="698">
        <v>3422</v>
      </c>
      <c r="C143" s="698">
        <v>600078591</v>
      </c>
      <c r="D143" s="698">
        <v>72742682</v>
      </c>
      <c r="E143" s="699" t="s">
        <v>69</v>
      </c>
      <c r="F143" s="698">
        <v>3113</v>
      </c>
      <c r="G143" s="700" t="s">
        <v>318</v>
      </c>
      <c r="H143" s="701" t="s">
        <v>284</v>
      </c>
      <c r="I143" s="495">
        <v>1790350</v>
      </c>
      <c r="J143" s="496">
        <v>1314138</v>
      </c>
      <c r="K143" s="475">
        <v>0</v>
      </c>
      <c r="L143" s="475">
        <v>0</v>
      </c>
      <c r="M143" s="319">
        <v>444179</v>
      </c>
      <c r="N143" s="319">
        <v>26283</v>
      </c>
      <c r="O143" s="496">
        <v>5750</v>
      </c>
      <c r="P143" s="497">
        <v>3.86</v>
      </c>
      <c r="Q143" s="412">
        <v>3.86</v>
      </c>
      <c r="R143" s="498">
        <v>0</v>
      </c>
      <c r="S143" s="530">
        <f t="shared" si="164"/>
        <v>0</v>
      </c>
      <c r="T143" s="486">
        <v>0</v>
      </c>
      <c r="U143" s="486">
        <v>0</v>
      </c>
      <c r="V143" s="486">
        <f t="shared" si="165"/>
        <v>0</v>
      </c>
      <c r="W143" s="486">
        <v>0</v>
      </c>
      <c r="X143" s="486">
        <v>0</v>
      </c>
      <c r="Y143" s="486">
        <f t="shared" si="166"/>
        <v>0</v>
      </c>
      <c r="Z143" s="486">
        <f t="shared" si="167"/>
        <v>0</v>
      </c>
      <c r="AA143" s="319">
        <f t="shared" si="168"/>
        <v>0</v>
      </c>
      <c r="AB143" s="178">
        <f t="shared" si="169"/>
        <v>0</v>
      </c>
      <c r="AC143" s="486">
        <v>2500</v>
      </c>
      <c r="AD143" s="486">
        <v>0</v>
      </c>
      <c r="AE143" s="486">
        <f t="shared" ref="AE143:AE181" si="180">SUM(AC143:AD143)</f>
        <v>2500</v>
      </c>
      <c r="AF143" s="486">
        <f t="shared" ref="AF143:AF181" si="181">Z143+AA143+AB143+AE143</f>
        <v>2500</v>
      </c>
      <c r="AG143" s="501">
        <v>0</v>
      </c>
      <c r="AH143" s="501">
        <v>0</v>
      </c>
      <c r="AI143" s="501">
        <v>0</v>
      </c>
      <c r="AJ143" s="501">
        <v>0</v>
      </c>
      <c r="AK143" s="501">
        <v>0</v>
      </c>
      <c r="AL143" s="501">
        <f t="shared" si="170"/>
        <v>0</v>
      </c>
      <c r="AM143" s="501">
        <f t="shared" si="171"/>
        <v>0</v>
      </c>
      <c r="AN143" s="529">
        <f t="shared" ref="AN143:AN181" si="182">SUM(AL143:AM143)</f>
        <v>0</v>
      </c>
      <c r="AO143" s="530">
        <f t="shared" si="172"/>
        <v>1792850</v>
      </c>
      <c r="AP143" s="486">
        <f t="shared" si="173"/>
        <v>1314138</v>
      </c>
      <c r="AQ143" s="486">
        <f t="shared" si="174"/>
        <v>0</v>
      </c>
      <c r="AR143" s="486">
        <f t="shared" si="175"/>
        <v>0</v>
      </c>
      <c r="AS143" s="486">
        <f t="shared" si="176"/>
        <v>444179</v>
      </c>
      <c r="AT143" s="486">
        <f t="shared" si="176"/>
        <v>26283</v>
      </c>
      <c r="AU143" s="486">
        <f t="shared" si="177"/>
        <v>8250</v>
      </c>
      <c r="AV143" s="501">
        <f t="shared" si="178"/>
        <v>3.86</v>
      </c>
      <c r="AW143" s="501">
        <f t="shared" si="179"/>
        <v>3.86</v>
      </c>
      <c r="AX143" s="502">
        <f t="shared" si="179"/>
        <v>0</v>
      </c>
    </row>
    <row r="144" spans="1:50" s="695" customFormat="1" ht="12.75" customHeight="1" x14ac:dyDescent="0.2">
      <c r="A144" s="697">
        <v>31</v>
      </c>
      <c r="B144" s="698">
        <v>3422</v>
      </c>
      <c r="C144" s="698">
        <v>600078591</v>
      </c>
      <c r="D144" s="698">
        <v>72742682</v>
      </c>
      <c r="E144" s="699" t="s">
        <v>69</v>
      </c>
      <c r="F144" s="698">
        <v>3141</v>
      </c>
      <c r="G144" s="700" t="s">
        <v>321</v>
      </c>
      <c r="H144" s="701" t="s">
        <v>284</v>
      </c>
      <c r="I144" s="495">
        <v>1269350</v>
      </c>
      <c r="J144" s="496">
        <v>917155</v>
      </c>
      <c r="K144" s="475">
        <v>5000</v>
      </c>
      <c r="L144" s="475">
        <v>0</v>
      </c>
      <c r="M144" s="319">
        <v>322298</v>
      </c>
      <c r="N144" s="319">
        <v>18343</v>
      </c>
      <c r="O144" s="496">
        <v>6554</v>
      </c>
      <c r="P144" s="497">
        <v>3.15</v>
      </c>
      <c r="Q144" s="412">
        <v>0</v>
      </c>
      <c r="R144" s="498">
        <v>3.15</v>
      </c>
      <c r="S144" s="530">
        <f t="shared" si="164"/>
        <v>0</v>
      </c>
      <c r="T144" s="486">
        <v>0</v>
      </c>
      <c r="U144" s="486">
        <v>0</v>
      </c>
      <c r="V144" s="486">
        <f t="shared" si="165"/>
        <v>0</v>
      </c>
      <c r="W144" s="486">
        <v>0</v>
      </c>
      <c r="X144" s="486">
        <v>0</v>
      </c>
      <c r="Y144" s="486">
        <f t="shared" si="166"/>
        <v>0</v>
      </c>
      <c r="Z144" s="486">
        <f t="shared" si="167"/>
        <v>0</v>
      </c>
      <c r="AA144" s="319">
        <f t="shared" si="168"/>
        <v>0</v>
      </c>
      <c r="AB144" s="178">
        <f t="shared" si="169"/>
        <v>0</v>
      </c>
      <c r="AC144" s="486">
        <v>0</v>
      </c>
      <c r="AD144" s="486">
        <v>0</v>
      </c>
      <c r="AE144" s="486">
        <f t="shared" si="180"/>
        <v>0</v>
      </c>
      <c r="AF144" s="486">
        <f t="shared" si="181"/>
        <v>0</v>
      </c>
      <c r="AG144" s="501">
        <v>0</v>
      </c>
      <c r="AH144" s="501">
        <v>0</v>
      </c>
      <c r="AI144" s="501">
        <v>0</v>
      </c>
      <c r="AJ144" s="501">
        <v>0</v>
      </c>
      <c r="AK144" s="501">
        <v>0</v>
      </c>
      <c r="AL144" s="501">
        <f t="shared" si="170"/>
        <v>0</v>
      </c>
      <c r="AM144" s="501">
        <f t="shared" si="171"/>
        <v>0</v>
      </c>
      <c r="AN144" s="529">
        <f t="shared" si="182"/>
        <v>0</v>
      </c>
      <c r="AO144" s="530">
        <f t="shared" si="172"/>
        <v>1269350</v>
      </c>
      <c r="AP144" s="486">
        <f t="shared" si="173"/>
        <v>917155</v>
      </c>
      <c r="AQ144" s="486">
        <f t="shared" si="174"/>
        <v>5000</v>
      </c>
      <c r="AR144" s="486">
        <f t="shared" si="175"/>
        <v>0</v>
      </c>
      <c r="AS144" s="486">
        <f t="shared" si="176"/>
        <v>322298</v>
      </c>
      <c r="AT144" s="486">
        <f t="shared" si="176"/>
        <v>18343</v>
      </c>
      <c r="AU144" s="486">
        <f t="shared" si="177"/>
        <v>6554</v>
      </c>
      <c r="AV144" s="501">
        <f t="shared" si="178"/>
        <v>3.15</v>
      </c>
      <c r="AW144" s="501">
        <f t="shared" si="179"/>
        <v>0</v>
      </c>
      <c r="AX144" s="502">
        <f t="shared" si="179"/>
        <v>3.15</v>
      </c>
    </row>
    <row r="145" spans="1:50" s="695" customFormat="1" ht="12.75" customHeight="1" x14ac:dyDescent="0.2">
      <c r="A145" s="697">
        <v>31</v>
      </c>
      <c r="B145" s="698">
        <v>3422</v>
      </c>
      <c r="C145" s="698">
        <v>600078591</v>
      </c>
      <c r="D145" s="698">
        <v>72742682</v>
      </c>
      <c r="E145" s="699" t="s">
        <v>69</v>
      </c>
      <c r="F145" s="698">
        <v>3143</v>
      </c>
      <c r="G145" s="700" t="s">
        <v>634</v>
      </c>
      <c r="H145" s="701" t="s">
        <v>283</v>
      </c>
      <c r="I145" s="495">
        <v>341188</v>
      </c>
      <c r="J145" s="496">
        <v>251243</v>
      </c>
      <c r="K145" s="475">
        <v>0</v>
      </c>
      <c r="L145" s="475">
        <v>0</v>
      </c>
      <c r="M145" s="319">
        <v>84920</v>
      </c>
      <c r="N145" s="319">
        <v>5025</v>
      </c>
      <c r="O145" s="496">
        <v>0</v>
      </c>
      <c r="P145" s="497">
        <v>0.53569999999999995</v>
      </c>
      <c r="Q145" s="497">
        <v>0.53569999999999995</v>
      </c>
      <c r="R145" s="498">
        <v>0</v>
      </c>
      <c r="S145" s="530">
        <f t="shared" si="164"/>
        <v>0</v>
      </c>
      <c r="T145" s="486">
        <v>0</v>
      </c>
      <c r="U145" s="486">
        <v>0</v>
      </c>
      <c r="V145" s="486">
        <f t="shared" si="165"/>
        <v>0</v>
      </c>
      <c r="W145" s="486">
        <v>0</v>
      </c>
      <c r="X145" s="486">
        <v>0</v>
      </c>
      <c r="Y145" s="486">
        <f t="shared" si="166"/>
        <v>0</v>
      </c>
      <c r="Z145" s="486">
        <f t="shared" si="167"/>
        <v>0</v>
      </c>
      <c r="AA145" s="319">
        <f t="shared" si="168"/>
        <v>0</v>
      </c>
      <c r="AB145" s="178">
        <f t="shared" si="169"/>
        <v>0</v>
      </c>
      <c r="AC145" s="486">
        <v>0</v>
      </c>
      <c r="AD145" s="486">
        <v>0</v>
      </c>
      <c r="AE145" s="486">
        <f t="shared" si="180"/>
        <v>0</v>
      </c>
      <c r="AF145" s="486">
        <f t="shared" si="181"/>
        <v>0</v>
      </c>
      <c r="AG145" s="501">
        <v>0</v>
      </c>
      <c r="AH145" s="501">
        <v>0</v>
      </c>
      <c r="AI145" s="501">
        <v>0</v>
      </c>
      <c r="AJ145" s="501">
        <v>0</v>
      </c>
      <c r="AK145" s="501">
        <v>0</v>
      </c>
      <c r="AL145" s="501">
        <f t="shared" si="170"/>
        <v>0</v>
      </c>
      <c r="AM145" s="501">
        <f t="shared" si="171"/>
        <v>0</v>
      </c>
      <c r="AN145" s="529">
        <f t="shared" si="182"/>
        <v>0</v>
      </c>
      <c r="AO145" s="530">
        <f t="shared" si="172"/>
        <v>341188</v>
      </c>
      <c r="AP145" s="486">
        <f t="shared" si="173"/>
        <v>251243</v>
      </c>
      <c r="AQ145" s="486">
        <f t="shared" si="174"/>
        <v>0</v>
      </c>
      <c r="AR145" s="486">
        <f t="shared" si="175"/>
        <v>0</v>
      </c>
      <c r="AS145" s="486">
        <f t="shared" si="176"/>
        <v>84920</v>
      </c>
      <c r="AT145" s="486">
        <f t="shared" si="176"/>
        <v>5025</v>
      </c>
      <c r="AU145" s="486">
        <f t="shared" si="177"/>
        <v>0</v>
      </c>
      <c r="AV145" s="501">
        <f t="shared" si="178"/>
        <v>0.53569999999999995</v>
      </c>
      <c r="AW145" s="501">
        <f t="shared" si="179"/>
        <v>0.53569999999999995</v>
      </c>
      <c r="AX145" s="502">
        <f t="shared" si="179"/>
        <v>0</v>
      </c>
    </row>
    <row r="146" spans="1:50" s="695" customFormat="1" ht="12.75" customHeight="1" x14ac:dyDescent="0.2">
      <c r="A146" s="697">
        <v>31</v>
      </c>
      <c r="B146" s="698">
        <v>3422</v>
      </c>
      <c r="C146" s="698">
        <v>600078591</v>
      </c>
      <c r="D146" s="698">
        <v>72742682</v>
      </c>
      <c r="E146" s="699" t="s">
        <v>69</v>
      </c>
      <c r="F146" s="698">
        <v>3143</v>
      </c>
      <c r="G146" s="700" t="s">
        <v>635</v>
      </c>
      <c r="H146" s="701" t="s">
        <v>284</v>
      </c>
      <c r="I146" s="495">
        <v>13342</v>
      </c>
      <c r="J146" s="496">
        <v>9405</v>
      </c>
      <c r="K146" s="475">
        <v>0</v>
      </c>
      <c r="L146" s="475">
        <v>0</v>
      </c>
      <c r="M146" s="319">
        <v>3179</v>
      </c>
      <c r="N146" s="319">
        <v>188</v>
      </c>
      <c r="O146" s="496">
        <v>570</v>
      </c>
      <c r="P146" s="497">
        <v>0.04</v>
      </c>
      <c r="Q146" s="412">
        <v>0</v>
      </c>
      <c r="R146" s="498">
        <v>0.04</v>
      </c>
      <c r="S146" s="530">
        <f t="shared" si="164"/>
        <v>0</v>
      </c>
      <c r="T146" s="486">
        <v>0</v>
      </c>
      <c r="U146" s="486">
        <v>0</v>
      </c>
      <c r="V146" s="486">
        <f t="shared" si="165"/>
        <v>0</v>
      </c>
      <c r="W146" s="486">
        <v>0</v>
      </c>
      <c r="X146" s="486">
        <v>0</v>
      </c>
      <c r="Y146" s="486">
        <f t="shared" si="166"/>
        <v>0</v>
      </c>
      <c r="Z146" s="486">
        <f t="shared" si="167"/>
        <v>0</v>
      </c>
      <c r="AA146" s="319">
        <f t="shared" si="168"/>
        <v>0</v>
      </c>
      <c r="AB146" s="178">
        <f t="shared" si="169"/>
        <v>0</v>
      </c>
      <c r="AC146" s="486">
        <v>0</v>
      </c>
      <c r="AD146" s="486">
        <v>0</v>
      </c>
      <c r="AE146" s="486">
        <f t="shared" si="180"/>
        <v>0</v>
      </c>
      <c r="AF146" s="486">
        <f t="shared" si="181"/>
        <v>0</v>
      </c>
      <c r="AG146" s="501">
        <v>0</v>
      </c>
      <c r="AH146" s="501">
        <v>0</v>
      </c>
      <c r="AI146" s="501">
        <v>0</v>
      </c>
      <c r="AJ146" s="501">
        <v>0</v>
      </c>
      <c r="AK146" s="501">
        <v>0</v>
      </c>
      <c r="AL146" s="501">
        <f t="shared" si="170"/>
        <v>0</v>
      </c>
      <c r="AM146" s="501">
        <f t="shared" si="171"/>
        <v>0</v>
      </c>
      <c r="AN146" s="529">
        <f t="shared" si="182"/>
        <v>0</v>
      </c>
      <c r="AO146" s="530">
        <f t="shared" si="172"/>
        <v>13342</v>
      </c>
      <c r="AP146" s="486">
        <f t="shared" si="173"/>
        <v>9405</v>
      </c>
      <c r="AQ146" s="486">
        <f t="shared" si="174"/>
        <v>0</v>
      </c>
      <c r="AR146" s="486">
        <f t="shared" si="175"/>
        <v>0</v>
      </c>
      <c r="AS146" s="486">
        <f t="shared" si="176"/>
        <v>3179</v>
      </c>
      <c r="AT146" s="486">
        <f t="shared" si="176"/>
        <v>188</v>
      </c>
      <c r="AU146" s="486">
        <f t="shared" si="177"/>
        <v>570</v>
      </c>
      <c r="AV146" s="501">
        <f t="shared" si="178"/>
        <v>0.04</v>
      </c>
      <c r="AW146" s="501">
        <f t="shared" si="179"/>
        <v>0</v>
      </c>
      <c r="AX146" s="502">
        <f t="shared" si="179"/>
        <v>0.04</v>
      </c>
    </row>
    <row r="147" spans="1:50" s="695" customFormat="1" ht="12.75" customHeight="1" x14ac:dyDescent="0.2">
      <c r="A147" s="279">
        <v>31</v>
      </c>
      <c r="B147" s="21">
        <v>3422</v>
      </c>
      <c r="C147" s="277">
        <v>600078591</v>
      </c>
      <c r="D147" s="277">
        <v>72742682</v>
      </c>
      <c r="E147" s="696" t="s">
        <v>70</v>
      </c>
      <c r="F147" s="21"/>
      <c r="G147" s="278"/>
      <c r="H147" s="749"/>
      <c r="I147" s="29">
        <v>14071188</v>
      </c>
      <c r="J147" s="266">
        <v>10161356</v>
      </c>
      <c r="K147" s="266">
        <v>53736</v>
      </c>
      <c r="L147" s="266">
        <v>34336</v>
      </c>
      <c r="M147" s="266">
        <v>3441095</v>
      </c>
      <c r="N147" s="266">
        <v>203227</v>
      </c>
      <c r="O147" s="266">
        <v>211774</v>
      </c>
      <c r="P147" s="750">
        <v>24.868099999999995</v>
      </c>
      <c r="Q147" s="750">
        <v>17.140999999999998</v>
      </c>
      <c r="R147" s="751">
        <v>7.727100000000001</v>
      </c>
      <c r="S147" s="29">
        <f t="shared" ref="S147:AX147" si="183">SUM(S141:S146)</f>
        <v>0</v>
      </c>
      <c r="T147" s="22">
        <f t="shared" si="183"/>
        <v>0</v>
      </c>
      <c r="U147" s="22">
        <f t="shared" si="183"/>
        <v>0</v>
      </c>
      <c r="V147" s="22">
        <f t="shared" si="183"/>
        <v>0</v>
      </c>
      <c r="W147" s="22">
        <f t="shared" si="183"/>
        <v>0</v>
      </c>
      <c r="X147" s="22">
        <f t="shared" si="183"/>
        <v>0</v>
      </c>
      <c r="Y147" s="22">
        <f t="shared" si="183"/>
        <v>0</v>
      </c>
      <c r="Z147" s="22">
        <f t="shared" si="183"/>
        <v>0</v>
      </c>
      <c r="AA147" s="22">
        <f t="shared" si="183"/>
        <v>0</v>
      </c>
      <c r="AB147" s="22">
        <f t="shared" si="183"/>
        <v>0</v>
      </c>
      <c r="AC147" s="22">
        <f t="shared" si="183"/>
        <v>2500</v>
      </c>
      <c r="AD147" s="22">
        <f t="shared" si="183"/>
        <v>0</v>
      </c>
      <c r="AE147" s="22">
        <f t="shared" si="183"/>
        <v>2500</v>
      </c>
      <c r="AF147" s="22">
        <f t="shared" si="183"/>
        <v>2500</v>
      </c>
      <c r="AG147" s="23">
        <f t="shared" si="183"/>
        <v>0</v>
      </c>
      <c r="AH147" s="23">
        <f t="shared" si="183"/>
        <v>0</v>
      </c>
      <c r="AI147" s="23">
        <f t="shared" si="183"/>
        <v>0</v>
      </c>
      <c r="AJ147" s="23">
        <f t="shared" si="183"/>
        <v>0</v>
      </c>
      <c r="AK147" s="23">
        <f t="shared" si="183"/>
        <v>0</v>
      </c>
      <c r="AL147" s="23">
        <f t="shared" si="183"/>
        <v>0</v>
      </c>
      <c r="AM147" s="23">
        <f t="shared" si="183"/>
        <v>0</v>
      </c>
      <c r="AN147" s="752">
        <f t="shared" si="183"/>
        <v>0</v>
      </c>
      <c r="AO147" s="29">
        <f t="shared" si="183"/>
        <v>14073688</v>
      </c>
      <c r="AP147" s="22">
        <f t="shared" si="183"/>
        <v>10161356</v>
      </c>
      <c r="AQ147" s="22">
        <f t="shared" si="183"/>
        <v>53736</v>
      </c>
      <c r="AR147" s="67">
        <f t="shared" si="183"/>
        <v>34336</v>
      </c>
      <c r="AS147" s="22">
        <f t="shared" si="183"/>
        <v>3441095</v>
      </c>
      <c r="AT147" s="22">
        <f t="shared" si="183"/>
        <v>203227</v>
      </c>
      <c r="AU147" s="22">
        <f t="shared" si="183"/>
        <v>214274</v>
      </c>
      <c r="AV147" s="23">
        <f t="shared" si="183"/>
        <v>24.868099999999995</v>
      </c>
      <c r="AW147" s="23">
        <f t="shared" si="183"/>
        <v>17.140999999999998</v>
      </c>
      <c r="AX147" s="55">
        <f t="shared" si="183"/>
        <v>7.727100000000001</v>
      </c>
    </row>
    <row r="148" spans="1:50" s="695" customFormat="1" ht="12.75" customHeight="1" x14ac:dyDescent="0.2">
      <c r="A148" s="697">
        <v>32</v>
      </c>
      <c r="B148" s="698">
        <v>3426</v>
      </c>
      <c r="C148" s="698">
        <v>600078019</v>
      </c>
      <c r="D148" s="698">
        <v>72742470</v>
      </c>
      <c r="E148" s="699" t="s">
        <v>71</v>
      </c>
      <c r="F148" s="698">
        <v>3111</v>
      </c>
      <c r="G148" s="700" t="s">
        <v>317</v>
      </c>
      <c r="H148" s="701" t="s">
        <v>283</v>
      </c>
      <c r="I148" s="495">
        <v>4825174</v>
      </c>
      <c r="J148" s="496">
        <v>3498390</v>
      </c>
      <c r="K148" s="496">
        <v>20000</v>
      </c>
      <c r="L148" s="496">
        <v>0</v>
      </c>
      <c r="M148" s="496">
        <v>1189216</v>
      </c>
      <c r="N148" s="496">
        <v>69968</v>
      </c>
      <c r="O148" s="496">
        <v>47600</v>
      </c>
      <c r="P148" s="497">
        <v>8.0242000000000004</v>
      </c>
      <c r="Q148" s="412">
        <v>6</v>
      </c>
      <c r="R148" s="498">
        <v>2.0242</v>
      </c>
      <c r="S148" s="530">
        <f t="shared" ref="S148:S150" si="184">W148*-1</f>
        <v>0</v>
      </c>
      <c r="T148" s="486">
        <v>0</v>
      </c>
      <c r="U148" s="486">
        <v>-66274</v>
      </c>
      <c r="V148" s="486">
        <f>SUM(S148:U148)</f>
        <v>-66274</v>
      </c>
      <c r="W148" s="486">
        <v>0</v>
      </c>
      <c r="X148" s="486">
        <v>0</v>
      </c>
      <c r="Y148" s="486">
        <f>SUM(W148:X148)</f>
        <v>0</v>
      </c>
      <c r="Z148" s="486">
        <f>V148+Y148</f>
        <v>-66274</v>
      </c>
      <c r="AA148" s="319">
        <f>ROUND((V148+W148)*33.8%,0)</f>
        <v>-22401</v>
      </c>
      <c r="AB148" s="178">
        <f>ROUND(V148*2%,0)</f>
        <v>-1325</v>
      </c>
      <c r="AC148" s="486">
        <v>0</v>
      </c>
      <c r="AD148" s="486">
        <v>90000</v>
      </c>
      <c r="AE148" s="486">
        <f t="shared" si="180"/>
        <v>90000</v>
      </c>
      <c r="AF148" s="486">
        <f t="shared" si="181"/>
        <v>0</v>
      </c>
      <c r="AG148" s="501">
        <v>0</v>
      </c>
      <c r="AH148" s="501">
        <v>0</v>
      </c>
      <c r="AI148" s="501">
        <v>0</v>
      </c>
      <c r="AJ148" s="501">
        <v>0</v>
      </c>
      <c r="AK148" s="501">
        <v>0</v>
      </c>
      <c r="AL148" s="501">
        <f t="shared" ref="AL148:AL150" si="185">AG148+AI148+AJ148</f>
        <v>0</v>
      </c>
      <c r="AM148" s="501">
        <f t="shared" ref="AM148:AM150" si="186">AH148+AK148</f>
        <v>0</v>
      </c>
      <c r="AN148" s="529">
        <f t="shared" si="182"/>
        <v>0</v>
      </c>
      <c r="AO148" s="530">
        <f>I148+AF148</f>
        <v>4825174</v>
      </c>
      <c r="AP148" s="486">
        <f>J148+V148</f>
        <v>3432116</v>
      </c>
      <c r="AQ148" s="486">
        <f>K148+Y148</f>
        <v>20000</v>
      </c>
      <c r="AR148" s="486">
        <f>L148</f>
        <v>0</v>
      </c>
      <c r="AS148" s="486">
        <f t="shared" ref="AS148:AT150" si="187">M148+AA148</f>
        <v>1166815</v>
      </c>
      <c r="AT148" s="486">
        <f t="shared" si="187"/>
        <v>68643</v>
      </c>
      <c r="AU148" s="486">
        <f>O148+AE148</f>
        <v>137600</v>
      </c>
      <c r="AV148" s="501">
        <f>P148+AN148</f>
        <v>8.0242000000000004</v>
      </c>
      <c r="AW148" s="501">
        <f t="shared" ref="AW148:AX150" si="188">Q148+AL148</f>
        <v>6</v>
      </c>
      <c r="AX148" s="502">
        <f t="shared" si="188"/>
        <v>2.0242</v>
      </c>
    </row>
    <row r="149" spans="1:50" s="695" customFormat="1" x14ac:dyDescent="0.2">
      <c r="A149" s="697">
        <v>32</v>
      </c>
      <c r="B149" s="698">
        <v>3426</v>
      </c>
      <c r="C149" s="698">
        <v>600078019</v>
      </c>
      <c r="D149" s="698">
        <v>72742470</v>
      </c>
      <c r="E149" s="699" t="s">
        <v>71</v>
      </c>
      <c r="F149" s="698">
        <v>3111</v>
      </c>
      <c r="G149" s="700" t="s">
        <v>318</v>
      </c>
      <c r="H149" s="701" t="s">
        <v>284</v>
      </c>
      <c r="I149" s="495">
        <v>279633</v>
      </c>
      <c r="J149" s="496">
        <v>198102</v>
      </c>
      <c r="K149" s="475">
        <v>0</v>
      </c>
      <c r="L149" s="475">
        <v>0</v>
      </c>
      <c r="M149" s="319">
        <v>77569</v>
      </c>
      <c r="N149" s="319">
        <v>3962</v>
      </c>
      <c r="O149" s="496">
        <v>0</v>
      </c>
      <c r="P149" s="497">
        <v>0.57999999999999996</v>
      </c>
      <c r="Q149" s="412">
        <v>0.57999999999999996</v>
      </c>
      <c r="R149" s="498">
        <v>0</v>
      </c>
      <c r="S149" s="530">
        <f t="shared" si="184"/>
        <v>0</v>
      </c>
      <c r="T149" s="486">
        <v>0</v>
      </c>
      <c r="U149" s="486">
        <v>0</v>
      </c>
      <c r="V149" s="486">
        <f>SUM(S149:U149)</f>
        <v>0</v>
      </c>
      <c r="W149" s="486">
        <v>0</v>
      </c>
      <c r="X149" s="486">
        <v>0</v>
      </c>
      <c r="Y149" s="486">
        <f>SUM(W149:X149)</f>
        <v>0</v>
      </c>
      <c r="Z149" s="486">
        <f>V149+Y149</f>
        <v>0</v>
      </c>
      <c r="AA149" s="319">
        <f>ROUND((V149+W149)*33.8%,0)</f>
        <v>0</v>
      </c>
      <c r="AB149" s="178">
        <f>ROUND(V149*2%,0)</f>
        <v>0</v>
      </c>
      <c r="AC149" s="486">
        <v>0</v>
      </c>
      <c r="AD149" s="486">
        <v>0</v>
      </c>
      <c r="AE149" s="486">
        <f t="shared" si="180"/>
        <v>0</v>
      </c>
      <c r="AF149" s="486">
        <f t="shared" si="181"/>
        <v>0</v>
      </c>
      <c r="AG149" s="501">
        <v>0</v>
      </c>
      <c r="AH149" s="501">
        <v>0</v>
      </c>
      <c r="AI149" s="501">
        <v>0</v>
      </c>
      <c r="AJ149" s="501">
        <v>0</v>
      </c>
      <c r="AK149" s="501">
        <v>0</v>
      </c>
      <c r="AL149" s="501">
        <f t="shared" si="185"/>
        <v>0</v>
      </c>
      <c r="AM149" s="501">
        <f t="shared" si="186"/>
        <v>0</v>
      </c>
      <c r="AN149" s="529">
        <f t="shared" si="182"/>
        <v>0</v>
      </c>
      <c r="AO149" s="530">
        <f>I149+AF149</f>
        <v>279633</v>
      </c>
      <c r="AP149" s="486">
        <f>J149+V149</f>
        <v>198102</v>
      </c>
      <c r="AQ149" s="486">
        <f>K149+Y149</f>
        <v>0</v>
      </c>
      <c r="AR149" s="486">
        <f>L149</f>
        <v>0</v>
      </c>
      <c r="AS149" s="486">
        <f t="shared" si="187"/>
        <v>77569</v>
      </c>
      <c r="AT149" s="486">
        <f t="shared" si="187"/>
        <v>3962</v>
      </c>
      <c r="AU149" s="486">
        <f>O149+AE149</f>
        <v>0</v>
      </c>
      <c r="AV149" s="501">
        <f>P149+AN149</f>
        <v>0.57999999999999996</v>
      </c>
      <c r="AW149" s="501">
        <f t="shared" si="188"/>
        <v>0.57999999999999996</v>
      </c>
      <c r="AX149" s="502">
        <f t="shared" si="188"/>
        <v>0</v>
      </c>
    </row>
    <row r="150" spans="1:50" s="695" customFormat="1" ht="12.75" customHeight="1" x14ac:dyDescent="0.2">
      <c r="A150" s="697">
        <v>32</v>
      </c>
      <c r="B150" s="698">
        <v>3426</v>
      </c>
      <c r="C150" s="698">
        <v>600078019</v>
      </c>
      <c r="D150" s="698">
        <v>72742470</v>
      </c>
      <c r="E150" s="699" t="s">
        <v>71</v>
      </c>
      <c r="F150" s="698">
        <v>3141</v>
      </c>
      <c r="G150" s="700" t="s">
        <v>321</v>
      </c>
      <c r="H150" s="701" t="s">
        <v>284</v>
      </c>
      <c r="I150" s="495">
        <v>1855594</v>
      </c>
      <c r="J150" s="496">
        <v>1357448</v>
      </c>
      <c r="K150" s="475">
        <v>0</v>
      </c>
      <c r="L150" s="475">
        <v>0</v>
      </c>
      <c r="M150" s="319">
        <v>458817</v>
      </c>
      <c r="N150" s="319">
        <v>27149</v>
      </c>
      <c r="O150" s="496">
        <v>12180</v>
      </c>
      <c r="P150" s="497">
        <v>4.62</v>
      </c>
      <c r="Q150" s="412">
        <v>0</v>
      </c>
      <c r="R150" s="498">
        <v>4.62</v>
      </c>
      <c r="S150" s="530">
        <f t="shared" si="184"/>
        <v>0</v>
      </c>
      <c r="T150" s="486">
        <v>0</v>
      </c>
      <c r="U150" s="486">
        <v>0</v>
      </c>
      <c r="V150" s="486">
        <f>SUM(S150:U150)</f>
        <v>0</v>
      </c>
      <c r="W150" s="486">
        <v>0</v>
      </c>
      <c r="X150" s="486">
        <v>0</v>
      </c>
      <c r="Y150" s="486">
        <f>SUM(W150:X150)</f>
        <v>0</v>
      </c>
      <c r="Z150" s="486">
        <f>V150+Y150</f>
        <v>0</v>
      </c>
      <c r="AA150" s="319">
        <f>ROUND((V150+W150)*33.8%,0)</f>
        <v>0</v>
      </c>
      <c r="AB150" s="178">
        <f>ROUND(V150*2%,0)</f>
        <v>0</v>
      </c>
      <c r="AC150" s="486">
        <v>0</v>
      </c>
      <c r="AD150" s="486">
        <v>0</v>
      </c>
      <c r="AE150" s="486">
        <f t="shared" si="180"/>
        <v>0</v>
      </c>
      <c r="AF150" s="486">
        <f t="shared" si="181"/>
        <v>0</v>
      </c>
      <c r="AG150" s="501">
        <v>0</v>
      </c>
      <c r="AH150" s="501">
        <v>0</v>
      </c>
      <c r="AI150" s="501">
        <v>0</v>
      </c>
      <c r="AJ150" s="501">
        <v>0</v>
      </c>
      <c r="AK150" s="501">
        <v>0</v>
      </c>
      <c r="AL150" s="501">
        <f t="shared" si="185"/>
        <v>0</v>
      </c>
      <c r="AM150" s="501">
        <f t="shared" si="186"/>
        <v>0</v>
      </c>
      <c r="AN150" s="529">
        <f t="shared" si="182"/>
        <v>0</v>
      </c>
      <c r="AO150" s="530">
        <f>I150+AF150</f>
        <v>1855594</v>
      </c>
      <c r="AP150" s="486">
        <f>J150+V150</f>
        <v>1357448</v>
      </c>
      <c r="AQ150" s="486">
        <f>K150+Y150</f>
        <v>0</v>
      </c>
      <c r="AR150" s="486">
        <f>L150</f>
        <v>0</v>
      </c>
      <c r="AS150" s="486">
        <f t="shared" si="187"/>
        <v>458817</v>
      </c>
      <c r="AT150" s="486">
        <f t="shared" si="187"/>
        <v>27149</v>
      </c>
      <c r="AU150" s="486">
        <f>O150+AE150</f>
        <v>12180</v>
      </c>
      <c r="AV150" s="501">
        <f>P150+AN150</f>
        <v>4.62</v>
      </c>
      <c r="AW150" s="501">
        <f t="shared" si="188"/>
        <v>0</v>
      </c>
      <c r="AX150" s="502">
        <f t="shared" si="188"/>
        <v>4.62</v>
      </c>
    </row>
    <row r="151" spans="1:50" s="695" customFormat="1" ht="12.75" customHeight="1" x14ac:dyDescent="0.2">
      <c r="A151" s="279">
        <v>32</v>
      </c>
      <c r="B151" s="21">
        <v>3426</v>
      </c>
      <c r="C151" s="277">
        <v>600078019</v>
      </c>
      <c r="D151" s="277">
        <v>72742470</v>
      </c>
      <c r="E151" s="696" t="s">
        <v>72</v>
      </c>
      <c r="F151" s="21"/>
      <c r="G151" s="278"/>
      <c r="H151" s="749"/>
      <c r="I151" s="29">
        <v>6960401</v>
      </c>
      <c r="J151" s="266">
        <v>5053940</v>
      </c>
      <c r="K151" s="266">
        <v>20000</v>
      </c>
      <c r="L151" s="266">
        <v>0</v>
      </c>
      <c r="M151" s="266">
        <v>1725602</v>
      </c>
      <c r="N151" s="266">
        <v>101079</v>
      </c>
      <c r="O151" s="266">
        <v>59780</v>
      </c>
      <c r="P151" s="750">
        <v>13.2242</v>
      </c>
      <c r="Q151" s="750">
        <v>6.58</v>
      </c>
      <c r="R151" s="751">
        <v>6.6441999999999997</v>
      </c>
      <c r="S151" s="29">
        <f t="shared" ref="S151:AX151" si="189">SUM(S148:S150)</f>
        <v>0</v>
      </c>
      <c r="T151" s="22">
        <f t="shared" si="189"/>
        <v>0</v>
      </c>
      <c r="U151" s="22">
        <f t="shared" si="189"/>
        <v>-66274</v>
      </c>
      <c r="V151" s="22">
        <f t="shared" si="189"/>
        <v>-66274</v>
      </c>
      <c r="W151" s="22">
        <f t="shared" si="189"/>
        <v>0</v>
      </c>
      <c r="X151" s="22">
        <f t="shared" si="189"/>
        <v>0</v>
      </c>
      <c r="Y151" s="22">
        <f t="shared" si="189"/>
        <v>0</v>
      </c>
      <c r="Z151" s="22">
        <f t="shared" si="189"/>
        <v>-66274</v>
      </c>
      <c r="AA151" s="22">
        <f t="shared" si="189"/>
        <v>-22401</v>
      </c>
      <c r="AB151" s="22">
        <f t="shared" si="189"/>
        <v>-1325</v>
      </c>
      <c r="AC151" s="22">
        <f t="shared" si="189"/>
        <v>0</v>
      </c>
      <c r="AD151" s="22">
        <f t="shared" si="189"/>
        <v>90000</v>
      </c>
      <c r="AE151" s="22">
        <f t="shared" si="189"/>
        <v>90000</v>
      </c>
      <c r="AF151" s="22">
        <f t="shared" si="189"/>
        <v>0</v>
      </c>
      <c r="AG151" s="23">
        <f t="shared" si="189"/>
        <v>0</v>
      </c>
      <c r="AH151" s="23">
        <f t="shared" si="189"/>
        <v>0</v>
      </c>
      <c r="AI151" s="23">
        <f t="shared" si="189"/>
        <v>0</v>
      </c>
      <c r="AJ151" s="23">
        <f t="shared" si="189"/>
        <v>0</v>
      </c>
      <c r="AK151" s="23">
        <f t="shared" si="189"/>
        <v>0</v>
      </c>
      <c r="AL151" s="23">
        <f t="shared" si="189"/>
        <v>0</v>
      </c>
      <c r="AM151" s="23">
        <f t="shared" si="189"/>
        <v>0</v>
      </c>
      <c r="AN151" s="752">
        <f t="shared" si="189"/>
        <v>0</v>
      </c>
      <c r="AO151" s="29">
        <f t="shared" si="189"/>
        <v>6960401</v>
      </c>
      <c r="AP151" s="22">
        <f t="shared" si="189"/>
        <v>4987666</v>
      </c>
      <c r="AQ151" s="22">
        <f t="shared" si="189"/>
        <v>20000</v>
      </c>
      <c r="AR151" s="67">
        <f t="shared" si="189"/>
        <v>0</v>
      </c>
      <c r="AS151" s="22">
        <f t="shared" si="189"/>
        <v>1703201</v>
      </c>
      <c r="AT151" s="22">
        <f t="shared" si="189"/>
        <v>99754</v>
      </c>
      <c r="AU151" s="22">
        <f t="shared" si="189"/>
        <v>149780</v>
      </c>
      <c r="AV151" s="23">
        <f t="shared" si="189"/>
        <v>13.2242</v>
      </c>
      <c r="AW151" s="23">
        <f t="shared" si="189"/>
        <v>6.58</v>
      </c>
      <c r="AX151" s="55">
        <f t="shared" si="189"/>
        <v>6.6441999999999997</v>
      </c>
    </row>
    <row r="152" spans="1:50" s="695" customFormat="1" ht="12.75" customHeight="1" x14ac:dyDescent="0.2">
      <c r="A152" s="697">
        <v>33</v>
      </c>
      <c r="B152" s="698">
        <v>3425</v>
      </c>
      <c r="C152" s="698">
        <v>600078451</v>
      </c>
      <c r="D152" s="698">
        <v>72742551</v>
      </c>
      <c r="E152" s="699" t="s">
        <v>73</v>
      </c>
      <c r="F152" s="698">
        <v>3113</v>
      </c>
      <c r="G152" s="700" t="s">
        <v>320</v>
      </c>
      <c r="H152" s="701" t="s">
        <v>283</v>
      </c>
      <c r="I152" s="495">
        <v>12406064</v>
      </c>
      <c r="J152" s="496">
        <v>8783516</v>
      </c>
      <c r="K152" s="496">
        <v>44360</v>
      </c>
      <c r="L152" s="496">
        <v>25160</v>
      </c>
      <c r="M152" s="496">
        <v>2975318</v>
      </c>
      <c r="N152" s="496">
        <v>175670</v>
      </c>
      <c r="O152" s="496">
        <v>427200</v>
      </c>
      <c r="P152" s="497">
        <v>17.105500000000003</v>
      </c>
      <c r="Q152" s="412">
        <v>12.551</v>
      </c>
      <c r="R152" s="498">
        <v>4.5545000000000027</v>
      </c>
      <c r="S152" s="530">
        <f t="shared" ref="S152:S155" si="190">W152*-1</f>
        <v>0</v>
      </c>
      <c r="T152" s="486">
        <v>0</v>
      </c>
      <c r="U152" s="486">
        <v>-22091</v>
      </c>
      <c r="V152" s="486">
        <f>SUM(S152:U152)</f>
        <v>-22091</v>
      </c>
      <c r="W152" s="486">
        <v>0</v>
      </c>
      <c r="X152" s="486">
        <v>0</v>
      </c>
      <c r="Y152" s="486">
        <f>SUM(W152:X152)</f>
        <v>0</v>
      </c>
      <c r="Z152" s="486">
        <f>V152+Y152</f>
        <v>-22091</v>
      </c>
      <c r="AA152" s="319">
        <f>ROUND((V152+W152)*33.8%,0)</f>
        <v>-7467</v>
      </c>
      <c r="AB152" s="178">
        <f>ROUND(V152*2%,0)</f>
        <v>-442</v>
      </c>
      <c r="AC152" s="486">
        <v>0</v>
      </c>
      <c r="AD152" s="486">
        <v>30000</v>
      </c>
      <c r="AE152" s="486">
        <f t="shared" si="180"/>
        <v>30000</v>
      </c>
      <c r="AF152" s="486">
        <f t="shared" si="181"/>
        <v>0</v>
      </c>
      <c r="AG152" s="501">
        <v>0</v>
      </c>
      <c r="AH152" s="501">
        <v>0</v>
      </c>
      <c r="AI152" s="501">
        <v>0</v>
      </c>
      <c r="AJ152" s="501">
        <v>0</v>
      </c>
      <c r="AK152" s="501">
        <v>0</v>
      </c>
      <c r="AL152" s="501">
        <f t="shared" ref="AL152:AL155" si="191">AG152+AI152+AJ152</f>
        <v>0</v>
      </c>
      <c r="AM152" s="501">
        <f t="shared" ref="AM152:AM155" si="192">AH152+AK152</f>
        <v>0</v>
      </c>
      <c r="AN152" s="529">
        <f t="shared" si="182"/>
        <v>0</v>
      </c>
      <c r="AO152" s="530">
        <f>I152+AF152</f>
        <v>12406064</v>
      </c>
      <c r="AP152" s="486">
        <f>J152+V152</f>
        <v>8761425</v>
      </c>
      <c r="AQ152" s="486">
        <f>K152+Y152</f>
        <v>44360</v>
      </c>
      <c r="AR152" s="486">
        <f>L152</f>
        <v>25160</v>
      </c>
      <c r="AS152" s="486">
        <f t="shared" ref="AS152:AT155" si="193">M152+AA152</f>
        <v>2967851</v>
      </c>
      <c r="AT152" s="486">
        <f t="shared" si="193"/>
        <v>175228</v>
      </c>
      <c r="AU152" s="486">
        <f>O152+AE152</f>
        <v>457200</v>
      </c>
      <c r="AV152" s="501">
        <f>P152+AN152</f>
        <v>17.105500000000003</v>
      </c>
      <c r="AW152" s="501">
        <f t="shared" ref="AW152:AX155" si="194">Q152+AL152</f>
        <v>12.551</v>
      </c>
      <c r="AX152" s="502">
        <f t="shared" si="194"/>
        <v>4.5545000000000027</v>
      </c>
    </row>
    <row r="153" spans="1:50" s="695" customFormat="1" x14ac:dyDescent="0.2">
      <c r="A153" s="697">
        <v>33</v>
      </c>
      <c r="B153" s="698">
        <v>3425</v>
      </c>
      <c r="C153" s="698">
        <v>600078451</v>
      </c>
      <c r="D153" s="698">
        <v>72742551</v>
      </c>
      <c r="E153" s="699" t="s">
        <v>73</v>
      </c>
      <c r="F153" s="698">
        <v>3113</v>
      </c>
      <c r="G153" s="700" t="s">
        <v>318</v>
      </c>
      <c r="H153" s="701" t="s">
        <v>284</v>
      </c>
      <c r="I153" s="495">
        <v>1394306</v>
      </c>
      <c r="J153" s="496">
        <v>1026735</v>
      </c>
      <c r="K153" s="475">
        <v>0</v>
      </c>
      <c r="L153" s="475">
        <v>0</v>
      </c>
      <c r="M153" s="319">
        <v>347036</v>
      </c>
      <c r="N153" s="319">
        <v>20535</v>
      </c>
      <c r="O153" s="496">
        <v>0</v>
      </c>
      <c r="P153" s="497">
        <v>3.01</v>
      </c>
      <c r="Q153" s="412">
        <v>3.01</v>
      </c>
      <c r="R153" s="498">
        <v>0</v>
      </c>
      <c r="S153" s="530">
        <f t="shared" si="190"/>
        <v>0</v>
      </c>
      <c r="T153" s="486">
        <v>0</v>
      </c>
      <c r="U153" s="486">
        <v>0</v>
      </c>
      <c r="V153" s="486">
        <f>SUM(S153:U153)</f>
        <v>0</v>
      </c>
      <c r="W153" s="486">
        <v>0</v>
      </c>
      <c r="X153" s="486">
        <v>0</v>
      </c>
      <c r="Y153" s="486">
        <f>SUM(W153:X153)</f>
        <v>0</v>
      </c>
      <c r="Z153" s="486">
        <f>V153+Y153</f>
        <v>0</v>
      </c>
      <c r="AA153" s="319">
        <f>ROUND((V153+W153)*33.8%,0)</f>
        <v>0</v>
      </c>
      <c r="AB153" s="178">
        <f>ROUND(V153*2%,0)</f>
        <v>0</v>
      </c>
      <c r="AC153" s="486">
        <v>0</v>
      </c>
      <c r="AD153" s="486">
        <v>0</v>
      </c>
      <c r="AE153" s="486">
        <f t="shared" si="180"/>
        <v>0</v>
      </c>
      <c r="AF153" s="486">
        <f t="shared" si="181"/>
        <v>0</v>
      </c>
      <c r="AG153" s="501">
        <v>0</v>
      </c>
      <c r="AH153" s="501">
        <v>0</v>
      </c>
      <c r="AI153" s="501">
        <v>0</v>
      </c>
      <c r="AJ153" s="501">
        <v>0</v>
      </c>
      <c r="AK153" s="501">
        <v>0</v>
      </c>
      <c r="AL153" s="501">
        <f t="shared" si="191"/>
        <v>0</v>
      </c>
      <c r="AM153" s="501">
        <f t="shared" si="192"/>
        <v>0</v>
      </c>
      <c r="AN153" s="529">
        <f t="shared" si="182"/>
        <v>0</v>
      </c>
      <c r="AO153" s="530">
        <f>I153+AF153</f>
        <v>1394306</v>
      </c>
      <c r="AP153" s="486">
        <f>J153+V153</f>
        <v>1026735</v>
      </c>
      <c r="AQ153" s="486">
        <f>K153+Y153</f>
        <v>0</v>
      </c>
      <c r="AR153" s="486">
        <f>L153</f>
        <v>0</v>
      </c>
      <c r="AS153" s="486">
        <f t="shared" si="193"/>
        <v>347036</v>
      </c>
      <c r="AT153" s="486">
        <f t="shared" si="193"/>
        <v>20535</v>
      </c>
      <c r="AU153" s="486">
        <f>O153+AE153</f>
        <v>0</v>
      </c>
      <c r="AV153" s="501">
        <f>P153+AN153</f>
        <v>3.01</v>
      </c>
      <c r="AW153" s="501">
        <f t="shared" si="194"/>
        <v>3.01</v>
      </c>
      <c r="AX153" s="502">
        <f t="shared" si="194"/>
        <v>0</v>
      </c>
    </row>
    <row r="154" spans="1:50" s="695" customFormat="1" ht="12.75" customHeight="1" x14ac:dyDescent="0.2">
      <c r="A154" s="697">
        <v>33</v>
      </c>
      <c r="B154" s="698">
        <v>3425</v>
      </c>
      <c r="C154" s="698">
        <v>600078451</v>
      </c>
      <c r="D154" s="698">
        <v>72742551</v>
      </c>
      <c r="E154" s="699" t="s">
        <v>73</v>
      </c>
      <c r="F154" s="698">
        <v>3143</v>
      </c>
      <c r="G154" s="700" t="s">
        <v>634</v>
      </c>
      <c r="H154" s="701" t="s">
        <v>283</v>
      </c>
      <c r="I154" s="495">
        <v>1058903</v>
      </c>
      <c r="J154" s="496">
        <v>779752</v>
      </c>
      <c r="K154" s="475">
        <v>0</v>
      </c>
      <c r="L154" s="475">
        <v>0</v>
      </c>
      <c r="M154" s="319">
        <v>263556</v>
      </c>
      <c r="N154" s="319">
        <v>15595</v>
      </c>
      <c r="O154" s="496">
        <v>0</v>
      </c>
      <c r="P154" s="497">
        <v>1.77</v>
      </c>
      <c r="Q154" s="497">
        <v>1.77</v>
      </c>
      <c r="R154" s="498">
        <v>0</v>
      </c>
      <c r="S154" s="530">
        <f t="shared" si="190"/>
        <v>0</v>
      </c>
      <c r="T154" s="486">
        <v>0</v>
      </c>
      <c r="U154" s="486">
        <v>0</v>
      </c>
      <c r="V154" s="486">
        <f>SUM(S154:U154)</f>
        <v>0</v>
      </c>
      <c r="W154" s="486">
        <v>0</v>
      </c>
      <c r="X154" s="486">
        <v>0</v>
      </c>
      <c r="Y154" s="486">
        <f>SUM(W154:X154)</f>
        <v>0</v>
      </c>
      <c r="Z154" s="486">
        <f>V154+Y154</f>
        <v>0</v>
      </c>
      <c r="AA154" s="319">
        <f>ROUND((V154+W154)*33.8%,0)</f>
        <v>0</v>
      </c>
      <c r="AB154" s="178">
        <f>ROUND(V154*2%,0)</f>
        <v>0</v>
      </c>
      <c r="AC154" s="486">
        <v>0</v>
      </c>
      <c r="AD154" s="486">
        <v>0</v>
      </c>
      <c r="AE154" s="486">
        <f t="shared" si="180"/>
        <v>0</v>
      </c>
      <c r="AF154" s="486">
        <f t="shared" si="181"/>
        <v>0</v>
      </c>
      <c r="AG154" s="501">
        <v>0</v>
      </c>
      <c r="AH154" s="501">
        <v>0</v>
      </c>
      <c r="AI154" s="501">
        <v>0</v>
      </c>
      <c r="AJ154" s="501">
        <v>0</v>
      </c>
      <c r="AK154" s="501">
        <v>0</v>
      </c>
      <c r="AL154" s="501">
        <f t="shared" si="191"/>
        <v>0</v>
      </c>
      <c r="AM154" s="501">
        <f t="shared" si="192"/>
        <v>0</v>
      </c>
      <c r="AN154" s="529">
        <f t="shared" si="182"/>
        <v>0</v>
      </c>
      <c r="AO154" s="530">
        <f>I154+AF154</f>
        <v>1058903</v>
      </c>
      <c r="AP154" s="486">
        <f>J154+V154</f>
        <v>779752</v>
      </c>
      <c r="AQ154" s="486">
        <f>K154+Y154</f>
        <v>0</v>
      </c>
      <c r="AR154" s="486">
        <f>L154</f>
        <v>0</v>
      </c>
      <c r="AS154" s="486">
        <f t="shared" si="193"/>
        <v>263556</v>
      </c>
      <c r="AT154" s="486">
        <f t="shared" si="193"/>
        <v>15595</v>
      </c>
      <c r="AU154" s="486">
        <f>O154+AE154</f>
        <v>0</v>
      </c>
      <c r="AV154" s="501">
        <f>P154+AN154</f>
        <v>1.77</v>
      </c>
      <c r="AW154" s="501">
        <f t="shared" si="194"/>
        <v>1.77</v>
      </c>
      <c r="AX154" s="502">
        <f t="shared" si="194"/>
        <v>0</v>
      </c>
    </row>
    <row r="155" spans="1:50" s="695" customFormat="1" ht="12.75" customHeight="1" x14ac:dyDescent="0.2">
      <c r="A155" s="697">
        <v>33</v>
      </c>
      <c r="B155" s="698">
        <v>3425</v>
      </c>
      <c r="C155" s="698">
        <v>600078451</v>
      </c>
      <c r="D155" s="698">
        <v>72742551</v>
      </c>
      <c r="E155" s="699" t="s">
        <v>73</v>
      </c>
      <c r="F155" s="698">
        <v>3143</v>
      </c>
      <c r="G155" s="700" t="s">
        <v>635</v>
      </c>
      <c r="H155" s="701" t="s">
        <v>284</v>
      </c>
      <c r="I155" s="495">
        <v>37217</v>
      </c>
      <c r="J155" s="496">
        <v>26235</v>
      </c>
      <c r="K155" s="475">
        <v>0</v>
      </c>
      <c r="L155" s="475">
        <v>0</v>
      </c>
      <c r="M155" s="319">
        <v>8867</v>
      </c>
      <c r="N155" s="319">
        <v>525</v>
      </c>
      <c r="O155" s="496">
        <v>1590</v>
      </c>
      <c r="P155" s="497">
        <v>0.11</v>
      </c>
      <c r="Q155" s="412">
        <v>0</v>
      </c>
      <c r="R155" s="498">
        <v>0.11</v>
      </c>
      <c r="S155" s="530">
        <f t="shared" si="190"/>
        <v>0</v>
      </c>
      <c r="T155" s="486">
        <v>0</v>
      </c>
      <c r="U155" s="486">
        <v>0</v>
      </c>
      <c r="V155" s="486">
        <f>SUM(S155:U155)</f>
        <v>0</v>
      </c>
      <c r="W155" s="486">
        <v>0</v>
      </c>
      <c r="X155" s="486">
        <v>0</v>
      </c>
      <c r="Y155" s="486">
        <f>SUM(W155:X155)</f>
        <v>0</v>
      </c>
      <c r="Z155" s="486">
        <f>V155+Y155</f>
        <v>0</v>
      </c>
      <c r="AA155" s="319">
        <f>ROUND((V155+W155)*33.8%,0)</f>
        <v>0</v>
      </c>
      <c r="AB155" s="178">
        <f>ROUND(V155*2%,0)</f>
        <v>0</v>
      </c>
      <c r="AC155" s="486">
        <v>0</v>
      </c>
      <c r="AD155" s="486">
        <v>0</v>
      </c>
      <c r="AE155" s="486">
        <f t="shared" si="180"/>
        <v>0</v>
      </c>
      <c r="AF155" s="486">
        <f t="shared" si="181"/>
        <v>0</v>
      </c>
      <c r="AG155" s="501">
        <v>0</v>
      </c>
      <c r="AH155" s="501">
        <v>0</v>
      </c>
      <c r="AI155" s="501">
        <v>0</v>
      </c>
      <c r="AJ155" s="501">
        <v>0</v>
      </c>
      <c r="AK155" s="501">
        <v>0</v>
      </c>
      <c r="AL155" s="501">
        <f t="shared" si="191"/>
        <v>0</v>
      </c>
      <c r="AM155" s="501">
        <f t="shared" si="192"/>
        <v>0</v>
      </c>
      <c r="AN155" s="529">
        <f t="shared" si="182"/>
        <v>0</v>
      </c>
      <c r="AO155" s="530">
        <f>I155+AF155</f>
        <v>37217</v>
      </c>
      <c r="AP155" s="486">
        <f>J155+V155</f>
        <v>26235</v>
      </c>
      <c r="AQ155" s="486">
        <f>K155+Y155</f>
        <v>0</v>
      </c>
      <c r="AR155" s="486">
        <f>L155</f>
        <v>0</v>
      </c>
      <c r="AS155" s="486">
        <f t="shared" si="193"/>
        <v>8867</v>
      </c>
      <c r="AT155" s="486">
        <f t="shared" si="193"/>
        <v>525</v>
      </c>
      <c r="AU155" s="486">
        <f>O155+AE155</f>
        <v>1590</v>
      </c>
      <c r="AV155" s="501">
        <f>P155+AN155</f>
        <v>0.11</v>
      </c>
      <c r="AW155" s="501">
        <f t="shared" si="194"/>
        <v>0</v>
      </c>
      <c r="AX155" s="502">
        <f t="shared" si="194"/>
        <v>0.11</v>
      </c>
    </row>
    <row r="156" spans="1:50" s="695" customFormat="1" ht="12.75" customHeight="1" x14ac:dyDescent="0.2">
      <c r="A156" s="279">
        <v>33</v>
      </c>
      <c r="B156" s="21">
        <v>3425</v>
      </c>
      <c r="C156" s="277">
        <v>600078451</v>
      </c>
      <c r="D156" s="277">
        <v>72742551</v>
      </c>
      <c r="E156" s="696" t="s">
        <v>74</v>
      </c>
      <c r="F156" s="21"/>
      <c r="G156" s="278"/>
      <c r="H156" s="749"/>
      <c r="I156" s="29">
        <v>14896490</v>
      </c>
      <c r="J156" s="266">
        <v>10616238</v>
      </c>
      <c r="K156" s="266">
        <v>44360</v>
      </c>
      <c r="L156" s="266">
        <v>25160</v>
      </c>
      <c r="M156" s="266">
        <v>3594777</v>
      </c>
      <c r="N156" s="266">
        <v>212325</v>
      </c>
      <c r="O156" s="266">
        <v>428790</v>
      </c>
      <c r="P156" s="750">
        <v>21.995500000000003</v>
      </c>
      <c r="Q156" s="750">
        <v>17.331</v>
      </c>
      <c r="R156" s="751">
        <v>4.664500000000003</v>
      </c>
      <c r="S156" s="29">
        <f t="shared" ref="S156:AX156" si="195">SUM(S152:S155)</f>
        <v>0</v>
      </c>
      <c r="T156" s="22">
        <f t="shared" si="195"/>
        <v>0</v>
      </c>
      <c r="U156" s="22">
        <f t="shared" si="195"/>
        <v>-22091</v>
      </c>
      <c r="V156" s="22">
        <f t="shared" si="195"/>
        <v>-22091</v>
      </c>
      <c r="W156" s="22">
        <f t="shared" si="195"/>
        <v>0</v>
      </c>
      <c r="X156" s="22">
        <f t="shared" si="195"/>
        <v>0</v>
      </c>
      <c r="Y156" s="22">
        <f t="shared" si="195"/>
        <v>0</v>
      </c>
      <c r="Z156" s="22">
        <f t="shared" si="195"/>
        <v>-22091</v>
      </c>
      <c r="AA156" s="22">
        <f t="shared" si="195"/>
        <v>-7467</v>
      </c>
      <c r="AB156" s="22">
        <f t="shared" si="195"/>
        <v>-442</v>
      </c>
      <c r="AC156" s="22">
        <f t="shared" si="195"/>
        <v>0</v>
      </c>
      <c r="AD156" s="22">
        <f t="shared" si="195"/>
        <v>30000</v>
      </c>
      <c r="AE156" s="22">
        <f t="shared" si="195"/>
        <v>30000</v>
      </c>
      <c r="AF156" s="22">
        <f t="shared" si="195"/>
        <v>0</v>
      </c>
      <c r="AG156" s="23">
        <f t="shared" si="195"/>
        <v>0</v>
      </c>
      <c r="AH156" s="23">
        <f t="shared" si="195"/>
        <v>0</v>
      </c>
      <c r="AI156" s="23">
        <f t="shared" si="195"/>
        <v>0</v>
      </c>
      <c r="AJ156" s="23">
        <f t="shared" si="195"/>
        <v>0</v>
      </c>
      <c r="AK156" s="23">
        <f t="shared" si="195"/>
        <v>0</v>
      </c>
      <c r="AL156" s="23">
        <f t="shared" si="195"/>
        <v>0</v>
      </c>
      <c r="AM156" s="23">
        <f t="shared" si="195"/>
        <v>0</v>
      </c>
      <c r="AN156" s="752">
        <f t="shared" si="195"/>
        <v>0</v>
      </c>
      <c r="AO156" s="29">
        <f t="shared" si="195"/>
        <v>14896490</v>
      </c>
      <c r="AP156" s="22">
        <f t="shared" si="195"/>
        <v>10594147</v>
      </c>
      <c r="AQ156" s="22">
        <f t="shared" si="195"/>
        <v>44360</v>
      </c>
      <c r="AR156" s="67">
        <f t="shared" si="195"/>
        <v>25160</v>
      </c>
      <c r="AS156" s="22">
        <f t="shared" si="195"/>
        <v>3587310</v>
      </c>
      <c r="AT156" s="22">
        <f t="shared" si="195"/>
        <v>211883</v>
      </c>
      <c r="AU156" s="22">
        <f t="shared" si="195"/>
        <v>458790</v>
      </c>
      <c r="AV156" s="23">
        <f t="shared" si="195"/>
        <v>21.995500000000003</v>
      </c>
      <c r="AW156" s="23">
        <f t="shared" si="195"/>
        <v>17.331</v>
      </c>
      <c r="AX156" s="55">
        <f t="shared" si="195"/>
        <v>4.664500000000003</v>
      </c>
    </row>
    <row r="157" spans="1:50" s="695" customFormat="1" ht="12.75" customHeight="1" x14ac:dyDescent="0.2">
      <c r="A157" s="697">
        <v>34</v>
      </c>
      <c r="B157" s="698">
        <v>3418</v>
      </c>
      <c r="C157" s="698">
        <v>600078001</v>
      </c>
      <c r="D157" s="698">
        <v>70695954</v>
      </c>
      <c r="E157" s="699" t="s">
        <v>75</v>
      </c>
      <c r="F157" s="698">
        <v>3111</v>
      </c>
      <c r="G157" s="700" t="s">
        <v>317</v>
      </c>
      <c r="H157" s="701" t="s">
        <v>283</v>
      </c>
      <c r="I157" s="495">
        <v>1929313</v>
      </c>
      <c r="J157" s="496">
        <v>1390673</v>
      </c>
      <c r="K157" s="496">
        <v>10000</v>
      </c>
      <c r="L157" s="496">
        <v>0</v>
      </c>
      <c r="M157" s="496">
        <v>473427</v>
      </c>
      <c r="N157" s="496">
        <v>27813</v>
      </c>
      <c r="O157" s="496">
        <v>27400</v>
      </c>
      <c r="P157" s="497">
        <v>3.1252</v>
      </c>
      <c r="Q157" s="412">
        <v>2.2902999999999998</v>
      </c>
      <c r="R157" s="498">
        <v>0.8349000000000002</v>
      </c>
      <c r="S157" s="530">
        <f t="shared" ref="S157:S158" si="196">W157*-1</f>
        <v>0</v>
      </c>
      <c r="T157" s="486">
        <v>0</v>
      </c>
      <c r="U157" s="486">
        <v>0</v>
      </c>
      <c r="V157" s="486">
        <f>SUM(S157:U157)</f>
        <v>0</v>
      </c>
      <c r="W157" s="486">
        <v>0</v>
      </c>
      <c r="X157" s="486">
        <v>0</v>
      </c>
      <c r="Y157" s="486">
        <f>SUM(W157:X157)</f>
        <v>0</v>
      </c>
      <c r="Z157" s="486">
        <f>V157+Y157</f>
        <v>0</v>
      </c>
      <c r="AA157" s="319">
        <f>ROUND((V157+W157)*33.8%,0)</f>
        <v>0</v>
      </c>
      <c r="AB157" s="178">
        <f>ROUND(V157*2%,0)</f>
        <v>0</v>
      </c>
      <c r="AC157" s="486">
        <v>0</v>
      </c>
      <c r="AD157" s="486">
        <v>0</v>
      </c>
      <c r="AE157" s="486">
        <f t="shared" si="180"/>
        <v>0</v>
      </c>
      <c r="AF157" s="486">
        <f t="shared" si="181"/>
        <v>0</v>
      </c>
      <c r="AG157" s="501">
        <v>0</v>
      </c>
      <c r="AH157" s="501">
        <v>0</v>
      </c>
      <c r="AI157" s="501">
        <v>0</v>
      </c>
      <c r="AJ157" s="501">
        <v>0</v>
      </c>
      <c r="AK157" s="501">
        <v>0</v>
      </c>
      <c r="AL157" s="501">
        <f t="shared" ref="AL157:AL158" si="197">AG157+AI157+AJ157</f>
        <v>0</v>
      </c>
      <c r="AM157" s="501">
        <f t="shared" ref="AM157:AM158" si="198">AH157+AK157</f>
        <v>0</v>
      </c>
      <c r="AN157" s="529">
        <f t="shared" si="182"/>
        <v>0</v>
      </c>
      <c r="AO157" s="530">
        <f>I157+AF157</f>
        <v>1929313</v>
      </c>
      <c r="AP157" s="486">
        <f>J157+V157</f>
        <v>1390673</v>
      </c>
      <c r="AQ157" s="486">
        <f>K157+Y157</f>
        <v>10000</v>
      </c>
      <c r="AR157" s="486">
        <f>L157</f>
        <v>0</v>
      </c>
      <c r="AS157" s="486">
        <f>M157+AA157</f>
        <v>473427</v>
      </c>
      <c r="AT157" s="486">
        <f>N157+AB157</f>
        <v>27813</v>
      </c>
      <c r="AU157" s="486">
        <f>O157+AE157</f>
        <v>27400</v>
      </c>
      <c r="AV157" s="501">
        <f>P157+AN157</f>
        <v>3.1252</v>
      </c>
      <c r="AW157" s="501">
        <f>Q157+AL157</f>
        <v>2.2902999999999998</v>
      </c>
      <c r="AX157" s="502">
        <f>R157+AM157</f>
        <v>0.8349000000000002</v>
      </c>
    </row>
    <row r="158" spans="1:50" s="695" customFormat="1" ht="12.75" customHeight="1" x14ac:dyDescent="0.2">
      <c r="A158" s="697">
        <v>34</v>
      </c>
      <c r="B158" s="698">
        <v>3418</v>
      </c>
      <c r="C158" s="698">
        <v>600078001</v>
      </c>
      <c r="D158" s="698">
        <v>70695954</v>
      </c>
      <c r="E158" s="699" t="s">
        <v>75</v>
      </c>
      <c r="F158" s="698">
        <v>3141</v>
      </c>
      <c r="G158" s="700" t="s">
        <v>321</v>
      </c>
      <c r="H158" s="701" t="s">
        <v>284</v>
      </c>
      <c r="I158" s="495">
        <v>346072</v>
      </c>
      <c r="J158" s="496">
        <v>244047</v>
      </c>
      <c r="K158" s="475">
        <v>10000</v>
      </c>
      <c r="L158" s="475">
        <v>0</v>
      </c>
      <c r="M158" s="319">
        <v>85868</v>
      </c>
      <c r="N158" s="319">
        <v>4881</v>
      </c>
      <c r="O158" s="496">
        <v>1276</v>
      </c>
      <c r="P158" s="497">
        <v>0.86</v>
      </c>
      <c r="Q158" s="412">
        <v>0</v>
      </c>
      <c r="R158" s="498">
        <v>0.86</v>
      </c>
      <c r="S158" s="530">
        <f t="shared" si="196"/>
        <v>0</v>
      </c>
      <c r="T158" s="486">
        <v>0</v>
      </c>
      <c r="U158" s="486">
        <v>0</v>
      </c>
      <c r="V158" s="486">
        <f>SUM(S158:U158)</f>
        <v>0</v>
      </c>
      <c r="W158" s="486">
        <v>0</v>
      </c>
      <c r="X158" s="486">
        <v>0</v>
      </c>
      <c r="Y158" s="486">
        <f>SUM(W158:X158)</f>
        <v>0</v>
      </c>
      <c r="Z158" s="486">
        <f>V158+Y158</f>
        <v>0</v>
      </c>
      <c r="AA158" s="319">
        <f>ROUND((V158+W158)*33.8%,0)</f>
        <v>0</v>
      </c>
      <c r="AB158" s="178">
        <f>ROUND(V158*2%,0)</f>
        <v>0</v>
      </c>
      <c r="AC158" s="486">
        <v>0</v>
      </c>
      <c r="AD158" s="486">
        <v>0</v>
      </c>
      <c r="AE158" s="486">
        <f t="shared" si="180"/>
        <v>0</v>
      </c>
      <c r="AF158" s="486">
        <f t="shared" si="181"/>
        <v>0</v>
      </c>
      <c r="AG158" s="501">
        <v>0</v>
      </c>
      <c r="AH158" s="501">
        <v>0</v>
      </c>
      <c r="AI158" s="501">
        <v>0</v>
      </c>
      <c r="AJ158" s="501">
        <v>0</v>
      </c>
      <c r="AK158" s="501">
        <v>0</v>
      </c>
      <c r="AL158" s="501">
        <f t="shared" si="197"/>
        <v>0</v>
      </c>
      <c r="AM158" s="501">
        <f t="shared" si="198"/>
        <v>0</v>
      </c>
      <c r="AN158" s="529">
        <f t="shared" si="182"/>
        <v>0</v>
      </c>
      <c r="AO158" s="530">
        <f>I158+AF158</f>
        <v>346072</v>
      </c>
      <c r="AP158" s="486">
        <f>J158+V158</f>
        <v>244047</v>
      </c>
      <c r="AQ158" s="486">
        <f>K158+Y158</f>
        <v>10000</v>
      </c>
      <c r="AR158" s="486">
        <f>L158</f>
        <v>0</v>
      </c>
      <c r="AS158" s="486">
        <f>M158+AA158</f>
        <v>85868</v>
      </c>
      <c r="AT158" s="486">
        <f>N158+AB158</f>
        <v>4881</v>
      </c>
      <c r="AU158" s="486">
        <f>O158+AE158</f>
        <v>1276</v>
      </c>
      <c r="AV158" s="501">
        <f>P158+AN158</f>
        <v>0.86</v>
      </c>
      <c r="AW158" s="501">
        <f>Q158+AL158</f>
        <v>0</v>
      </c>
      <c r="AX158" s="502">
        <f>R158+AM158</f>
        <v>0.86</v>
      </c>
    </row>
    <row r="159" spans="1:50" s="695" customFormat="1" ht="12.75" customHeight="1" x14ac:dyDescent="0.2">
      <c r="A159" s="279">
        <v>34</v>
      </c>
      <c r="B159" s="21">
        <v>3418</v>
      </c>
      <c r="C159" s="277">
        <v>600078001</v>
      </c>
      <c r="D159" s="277">
        <v>70695954</v>
      </c>
      <c r="E159" s="696" t="s">
        <v>76</v>
      </c>
      <c r="F159" s="21"/>
      <c r="G159" s="278"/>
      <c r="H159" s="749"/>
      <c r="I159" s="29">
        <v>2275385</v>
      </c>
      <c r="J159" s="266">
        <v>1634720</v>
      </c>
      <c r="K159" s="266">
        <v>20000</v>
      </c>
      <c r="L159" s="266">
        <v>0</v>
      </c>
      <c r="M159" s="266">
        <v>559295</v>
      </c>
      <c r="N159" s="266">
        <v>32694</v>
      </c>
      <c r="O159" s="266">
        <v>28676</v>
      </c>
      <c r="P159" s="750">
        <v>3.9851999999999999</v>
      </c>
      <c r="Q159" s="750">
        <v>2.2902999999999998</v>
      </c>
      <c r="R159" s="751">
        <v>1.6949000000000001</v>
      </c>
      <c r="S159" s="29">
        <f t="shared" ref="S159:AX159" si="199">SUM(S157:S158)</f>
        <v>0</v>
      </c>
      <c r="T159" s="22">
        <f t="shared" si="199"/>
        <v>0</v>
      </c>
      <c r="U159" s="22">
        <f t="shared" si="199"/>
        <v>0</v>
      </c>
      <c r="V159" s="22">
        <f t="shared" si="199"/>
        <v>0</v>
      </c>
      <c r="W159" s="22">
        <f t="shared" si="199"/>
        <v>0</v>
      </c>
      <c r="X159" s="22">
        <f t="shared" si="199"/>
        <v>0</v>
      </c>
      <c r="Y159" s="22">
        <f t="shared" si="199"/>
        <v>0</v>
      </c>
      <c r="Z159" s="22">
        <f t="shared" si="199"/>
        <v>0</v>
      </c>
      <c r="AA159" s="22">
        <f t="shared" si="199"/>
        <v>0</v>
      </c>
      <c r="AB159" s="22">
        <f t="shared" si="199"/>
        <v>0</v>
      </c>
      <c r="AC159" s="22">
        <f t="shared" si="199"/>
        <v>0</v>
      </c>
      <c r="AD159" s="22">
        <f t="shared" si="199"/>
        <v>0</v>
      </c>
      <c r="AE159" s="22">
        <f t="shared" si="199"/>
        <v>0</v>
      </c>
      <c r="AF159" s="22">
        <f t="shared" si="199"/>
        <v>0</v>
      </c>
      <c r="AG159" s="23">
        <f t="shared" si="199"/>
        <v>0</v>
      </c>
      <c r="AH159" s="23">
        <f t="shared" si="199"/>
        <v>0</v>
      </c>
      <c r="AI159" s="23">
        <f t="shared" si="199"/>
        <v>0</v>
      </c>
      <c r="AJ159" s="23">
        <f t="shared" si="199"/>
        <v>0</v>
      </c>
      <c r="AK159" s="23">
        <f t="shared" si="199"/>
        <v>0</v>
      </c>
      <c r="AL159" s="23">
        <f t="shared" si="199"/>
        <v>0</v>
      </c>
      <c r="AM159" s="23">
        <f t="shared" si="199"/>
        <v>0</v>
      </c>
      <c r="AN159" s="752">
        <f t="shared" si="199"/>
        <v>0</v>
      </c>
      <c r="AO159" s="29">
        <f t="shared" si="199"/>
        <v>2275385</v>
      </c>
      <c r="AP159" s="22">
        <f t="shared" si="199"/>
        <v>1634720</v>
      </c>
      <c r="AQ159" s="22">
        <f t="shared" si="199"/>
        <v>20000</v>
      </c>
      <c r="AR159" s="67">
        <f t="shared" si="199"/>
        <v>0</v>
      </c>
      <c r="AS159" s="22">
        <f t="shared" si="199"/>
        <v>559295</v>
      </c>
      <c r="AT159" s="22">
        <f t="shared" si="199"/>
        <v>32694</v>
      </c>
      <c r="AU159" s="22">
        <f t="shared" si="199"/>
        <v>28676</v>
      </c>
      <c r="AV159" s="23">
        <f t="shared" si="199"/>
        <v>3.9851999999999999</v>
      </c>
      <c r="AW159" s="23">
        <f t="shared" si="199"/>
        <v>2.2902999999999998</v>
      </c>
      <c r="AX159" s="55">
        <f t="shared" si="199"/>
        <v>1.6949000000000001</v>
      </c>
    </row>
    <row r="160" spans="1:50" s="695" customFormat="1" ht="12.75" customHeight="1" x14ac:dyDescent="0.2">
      <c r="A160" s="697">
        <v>35</v>
      </c>
      <c r="B160" s="698">
        <v>3428</v>
      </c>
      <c r="C160" s="698">
        <v>600078311</v>
      </c>
      <c r="D160" s="698">
        <v>72742518</v>
      </c>
      <c r="E160" s="699" t="s">
        <v>77</v>
      </c>
      <c r="F160" s="698">
        <v>3111</v>
      </c>
      <c r="G160" s="700" t="s">
        <v>317</v>
      </c>
      <c r="H160" s="701" t="s">
        <v>283</v>
      </c>
      <c r="I160" s="495">
        <v>2728904</v>
      </c>
      <c r="J160" s="496">
        <v>1993523</v>
      </c>
      <c r="K160" s="475">
        <v>0</v>
      </c>
      <c r="L160" s="475">
        <v>0</v>
      </c>
      <c r="M160" s="319">
        <v>673811</v>
      </c>
      <c r="N160" s="319">
        <v>39870</v>
      </c>
      <c r="O160" s="496">
        <v>21700</v>
      </c>
      <c r="P160" s="497">
        <v>4.9218000000000002</v>
      </c>
      <c r="Q160" s="412">
        <v>4</v>
      </c>
      <c r="R160" s="498">
        <v>0.92179999999999995</v>
      </c>
      <c r="S160" s="530">
        <f t="shared" ref="S160:S165" si="200">W160*-1</f>
        <v>0</v>
      </c>
      <c r="T160" s="486">
        <v>0</v>
      </c>
      <c r="U160" s="486">
        <v>0</v>
      </c>
      <c r="V160" s="486">
        <f t="shared" ref="V160:V165" si="201">SUM(S160:U160)</f>
        <v>0</v>
      </c>
      <c r="W160" s="486">
        <v>0</v>
      </c>
      <c r="X160" s="486">
        <v>0</v>
      </c>
      <c r="Y160" s="486">
        <f t="shared" ref="Y160:Y165" si="202">SUM(W160:X160)</f>
        <v>0</v>
      </c>
      <c r="Z160" s="486">
        <f t="shared" ref="Z160:Z165" si="203">V160+Y160</f>
        <v>0</v>
      </c>
      <c r="AA160" s="319">
        <f t="shared" ref="AA160:AA165" si="204">ROUND((V160+W160)*33.8%,0)</f>
        <v>0</v>
      </c>
      <c r="AB160" s="178">
        <f t="shared" ref="AB160:AB165" si="205">ROUND(V160*2%,0)</f>
        <v>0</v>
      </c>
      <c r="AC160" s="486">
        <v>0</v>
      </c>
      <c r="AD160" s="486">
        <v>0</v>
      </c>
      <c r="AE160" s="486">
        <f t="shared" si="180"/>
        <v>0</v>
      </c>
      <c r="AF160" s="486">
        <f t="shared" si="181"/>
        <v>0</v>
      </c>
      <c r="AG160" s="501">
        <v>0</v>
      </c>
      <c r="AH160" s="501">
        <v>0</v>
      </c>
      <c r="AI160" s="501">
        <v>0</v>
      </c>
      <c r="AJ160" s="501">
        <v>0</v>
      </c>
      <c r="AK160" s="501">
        <v>0</v>
      </c>
      <c r="AL160" s="501">
        <f t="shared" ref="AL160:AL165" si="206">AG160+AI160+AJ160</f>
        <v>0</v>
      </c>
      <c r="AM160" s="501">
        <f t="shared" ref="AM160:AM165" si="207">AH160+AK160</f>
        <v>0</v>
      </c>
      <c r="AN160" s="529">
        <f t="shared" si="182"/>
        <v>0</v>
      </c>
      <c r="AO160" s="530">
        <f t="shared" ref="AO160:AO165" si="208">I160+AF160</f>
        <v>2728904</v>
      </c>
      <c r="AP160" s="486">
        <f t="shared" ref="AP160:AP165" si="209">J160+V160</f>
        <v>1993523</v>
      </c>
      <c r="AQ160" s="486">
        <f t="shared" ref="AQ160:AQ165" si="210">K160+Y160</f>
        <v>0</v>
      </c>
      <c r="AR160" s="486">
        <f t="shared" ref="AR160:AR165" si="211">L160</f>
        <v>0</v>
      </c>
      <c r="AS160" s="486">
        <f t="shared" ref="AS160:AT165" si="212">M160+AA160</f>
        <v>673811</v>
      </c>
      <c r="AT160" s="486">
        <f t="shared" si="212"/>
        <v>39870</v>
      </c>
      <c r="AU160" s="486">
        <f t="shared" ref="AU160:AU165" si="213">O160+AE160</f>
        <v>21700</v>
      </c>
      <c r="AV160" s="501">
        <f t="shared" ref="AV160:AV165" si="214">P160+AN160</f>
        <v>4.9218000000000002</v>
      </c>
      <c r="AW160" s="501">
        <f t="shared" ref="AW160:AX165" si="215">Q160+AL160</f>
        <v>4</v>
      </c>
      <c r="AX160" s="502">
        <f t="shared" si="215"/>
        <v>0.92179999999999995</v>
      </c>
    </row>
    <row r="161" spans="1:50" s="695" customFormat="1" ht="12.75" customHeight="1" x14ac:dyDescent="0.2">
      <c r="A161" s="697">
        <v>35</v>
      </c>
      <c r="B161" s="698">
        <v>3428</v>
      </c>
      <c r="C161" s="698">
        <v>600078311</v>
      </c>
      <c r="D161" s="698">
        <v>72742518</v>
      </c>
      <c r="E161" s="699" t="s">
        <v>77</v>
      </c>
      <c r="F161" s="698">
        <v>3117</v>
      </c>
      <c r="G161" s="700" t="s">
        <v>320</v>
      </c>
      <c r="H161" s="701" t="s">
        <v>283</v>
      </c>
      <c r="I161" s="495">
        <v>3374106</v>
      </c>
      <c r="J161" s="496">
        <v>2374328</v>
      </c>
      <c r="K161" s="496">
        <v>9768</v>
      </c>
      <c r="L161" s="496">
        <v>9768</v>
      </c>
      <c r="M161" s="496">
        <v>802522</v>
      </c>
      <c r="N161" s="496">
        <v>47488</v>
      </c>
      <c r="O161" s="496">
        <v>140000</v>
      </c>
      <c r="P161" s="497">
        <v>5.2439</v>
      </c>
      <c r="Q161" s="412">
        <v>3.5230999999999999</v>
      </c>
      <c r="R161" s="498">
        <v>1.7208000000000001</v>
      </c>
      <c r="S161" s="530">
        <f t="shared" si="200"/>
        <v>0</v>
      </c>
      <c r="T161" s="486">
        <v>0</v>
      </c>
      <c r="U161" s="486">
        <v>0</v>
      </c>
      <c r="V161" s="486">
        <f t="shared" si="201"/>
        <v>0</v>
      </c>
      <c r="W161" s="486">
        <v>0</v>
      </c>
      <c r="X161" s="486">
        <v>0</v>
      </c>
      <c r="Y161" s="486">
        <f t="shared" si="202"/>
        <v>0</v>
      </c>
      <c r="Z161" s="486">
        <f t="shared" si="203"/>
        <v>0</v>
      </c>
      <c r="AA161" s="319">
        <f t="shared" si="204"/>
        <v>0</v>
      </c>
      <c r="AB161" s="178">
        <f t="shared" si="205"/>
        <v>0</v>
      </c>
      <c r="AC161" s="486">
        <v>0</v>
      </c>
      <c r="AD161" s="486">
        <v>0</v>
      </c>
      <c r="AE161" s="486">
        <f t="shared" si="180"/>
        <v>0</v>
      </c>
      <c r="AF161" s="486">
        <f t="shared" si="181"/>
        <v>0</v>
      </c>
      <c r="AG161" s="501">
        <v>0</v>
      </c>
      <c r="AH161" s="501">
        <v>0</v>
      </c>
      <c r="AI161" s="501">
        <v>0</v>
      </c>
      <c r="AJ161" s="501">
        <v>0</v>
      </c>
      <c r="AK161" s="501">
        <v>0</v>
      </c>
      <c r="AL161" s="501">
        <f t="shared" si="206"/>
        <v>0</v>
      </c>
      <c r="AM161" s="501">
        <f t="shared" si="207"/>
        <v>0</v>
      </c>
      <c r="AN161" s="529">
        <f t="shared" si="182"/>
        <v>0</v>
      </c>
      <c r="AO161" s="530">
        <f t="shared" si="208"/>
        <v>3374106</v>
      </c>
      <c r="AP161" s="486">
        <f t="shared" si="209"/>
        <v>2374328</v>
      </c>
      <c r="AQ161" s="486">
        <f t="shared" si="210"/>
        <v>9768</v>
      </c>
      <c r="AR161" s="486">
        <f t="shared" si="211"/>
        <v>9768</v>
      </c>
      <c r="AS161" s="486">
        <f t="shared" si="212"/>
        <v>802522</v>
      </c>
      <c r="AT161" s="486">
        <f t="shared" si="212"/>
        <v>47488</v>
      </c>
      <c r="AU161" s="486">
        <f t="shared" si="213"/>
        <v>140000</v>
      </c>
      <c r="AV161" s="501">
        <f t="shared" si="214"/>
        <v>5.2439</v>
      </c>
      <c r="AW161" s="501">
        <f t="shared" si="215"/>
        <v>3.5230999999999999</v>
      </c>
      <c r="AX161" s="502">
        <f t="shared" si="215"/>
        <v>1.7208000000000001</v>
      </c>
    </row>
    <row r="162" spans="1:50" s="695" customFormat="1" x14ac:dyDescent="0.2">
      <c r="A162" s="697">
        <v>35</v>
      </c>
      <c r="B162" s="698">
        <v>3428</v>
      </c>
      <c r="C162" s="698">
        <v>600078311</v>
      </c>
      <c r="D162" s="698">
        <v>72742518</v>
      </c>
      <c r="E162" s="699" t="s">
        <v>77</v>
      </c>
      <c r="F162" s="698">
        <v>3117</v>
      </c>
      <c r="G162" s="700" t="s">
        <v>318</v>
      </c>
      <c r="H162" s="701" t="s">
        <v>284</v>
      </c>
      <c r="I162" s="495">
        <v>1085694</v>
      </c>
      <c r="J162" s="496">
        <v>799480</v>
      </c>
      <c r="K162" s="475">
        <v>0</v>
      </c>
      <c r="L162" s="475">
        <v>0</v>
      </c>
      <c r="M162" s="319">
        <v>270224</v>
      </c>
      <c r="N162" s="319">
        <v>15990</v>
      </c>
      <c r="O162" s="496">
        <v>0</v>
      </c>
      <c r="P162" s="497">
        <v>2.36</v>
      </c>
      <c r="Q162" s="412">
        <v>2.36</v>
      </c>
      <c r="R162" s="498">
        <v>0</v>
      </c>
      <c r="S162" s="530">
        <f t="shared" si="200"/>
        <v>0</v>
      </c>
      <c r="T162" s="486">
        <v>0</v>
      </c>
      <c r="U162" s="486">
        <v>0</v>
      </c>
      <c r="V162" s="486">
        <f t="shared" si="201"/>
        <v>0</v>
      </c>
      <c r="W162" s="486">
        <v>0</v>
      </c>
      <c r="X162" s="486">
        <v>0</v>
      </c>
      <c r="Y162" s="486">
        <f t="shared" si="202"/>
        <v>0</v>
      </c>
      <c r="Z162" s="486">
        <f t="shared" si="203"/>
        <v>0</v>
      </c>
      <c r="AA162" s="319">
        <f t="shared" si="204"/>
        <v>0</v>
      </c>
      <c r="AB162" s="178">
        <f t="shared" si="205"/>
        <v>0</v>
      </c>
      <c r="AC162" s="486">
        <v>0</v>
      </c>
      <c r="AD162" s="486">
        <v>0</v>
      </c>
      <c r="AE162" s="486">
        <f t="shared" si="180"/>
        <v>0</v>
      </c>
      <c r="AF162" s="486">
        <f t="shared" si="181"/>
        <v>0</v>
      </c>
      <c r="AG162" s="501">
        <v>0</v>
      </c>
      <c r="AH162" s="501">
        <v>0</v>
      </c>
      <c r="AI162" s="501">
        <v>0</v>
      </c>
      <c r="AJ162" s="501">
        <v>0</v>
      </c>
      <c r="AK162" s="501">
        <v>0</v>
      </c>
      <c r="AL162" s="501">
        <f t="shared" si="206"/>
        <v>0</v>
      </c>
      <c r="AM162" s="501">
        <f t="shared" si="207"/>
        <v>0</v>
      </c>
      <c r="AN162" s="529">
        <f t="shared" si="182"/>
        <v>0</v>
      </c>
      <c r="AO162" s="530">
        <f t="shared" si="208"/>
        <v>1085694</v>
      </c>
      <c r="AP162" s="486">
        <f t="shared" si="209"/>
        <v>799480</v>
      </c>
      <c r="AQ162" s="486">
        <f t="shared" si="210"/>
        <v>0</v>
      </c>
      <c r="AR162" s="486">
        <f t="shared" si="211"/>
        <v>0</v>
      </c>
      <c r="AS162" s="486">
        <f t="shared" si="212"/>
        <v>270224</v>
      </c>
      <c r="AT162" s="486">
        <f t="shared" si="212"/>
        <v>15990</v>
      </c>
      <c r="AU162" s="486">
        <f t="shared" si="213"/>
        <v>0</v>
      </c>
      <c r="AV162" s="501">
        <f t="shared" si="214"/>
        <v>2.36</v>
      </c>
      <c r="AW162" s="501">
        <f t="shared" si="215"/>
        <v>2.36</v>
      </c>
      <c r="AX162" s="502">
        <f t="shared" si="215"/>
        <v>0</v>
      </c>
    </row>
    <row r="163" spans="1:50" s="695" customFormat="1" ht="12.75" customHeight="1" x14ac:dyDescent="0.2">
      <c r="A163" s="697">
        <v>35</v>
      </c>
      <c r="B163" s="698">
        <v>3428</v>
      </c>
      <c r="C163" s="698">
        <v>600078311</v>
      </c>
      <c r="D163" s="698">
        <v>72742518</v>
      </c>
      <c r="E163" s="699" t="s">
        <v>77</v>
      </c>
      <c r="F163" s="698">
        <v>3141</v>
      </c>
      <c r="G163" s="700" t="s">
        <v>321</v>
      </c>
      <c r="H163" s="701" t="s">
        <v>284</v>
      </c>
      <c r="I163" s="495">
        <v>821022</v>
      </c>
      <c r="J163" s="496">
        <v>601977</v>
      </c>
      <c r="K163" s="475">
        <v>0</v>
      </c>
      <c r="L163" s="475">
        <v>0</v>
      </c>
      <c r="M163" s="319">
        <v>203468</v>
      </c>
      <c r="N163" s="319">
        <v>12039</v>
      </c>
      <c r="O163" s="496">
        <v>3538</v>
      </c>
      <c r="P163" s="497">
        <v>2.04</v>
      </c>
      <c r="Q163" s="412">
        <v>0</v>
      </c>
      <c r="R163" s="498">
        <v>2.04</v>
      </c>
      <c r="S163" s="530">
        <f t="shared" si="200"/>
        <v>0</v>
      </c>
      <c r="T163" s="486">
        <v>0</v>
      </c>
      <c r="U163" s="486">
        <v>0</v>
      </c>
      <c r="V163" s="486">
        <f t="shared" si="201"/>
        <v>0</v>
      </c>
      <c r="W163" s="486">
        <v>0</v>
      </c>
      <c r="X163" s="486">
        <v>0</v>
      </c>
      <c r="Y163" s="486">
        <f t="shared" si="202"/>
        <v>0</v>
      </c>
      <c r="Z163" s="486">
        <f t="shared" si="203"/>
        <v>0</v>
      </c>
      <c r="AA163" s="319">
        <f t="shared" si="204"/>
        <v>0</v>
      </c>
      <c r="AB163" s="178">
        <f t="shared" si="205"/>
        <v>0</v>
      </c>
      <c r="AC163" s="486">
        <v>0</v>
      </c>
      <c r="AD163" s="486">
        <v>0</v>
      </c>
      <c r="AE163" s="486">
        <f t="shared" si="180"/>
        <v>0</v>
      </c>
      <c r="AF163" s="486">
        <f t="shared" si="181"/>
        <v>0</v>
      </c>
      <c r="AG163" s="501">
        <v>0</v>
      </c>
      <c r="AH163" s="501">
        <v>0</v>
      </c>
      <c r="AI163" s="501">
        <v>0</v>
      </c>
      <c r="AJ163" s="501">
        <v>0</v>
      </c>
      <c r="AK163" s="501">
        <v>0</v>
      </c>
      <c r="AL163" s="501">
        <f t="shared" si="206"/>
        <v>0</v>
      </c>
      <c r="AM163" s="501">
        <f t="shared" si="207"/>
        <v>0</v>
      </c>
      <c r="AN163" s="529">
        <f t="shared" si="182"/>
        <v>0</v>
      </c>
      <c r="AO163" s="530">
        <f t="shared" si="208"/>
        <v>821022</v>
      </c>
      <c r="AP163" s="486">
        <f t="shared" si="209"/>
        <v>601977</v>
      </c>
      <c r="AQ163" s="486">
        <f t="shared" si="210"/>
        <v>0</v>
      </c>
      <c r="AR163" s="486">
        <f t="shared" si="211"/>
        <v>0</v>
      </c>
      <c r="AS163" s="486">
        <f t="shared" si="212"/>
        <v>203468</v>
      </c>
      <c r="AT163" s="486">
        <f t="shared" si="212"/>
        <v>12039</v>
      </c>
      <c r="AU163" s="486">
        <f t="shared" si="213"/>
        <v>3538</v>
      </c>
      <c r="AV163" s="501">
        <f t="shared" si="214"/>
        <v>2.04</v>
      </c>
      <c r="AW163" s="501">
        <f t="shared" si="215"/>
        <v>0</v>
      </c>
      <c r="AX163" s="502">
        <f t="shared" si="215"/>
        <v>2.04</v>
      </c>
    </row>
    <row r="164" spans="1:50" s="695" customFormat="1" ht="12.75" customHeight="1" x14ac:dyDescent="0.2">
      <c r="A164" s="697">
        <v>35</v>
      </c>
      <c r="B164" s="698">
        <v>3428</v>
      </c>
      <c r="C164" s="698">
        <v>600078311</v>
      </c>
      <c r="D164" s="698">
        <v>72742518</v>
      </c>
      <c r="E164" s="699" t="s">
        <v>77</v>
      </c>
      <c r="F164" s="698">
        <v>3143</v>
      </c>
      <c r="G164" s="700" t="s">
        <v>634</v>
      </c>
      <c r="H164" s="701" t="s">
        <v>283</v>
      </c>
      <c r="I164" s="495">
        <v>774216</v>
      </c>
      <c r="J164" s="496">
        <v>570115</v>
      </c>
      <c r="K164" s="475">
        <v>0</v>
      </c>
      <c r="L164" s="475">
        <v>0</v>
      </c>
      <c r="M164" s="319">
        <v>192699</v>
      </c>
      <c r="N164" s="319">
        <v>11402</v>
      </c>
      <c r="O164" s="496">
        <v>0</v>
      </c>
      <c r="P164" s="497">
        <v>1.1606000000000001</v>
      </c>
      <c r="Q164" s="412">
        <v>1.1606000000000001</v>
      </c>
      <c r="R164" s="498">
        <v>0</v>
      </c>
      <c r="S164" s="530">
        <f t="shared" si="200"/>
        <v>0</v>
      </c>
      <c r="T164" s="486">
        <v>0</v>
      </c>
      <c r="U164" s="486">
        <v>0</v>
      </c>
      <c r="V164" s="486">
        <f t="shared" si="201"/>
        <v>0</v>
      </c>
      <c r="W164" s="486">
        <v>0</v>
      </c>
      <c r="X164" s="486">
        <v>0</v>
      </c>
      <c r="Y164" s="486">
        <f t="shared" si="202"/>
        <v>0</v>
      </c>
      <c r="Z164" s="486">
        <f t="shared" si="203"/>
        <v>0</v>
      </c>
      <c r="AA164" s="319">
        <f t="shared" si="204"/>
        <v>0</v>
      </c>
      <c r="AB164" s="178">
        <f t="shared" si="205"/>
        <v>0</v>
      </c>
      <c r="AC164" s="486">
        <v>0</v>
      </c>
      <c r="AD164" s="486">
        <v>0</v>
      </c>
      <c r="AE164" s="486">
        <f t="shared" si="180"/>
        <v>0</v>
      </c>
      <c r="AF164" s="486">
        <f t="shared" si="181"/>
        <v>0</v>
      </c>
      <c r="AG164" s="501">
        <v>0</v>
      </c>
      <c r="AH164" s="501">
        <v>0</v>
      </c>
      <c r="AI164" s="501">
        <v>0</v>
      </c>
      <c r="AJ164" s="501">
        <v>0</v>
      </c>
      <c r="AK164" s="501">
        <v>0</v>
      </c>
      <c r="AL164" s="501">
        <f t="shared" si="206"/>
        <v>0</v>
      </c>
      <c r="AM164" s="501">
        <f t="shared" si="207"/>
        <v>0</v>
      </c>
      <c r="AN164" s="529">
        <f t="shared" si="182"/>
        <v>0</v>
      </c>
      <c r="AO164" s="530">
        <f t="shared" si="208"/>
        <v>774216</v>
      </c>
      <c r="AP164" s="486">
        <f t="shared" si="209"/>
        <v>570115</v>
      </c>
      <c r="AQ164" s="486">
        <f t="shared" si="210"/>
        <v>0</v>
      </c>
      <c r="AR164" s="486">
        <f t="shared" si="211"/>
        <v>0</v>
      </c>
      <c r="AS164" s="486">
        <f t="shared" si="212"/>
        <v>192699</v>
      </c>
      <c r="AT164" s="486">
        <f t="shared" si="212"/>
        <v>11402</v>
      </c>
      <c r="AU164" s="486">
        <f t="shared" si="213"/>
        <v>0</v>
      </c>
      <c r="AV164" s="501">
        <f t="shared" si="214"/>
        <v>1.1606000000000001</v>
      </c>
      <c r="AW164" s="501">
        <f t="shared" si="215"/>
        <v>1.1606000000000001</v>
      </c>
      <c r="AX164" s="502">
        <f t="shared" si="215"/>
        <v>0</v>
      </c>
    </row>
    <row r="165" spans="1:50" s="695" customFormat="1" ht="12.75" customHeight="1" x14ac:dyDescent="0.2">
      <c r="A165" s="697">
        <v>35</v>
      </c>
      <c r="B165" s="698">
        <v>3428</v>
      </c>
      <c r="C165" s="698">
        <v>600078311</v>
      </c>
      <c r="D165" s="698">
        <v>72742518</v>
      </c>
      <c r="E165" s="699" t="s">
        <v>77</v>
      </c>
      <c r="F165" s="698">
        <v>3143</v>
      </c>
      <c r="G165" s="700" t="s">
        <v>635</v>
      </c>
      <c r="H165" s="701" t="s">
        <v>284</v>
      </c>
      <c r="I165" s="495">
        <v>21066</v>
      </c>
      <c r="J165" s="496">
        <v>14850</v>
      </c>
      <c r="K165" s="475">
        <v>0</v>
      </c>
      <c r="L165" s="475">
        <v>0</v>
      </c>
      <c r="M165" s="319">
        <v>5019</v>
      </c>
      <c r="N165" s="319">
        <v>297</v>
      </c>
      <c r="O165" s="496">
        <v>900</v>
      </c>
      <c r="P165" s="497">
        <v>0.06</v>
      </c>
      <c r="Q165" s="412">
        <v>0</v>
      </c>
      <c r="R165" s="498">
        <v>0.06</v>
      </c>
      <c r="S165" s="530">
        <f t="shared" si="200"/>
        <v>0</v>
      </c>
      <c r="T165" s="486">
        <v>0</v>
      </c>
      <c r="U165" s="486">
        <v>0</v>
      </c>
      <c r="V165" s="486">
        <f t="shared" si="201"/>
        <v>0</v>
      </c>
      <c r="W165" s="486">
        <v>0</v>
      </c>
      <c r="X165" s="486">
        <v>0</v>
      </c>
      <c r="Y165" s="486">
        <f t="shared" si="202"/>
        <v>0</v>
      </c>
      <c r="Z165" s="486">
        <f t="shared" si="203"/>
        <v>0</v>
      </c>
      <c r="AA165" s="319">
        <f t="shared" si="204"/>
        <v>0</v>
      </c>
      <c r="AB165" s="178">
        <f t="shared" si="205"/>
        <v>0</v>
      </c>
      <c r="AC165" s="486">
        <v>0</v>
      </c>
      <c r="AD165" s="486">
        <v>0</v>
      </c>
      <c r="AE165" s="486">
        <f t="shared" si="180"/>
        <v>0</v>
      </c>
      <c r="AF165" s="486">
        <f t="shared" si="181"/>
        <v>0</v>
      </c>
      <c r="AG165" s="501">
        <v>0</v>
      </c>
      <c r="AH165" s="501">
        <v>0</v>
      </c>
      <c r="AI165" s="501">
        <v>0</v>
      </c>
      <c r="AJ165" s="501">
        <v>0</v>
      </c>
      <c r="AK165" s="501">
        <v>0</v>
      </c>
      <c r="AL165" s="501">
        <f t="shared" si="206"/>
        <v>0</v>
      </c>
      <c r="AM165" s="501">
        <f t="shared" si="207"/>
        <v>0</v>
      </c>
      <c r="AN165" s="529">
        <f t="shared" si="182"/>
        <v>0</v>
      </c>
      <c r="AO165" s="530">
        <f t="shared" si="208"/>
        <v>21066</v>
      </c>
      <c r="AP165" s="486">
        <f t="shared" si="209"/>
        <v>14850</v>
      </c>
      <c r="AQ165" s="486">
        <f t="shared" si="210"/>
        <v>0</v>
      </c>
      <c r="AR165" s="486">
        <f t="shared" si="211"/>
        <v>0</v>
      </c>
      <c r="AS165" s="486">
        <f t="shared" si="212"/>
        <v>5019</v>
      </c>
      <c r="AT165" s="486">
        <f t="shared" si="212"/>
        <v>297</v>
      </c>
      <c r="AU165" s="486">
        <f t="shared" si="213"/>
        <v>900</v>
      </c>
      <c r="AV165" s="501">
        <f t="shared" si="214"/>
        <v>0.06</v>
      </c>
      <c r="AW165" s="501">
        <f t="shared" si="215"/>
        <v>0</v>
      </c>
      <c r="AX165" s="502">
        <f t="shared" si="215"/>
        <v>0.06</v>
      </c>
    </row>
    <row r="166" spans="1:50" s="695" customFormat="1" ht="12.75" customHeight="1" x14ac:dyDescent="0.2">
      <c r="A166" s="279">
        <v>35</v>
      </c>
      <c r="B166" s="21">
        <v>3428</v>
      </c>
      <c r="C166" s="277">
        <v>600078311</v>
      </c>
      <c r="D166" s="277">
        <v>72742518</v>
      </c>
      <c r="E166" s="696" t="s">
        <v>78</v>
      </c>
      <c r="F166" s="21"/>
      <c r="G166" s="278"/>
      <c r="H166" s="749"/>
      <c r="I166" s="29">
        <v>8805008</v>
      </c>
      <c r="J166" s="266">
        <v>6354273</v>
      </c>
      <c r="K166" s="266">
        <v>9768</v>
      </c>
      <c r="L166" s="266">
        <v>9768</v>
      </c>
      <c r="M166" s="266">
        <v>2147743</v>
      </c>
      <c r="N166" s="266">
        <v>127086</v>
      </c>
      <c r="O166" s="266">
        <v>166138</v>
      </c>
      <c r="P166" s="750">
        <v>15.786300000000001</v>
      </c>
      <c r="Q166" s="750">
        <v>11.043699999999999</v>
      </c>
      <c r="R166" s="751">
        <v>4.7425999999999995</v>
      </c>
      <c r="S166" s="29">
        <f t="shared" ref="S166:AX166" si="216">SUM(S160:S165)</f>
        <v>0</v>
      </c>
      <c r="T166" s="22">
        <f t="shared" si="216"/>
        <v>0</v>
      </c>
      <c r="U166" s="22">
        <f t="shared" si="216"/>
        <v>0</v>
      </c>
      <c r="V166" s="22">
        <f t="shared" si="216"/>
        <v>0</v>
      </c>
      <c r="W166" s="22">
        <f t="shared" si="216"/>
        <v>0</v>
      </c>
      <c r="X166" s="22">
        <f t="shared" si="216"/>
        <v>0</v>
      </c>
      <c r="Y166" s="22">
        <f t="shared" si="216"/>
        <v>0</v>
      </c>
      <c r="Z166" s="22">
        <f t="shared" si="216"/>
        <v>0</v>
      </c>
      <c r="AA166" s="22">
        <f t="shared" si="216"/>
        <v>0</v>
      </c>
      <c r="AB166" s="22">
        <f t="shared" si="216"/>
        <v>0</v>
      </c>
      <c r="AC166" s="22">
        <f t="shared" si="216"/>
        <v>0</v>
      </c>
      <c r="AD166" s="22">
        <f t="shared" si="216"/>
        <v>0</v>
      </c>
      <c r="AE166" s="22">
        <f t="shared" si="216"/>
        <v>0</v>
      </c>
      <c r="AF166" s="22">
        <f t="shared" si="216"/>
        <v>0</v>
      </c>
      <c r="AG166" s="23">
        <f t="shared" si="216"/>
        <v>0</v>
      </c>
      <c r="AH166" s="23">
        <f t="shared" si="216"/>
        <v>0</v>
      </c>
      <c r="AI166" s="23">
        <f t="shared" si="216"/>
        <v>0</v>
      </c>
      <c r="AJ166" s="23">
        <f t="shared" si="216"/>
        <v>0</v>
      </c>
      <c r="AK166" s="23">
        <f t="shared" si="216"/>
        <v>0</v>
      </c>
      <c r="AL166" s="23">
        <f t="shared" si="216"/>
        <v>0</v>
      </c>
      <c r="AM166" s="23">
        <f t="shared" si="216"/>
        <v>0</v>
      </c>
      <c r="AN166" s="752">
        <f t="shared" si="216"/>
        <v>0</v>
      </c>
      <c r="AO166" s="29">
        <f t="shared" si="216"/>
        <v>8805008</v>
      </c>
      <c r="AP166" s="22">
        <f t="shared" si="216"/>
        <v>6354273</v>
      </c>
      <c r="AQ166" s="22">
        <f t="shared" si="216"/>
        <v>9768</v>
      </c>
      <c r="AR166" s="67">
        <f t="shared" si="216"/>
        <v>9768</v>
      </c>
      <c r="AS166" s="22">
        <f t="shared" si="216"/>
        <v>2147743</v>
      </c>
      <c r="AT166" s="22">
        <f t="shared" si="216"/>
        <v>127086</v>
      </c>
      <c r="AU166" s="22">
        <f t="shared" si="216"/>
        <v>166138</v>
      </c>
      <c r="AV166" s="23">
        <f t="shared" si="216"/>
        <v>15.786300000000001</v>
      </c>
      <c r="AW166" s="23">
        <f t="shared" si="216"/>
        <v>11.043699999999999</v>
      </c>
      <c r="AX166" s="55">
        <f t="shared" si="216"/>
        <v>4.7425999999999995</v>
      </c>
    </row>
    <row r="167" spans="1:50" s="695" customFormat="1" ht="12.75" customHeight="1" x14ac:dyDescent="0.2">
      <c r="A167" s="697">
        <v>36</v>
      </c>
      <c r="B167" s="698">
        <v>3433</v>
      </c>
      <c r="C167" s="698">
        <v>600078043</v>
      </c>
      <c r="D167" s="698">
        <v>70695130</v>
      </c>
      <c r="E167" s="699" t="s">
        <v>79</v>
      </c>
      <c r="F167" s="698">
        <v>3111</v>
      </c>
      <c r="G167" s="700" t="s">
        <v>317</v>
      </c>
      <c r="H167" s="701" t="s">
        <v>283</v>
      </c>
      <c r="I167" s="495">
        <v>3289284</v>
      </c>
      <c r="J167" s="496">
        <v>2400504</v>
      </c>
      <c r="K167" s="496">
        <v>0</v>
      </c>
      <c r="L167" s="496">
        <v>0</v>
      </c>
      <c r="M167" s="496">
        <v>811370</v>
      </c>
      <c r="N167" s="496">
        <v>48010</v>
      </c>
      <c r="O167" s="496">
        <v>29400</v>
      </c>
      <c r="P167" s="497">
        <v>5.4897999999999998</v>
      </c>
      <c r="Q167" s="412">
        <v>4</v>
      </c>
      <c r="R167" s="498">
        <v>1.4897999999999998</v>
      </c>
      <c r="S167" s="530">
        <f t="shared" ref="S167:S168" si="217">W167*-1</f>
        <v>0</v>
      </c>
      <c r="T167" s="486">
        <v>0</v>
      </c>
      <c r="U167" s="486">
        <v>0</v>
      </c>
      <c r="V167" s="486">
        <f>SUM(S167:U167)</f>
        <v>0</v>
      </c>
      <c r="W167" s="486">
        <v>0</v>
      </c>
      <c r="X167" s="486">
        <v>0</v>
      </c>
      <c r="Y167" s="486">
        <f>SUM(W167:X167)</f>
        <v>0</v>
      </c>
      <c r="Z167" s="486">
        <f>V167+Y167</f>
        <v>0</v>
      </c>
      <c r="AA167" s="319">
        <f>ROUND((V167+W167)*33.8%,0)</f>
        <v>0</v>
      </c>
      <c r="AB167" s="178">
        <f>ROUND(V167*2%,0)</f>
        <v>0</v>
      </c>
      <c r="AC167" s="486">
        <v>0</v>
      </c>
      <c r="AD167" s="486">
        <v>0</v>
      </c>
      <c r="AE167" s="486">
        <f t="shared" si="180"/>
        <v>0</v>
      </c>
      <c r="AF167" s="486">
        <f t="shared" si="181"/>
        <v>0</v>
      </c>
      <c r="AG167" s="501">
        <v>0</v>
      </c>
      <c r="AH167" s="501">
        <v>0</v>
      </c>
      <c r="AI167" s="501">
        <v>0</v>
      </c>
      <c r="AJ167" s="501">
        <v>0</v>
      </c>
      <c r="AK167" s="501">
        <v>0</v>
      </c>
      <c r="AL167" s="501">
        <f t="shared" ref="AL167:AL168" si="218">AG167+AI167+AJ167</f>
        <v>0</v>
      </c>
      <c r="AM167" s="501">
        <f t="shared" ref="AM167:AM168" si="219">AH167+AK167</f>
        <v>0</v>
      </c>
      <c r="AN167" s="529">
        <f t="shared" si="182"/>
        <v>0</v>
      </c>
      <c r="AO167" s="530">
        <f>I167+AF167</f>
        <v>3289284</v>
      </c>
      <c r="AP167" s="486">
        <f>J167+V167</f>
        <v>2400504</v>
      </c>
      <c r="AQ167" s="486">
        <f>K167+Y167</f>
        <v>0</v>
      </c>
      <c r="AR167" s="486">
        <f>L167</f>
        <v>0</v>
      </c>
      <c r="AS167" s="486">
        <f>M167+AA167</f>
        <v>811370</v>
      </c>
      <c r="AT167" s="486">
        <f>N167+AB167</f>
        <v>48010</v>
      </c>
      <c r="AU167" s="486">
        <f>O167+AE167</f>
        <v>29400</v>
      </c>
      <c r="AV167" s="501">
        <f>P167+AN167</f>
        <v>5.4897999999999998</v>
      </c>
      <c r="AW167" s="501">
        <f>Q167+AL167</f>
        <v>4</v>
      </c>
      <c r="AX167" s="502">
        <f>R167+AM167</f>
        <v>1.4897999999999998</v>
      </c>
    </row>
    <row r="168" spans="1:50" s="695" customFormat="1" ht="12.75" customHeight="1" x14ac:dyDescent="0.2">
      <c r="A168" s="697">
        <v>36</v>
      </c>
      <c r="B168" s="698">
        <v>3433</v>
      </c>
      <c r="C168" s="698">
        <v>600078043</v>
      </c>
      <c r="D168" s="698">
        <v>70695130</v>
      </c>
      <c r="E168" s="699" t="s">
        <v>79</v>
      </c>
      <c r="F168" s="698">
        <v>3141</v>
      </c>
      <c r="G168" s="700" t="s">
        <v>321</v>
      </c>
      <c r="H168" s="701" t="s">
        <v>284</v>
      </c>
      <c r="I168" s="495">
        <v>564729</v>
      </c>
      <c r="J168" s="496">
        <v>414060</v>
      </c>
      <c r="K168" s="475">
        <v>0</v>
      </c>
      <c r="L168" s="475">
        <v>0</v>
      </c>
      <c r="M168" s="319">
        <v>139952</v>
      </c>
      <c r="N168" s="319">
        <v>8281</v>
      </c>
      <c r="O168" s="496">
        <v>2436</v>
      </c>
      <c r="P168" s="497">
        <v>1.41</v>
      </c>
      <c r="Q168" s="412">
        <v>0</v>
      </c>
      <c r="R168" s="498">
        <v>1.41</v>
      </c>
      <c r="S168" s="530">
        <f t="shared" si="217"/>
        <v>0</v>
      </c>
      <c r="T168" s="486">
        <v>0</v>
      </c>
      <c r="U168" s="486">
        <v>0</v>
      </c>
      <c r="V168" s="486">
        <f>SUM(S168:U168)</f>
        <v>0</v>
      </c>
      <c r="W168" s="486">
        <v>0</v>
      </c>
      <c r="X168" s="486">
        <v>0</v>
      </c>
      <c r="Y168" s="486">
        <f>SUM(W168:X168)</f>
        <v>0</v>
      </c>
      <c r="Z168" s="486">
        <f>V168+Y168</f>
        <v>0</v>
      </c>
      <c r="AA168" s="319">
        <f>ROUND((V168+W168)*33.8%,0)</f>
        <v>0</v>
      </c>
      <c r="AB168" s="178">
        <f>ROUND(V168*2%,0)</f>
        <v>0</v>
      </c>
      <c r="AC168" s="486">
        <v>0</v>
      </c>
      <c r="AD168" s="486">
        <v>0</v>
      </c>
      <c r="AE168" s="486">
        <f t="shared" si="180"/>
        <v>0</v>
      </c>
      <c r="AF168" s="486">
        <f t="shared" si="181"/>
        <v>0</v>
      </c>
      <c r="AG168" s="501">
        <v>0</v>
      </c>
      <c r="AH168" s="501">
        <v>0</v>
      </c>
      <c r="AI168" s="501">
        <v>0</v>
      </c>
      <c r="AJ168" s="501">
        <v>0</v>
      </c>
      <c r="AK168" s="501">
        <v>0</v>
      </c>
      <c r="AL168" s="501">
        <f t="shared" si="218"/>
        <v>0</v>
      </c>
      <c r="AM168" s="501">
        <f t="shared" si="219"/>
        <v>0</v>
      </c>
      <c r="AN168" s="529">
        <f t="shared" si="182"/>
        <v>0</v>
      </c>
      <c r="AO168" s="530">
        <f>I168+AF168</f>
        <v>564729</v>
      </c>
      <c r="AP168" s="486">
        <f>J168+V168</f>
        <v>414060</v>
      </c>
      <c r="AQ168" s="486">
        <f>K168+Y168</f>
        <v>0</v>
      </c>
      <c r="AR168" s="486">
        <f>L168</f>
        <v>0</v>
      </c>
      <c r="AS168" s="486">
        <f>M168+AA168</f>
        <v>139952</v>
      </c>
      <c r="AT168" s="486">
        <f>N168+AB168</f>
        <v>8281</v>
      </c>
      <c r="AU168" s="486">
        <f>O168+AE168</f>
        <v>2436</v>
      </c>
      <c r="AV168" s="501">
        <f>P168+AN168</f>
        <v>1.41</v>
      </c>
      <c r="AW168" s="501">
        <f>Q168+AL168</f>
        <v>0</v>
      </c>
      <c r="AX168" s="502">
        <f>R168+AM168</f>
        <v>1.41</v>
      </c>
    </row>
    <row r="169" spans="1:50" s="695" customFormat="1" ht="12.75" customHeight="1" x14ac:dyDescent="0.2">
      <c r="A169" s="279">
        <v>36</v>
      </c>
      <c r="B169" s="21">
        <v>3433</v>
      </c>
      <c r="C169" s="277">
        <v>600078043</v>
      </c>
      <c r="D169" s="277">
        <v>70695130</v>
      </c>
      <c r="E169" s="696" t="s">
        <v>80</v>
      </c>
      <c r="F169" s="21"/>
      <c r="G169" s="278"/>
      <c r="H169" s="749"/>
      <c r="I169" s="29">
        <v>3854013</v>
      </c>
      <c r="J169" s="266">
        <v>2814564</v>
      </c>
      <c r="K169" s="266">
        <v>0</v>
      </c>
      <c r="L169" s="266">
        <v>0</v>
      </c>
      <c r="M169" s="266">
        <v>951322</v>
      </c>
      <c r="N169" s="266">
        <v>56291</v>
      </c>
      <c r="O169" s="266">
        <v>31836</v>
      </c>
      <c r="P169" s="750">
        <v>6.8997999999999999</v>
      </c>
      <c r="Q169" s="750">
        <v>4</v>
      </c>
      <c r="R169" s="751">
        <v>2.8997999999999999</v>
      </c>
      <c r="S169" s="29">
        <f t="shared" ref="S169:AX169" si="220">SUM(S167:S168)</f>
        <v>0</v>
      </c>
      <c r="T169" s="22">
        <f t="shared" si="220"/>
        <v>0</v>
      </c>
      <c r="U169" s="22">
        <f t="shared" si="220"/>
        <v>0</v>
      </c>
      <c r="V169" s="22">
        <f t="shared" si="220"/>
        <v>0</v>
      </c>
      <c r="W169" s="22">
        <f t="shared" si="220"/>
        <v>0</v>
      </c>
      <c r="X169" s="22">
        <f t="shared" si="220"/>
        <v>0</v>
      </c>
      <c r="Y169" s="22">
        <f t="shared" si="220"/>
        <v>0</v>
      </c>
      <c r="Z169" s="22">
        <f t="shared" si="220"/>
        <v>0</v>
      </c>
      <c r="AA169" s="22">
        <f t="shared" si="220"/>
        <v>0</v>
      </c>
      <c r="AB169" s="22">
        <f t="shared" si="220"/>
        <v>0</v>
      </c>
      <c r="AC169" s="22">
        <f t="shared" si="220"/>
        <v>0</v>
      </c>
      <c r="AD169" s="22">
        <f t="shared" si="220"/>
        <v>0</v>
      </c>
      <c r="AE169" s="22">
        <f t="shared" si="220"/>
        <v>0</v>
      </c>
      <c r="AF169" s="22">
        <f t="shared" si="220"/>
        <v>0</v>
      </c>
      <c r="AG169" s="23">
        <f t="shared" si="220"/>
        <v>0</v>
      </c>
      <c r="AH169" s="23">
        <f t="shared" si="220"/>
        <v>0</v>
      </c>
      <c r="AI169" s="23">
        <f t="shared" si="220"/>
        <v>0</v>
      </c>
      <c r="AJ169" s="23">
        <f t="shared" si="220"/>
        <v>0</v>
      </c>
      <c r="AK169" s="23">
        <f t="shared" si="220"/>
        <v>0</v>
      </c>
      <c r="AL169" s="23">
        <f t="shared" si="220"/>
        <v>0</v>
      </c>
      <c r="AM169" s="23">
        <f t="shared" si="220"/>
        <v>0</v>
      </c>
      <c r="AN169" s="752">
        <f t="shared" si="220"/>
        <v>0</v>
      </c>
      <c r="AO169" s="29">
        <f t="shared" si="220"/>
        <v>3854013</v>
      </c>
      <c r="AP169" s="22">
        <f t="shared" si="220"/>
        <v>2814564</v>
      </c>
      <c r="AQ169" s="22">
        <f t="shared" si="220"/>
        <v>0</v>
      </c>
      <c r="AR169" s="67">
        <f t="shared" si="220"/>
        <v>0</v>
      </c>
      <c r="AS169" s="22">
        <f t="shared" si="220"/>
        <v>951322</v>
      </c>
      <c r="AT169" s="22">
        <f t="shared" si="220"/>
        <v>56291</v>
      </c>
      <c r="AU169" s="22">
        <f t="shared" si="220"/>
        <v>31836</v>
      </c>
      <c r="AV169" s="23">
        <f t="shared" si="220"/>
        <v>6.8997999999999999</v>
      </c>
      <c r="AW169" s="23">
        <f t="shared" si="220"/>
        <v>4</v>
      </c>
      <c r="AX169" s="55">
        <f t="shared" si="220"/>
        <v>2.8997999999999999</v>
      </c>
    </row>
    <row r="170" spans="1:50" s="695" customFormat="1" ht="12.75" customHeight="1" x14ac:dyDescent="0.2">
      <c r="A170" s="697">
        <v>37</v>
      </c>
      <c r="B170" s="698">
        <v>3432</v>
      </c>
      <c r="C170" s="698">
        <v>600078329</v>
      </c>
      <c r="D170" s="698">
        <v>70695121</v>
      </c>
      <c r="E170" s="699" t="s">
        <v>81</v>
      </c>
      <c r="F170" s="698">
        <v>3117</v>
      </c>
      <c r="G170" s="700" t="s">
        <v>320</v>
      </c>
      <c r="H170" s="701" t="s">
        <v>283</v>
      </c>
      <c r="I170" s="495">
        <v>5168612</v>
      </c>
      <c r="J170" s="496">
        <v>3637660</v>
      </c>
      <c r="K170" s="496">
        <v>32004</v>
      </c>
      <c r="L170" s="496">
        <v>9324</v>
      </c>
      <c r="M170" s="496">
        <v>1237195</v>
      </c>
      <c r="N170" s="496">
        <v>72753</v>
      </c>
      <c r="O170" s="496">
        <v>189000</v>
      </c>
      <c r="P170" s="497">
        <v>7.7403000000000004</v>
      </c>
      <c r="Q170" s="412">
        <v>5.45</v>
      </c>
      <c r="R170" s="498">
        <v>2.2903000000000002</v>
      </c>
      <c r="S170" s="530">
        <f t="shared" ref="S170:S174" si="221">W170*-1</f>
        <v>5670</v>
      </c>
      <c r="T170" s="486">
        <v>0</v>
      </c>
      <c r="U170" s="486">
        <v>0</v>
      </c>
      <c r="V170" s="486">
        <f>SUM(S170:U170)</f>
        <v>5670</v>
      </c>
      <c r="W170" s="486">
        <v>-5670</v>
      </c>
      <c r="X170" s="486">
        <v>0</v>
      </c>
      <c r="Y170" s="486">
        <f>SUM(W170:X170)</f>
        <v>-5670</v>
      </c>
      <c r="Z170" s="486">
        <f>V170+Y170</f>
        <v>0</v>
      </c>
      <c r="AA170" s="319">
        <f>ROUND((V170+W170)*33.8%,0)</f>
        <v>0</v>
      </c>
      <c r="AB170" s="178">
        <f>ROUND(V170*2%,0)</f>
        <v>113</v>
      </c>
      <c r="AC170" s="486">
        <v>0</v>
      </c>
      <c r="AD170" s="486">
        <v>0</v>
      </c>
      <c r="AE170" s="486">
        <f t="shared" si="180"/>
        <v>0</v>
      </c>
      <c r="AF170" s="486">
        <f t="shared" si="181"/>
        <v>113</v>
      </c>
      <c r="AG170" s="501">
        <v>0.01</v>
      </c>
      <c r="AH170" s="501">
        <v>0</v>
      </c>
      <c r="AI170" s="501">
        <v>0</v>
      </c>
      <c r="AJ170" s="501">
        <v>0</v>
      </c>
      <c r="AK170" s="501">
        <v>0</v>
      </c>
      <c r="AL170" s="501">
        <f t="shared" ref="AL170:AL174" si="222">AG170+AI170+AJ170</f>
        <v>0.01</v>
      </c>
      <c r="AM170" s="501">
        <f t="shared" ref="AM170:AM174" si="223">AH170+AK170</f>
        <v>0</v>
      </c>
      <c r="AN170" s="529">
        <f t="shared" si="182"/>
        <v>0.01</v>
      </c>
      <c r="AO170" s="530">
        <f>I170+AF170</f>
        <v>5168725</v>
      </c>
      <c r="AP170" s="486">
        <f>J170+V170</f>
        <v>3643330</v>
      </c>
      <c r="AQ170" s="486">
        <f>K170+Y170</f>
        <v>26334</v>
      </c>
      <c r="AR170" s="486">
        <f>L170</f>
        <v>9324</v>
      </c>
      <c r="AS170" s="486">
        <f t="shared" ref="AS170:AT174" si="224">M170+AA170</f>
        <v>1237195</v>
      </c>
      <c r="AT170" s="486">
        <f t="shared" si="224"/>
        <v>72866</v>
      </c>
      <c r="AU170" s="486">
        <f>O170+AE170</f>
        <v>189000</v>
      </c>
      <c r="AV170" s="501">
        <f>P170+AN170</f>
        <v>7.7503000000000002</v>
      </c>
      <c r="AW170" s="501">
        <f t="shared" ref="AW170:AX174" si="225">Q170+AL170</f>
        <v>5.46</v>
      </c>
      <c r="AX170" s="502">
        <f t="shared" si="225"/>
        <v>2.2903000000000002</v>
      </c>
    </row>
    <row r="171" spans="1:50" s="695" customFormat="1" x14ac:dyDescent="0.2">
      <c r="A171" s="697">
        <v>37</v>
      </c>
      <c r="B171" s="698">
        <v>3432</v>
      </c>
      <c r="C171" s="698">
        <v>600078329</v>
      </c>
      <c r="D171" s="698">
        <v>70695121</v>
      </c>
      <c r="E171" s="699" t="s">
        <v>81</v>
      </c>
      <c r="F171" s="698">
        <v>3117</v>
      </c>
      <c r="G171" s="700" t="s">
        <v>318</v>
      </c>
      <c r="H171" s="701" t="s">
        <v>284</v>
      </c>
      <c r="I171" s="495">
        <v>238291</v>
      </c>
      <c r="J171" s="496">
        <v>175471</v>
      </c>
      <c r="K171" s="475">
        <v>0</v>
      </c>
      <c r="L171" s="475">
        <v>0</v>
      </c>
      <c r="M171" s="319">
        <v>59310</v>
      </c>
      <c r="N171" s="319">
        <v>3510</v>
      </c>
      <c r="O171" s="496">
        <v>0</v>
      </c>
      <c r="P171" s="497">
        <v>0.51</v>
      </c>
      <c r="Q171" s="412">
        <v>0.51</v>
      </c>
      <c r="R171" s="498">
        <v>0</v>
      </c>
      <c r="S171" s="530">
        <f t="shared" si="221"/>
        <v>0</v>
      </c>
      <c r="T171" s="486">
        <v>0</v>
      </c>
      <c r="U171" s="486">
        <v>0</v>
      </c>
      <c r="V171" s="486">
        <f>SUM(S171:U171)</f>
        <v>0</v>
      </c>
      <c r="W171" s="486">
        <v>0</v>
      </c>
      <c r="X171" s="486">
        <v>0</v>
      </c>
      <c r="Y171" s="486">
        <f>SUM(W171:X171)</f>
        <v>0</v>
      </c>
      <c r="Z171" s="486">
        <f>V171+Y171</f>
        <v>0</v>
      </c>
      <c r="AA171" s="319">
        <f>ROUND((V171+W171)*33.8%,0)</f>
        <v>0</v>
      </c>
      <c r="AB171" s="178">
        <f>ROUND(V171*2%,0)</f>
        <v>0</v>
      </c>
      <c r="AC171" s="486">
        <v>0</v>
      </c>
      <c r="AD171" s="486">
        <v>0</v>
      </c>
      <c r="AE171" s="486">
        <f t="shared" si="180"/>
        <v>0</v>
      </c>
      <c r="AF171" s="486">
        <f t="shared" si="181"/>
        <v>0</v>
      </c>
      <c r="AG171" s="501">
        <v>0</v>
      </c>
      <c r="AH171" s="501">
        <v>0</v>
      </c>
      <c r="AI171" s="501">
        <v>0</v>
      </c>
      <c r="AJ171" s="501">
        <v>0</v>
      </c>
      <c r="AK171" s="501">
        <v>0</v>
      </c>
      <c r="AL171" s="501">
        <f t="shared" si="222"/>
        <v>0</v>
      </c>
      <c r="AM171" s="501">
        <f t="shared" si="223"/>
        <v>0</v>
      </c>
      <c r="AN171" s="529">
        <f t="shared" si="182"/>
        <v>0</v>
      </c>
      <c r="AO171" s="530">
        <f>I171+AF171</f>
        <v>238291</v>
      </c>
      <c r="AP171" s="486">
        <f>J171+V171</f>
        <v>175471</v>
      </c>
      <c r="AQ171" s="486">
        <f>K171+Y171</f>
        <v>0</v>
      </c>
      <c r="AR171" s="486">
        <f>L171</f>
        <v>0</v>
      </c>
      <c r="AS171" s="486">
        <f t="shared" si="224"/>
        <v>59310</v>
      </c>
      <c r="AT171" s="486">
        <f t="shared" si="224"/>
        <v>3510</v>
      </c>
      <c r="AU171" s="486">
        <f>O171+AE171</f>
        <v>0</v>
      </c>
      <c r="AV171" s="501">
        <f>P171+AN171</f>
        <v>0.51</v>
      </c>
      <c r="AW171" s="501">
        <f t="shared" si="225"/>
        <v>0.51</v>
      </c>
      <c r="AX171" s="502">
        <f t="shared" si="225"/>
        <v>0</v>
      </c>
    </row>
    <row r="172" spans="1:50" s="695" customFormat="1" ht="12.75" customHeight="1" x14ac:dyDescent="0.2">
      <c r="A172" s="697">
        <v>37</v>
      </c>
      <c r="B172" s="698">
        <v>3432</v>
      </c>
      <c r="C172" s="698">
        <v>600078329</v>
      </c>
      <c r="D172" s="698">
        <v>70695121</v>
      </c>
      <c r="E172" s="699" t="s">
        <v>81</v>
      </c>
      <c r="F172" s="698">
        <v>3141</v>
      </c>
      <c r="G172" s="700" t="s">
        <v>321</v>
      </c>
      <c r="H172" s="701" t="s">
        <v>284</v>
      </c>
      <c r="I172" s="495">
        <v>586537</v>
      </c>
      <c r="J172" s="496">
        <v>429179</v>
      </c>
      <c r="K172" s="475">
        <v>0</v>
      </c>
      <c r="L172" s="475">
        <v>0</v>
      </c>
      <c r="M172" s="319">
        <v>145062</v>
      </c>
      <c r="N172" s="319">
        <v>8584</v>
      </c>
      <c r="O172" s="496">
        <v>3712</v>
      </c>
      <c r="P172" s="497">
        <v>1.46</v>
      </c>
      <c r="Q172" s="412">
        <v>0</v>
      </c>
      <c r="R172" s="498">
        <v>1.46</v>
      </c>
      <c r="S172" s="530">
        <f t="shared" si="221"/>
        <v>0</v>
      </c>
      <c r="T172" s="486">
        <v>0</v>
      </c>
      <c r="U172" s="486">
        <v>0</v>
      </c>
      <c r="V172" s="486">
        <f>SUM(S172:U172)</f>
        <v>0</v>
      </c>
      <c r="W172" s="486">
        <v>0</v>
      </c>
      <c r="X172" s="486">
        <v>0</v>
      </c>
      <c r="Y172" s="486">
        <f>SUM(W172:X172)</f>
        <v>0</v>
      </c>
      <c r="Z172" s="486">
        <f>V172+Y172</f>
        <v>0</v>
      </c>
      <c r="AA172" s="319">
        <f>ROUND((V172+W172)*33.8%,0)</f>
        <v>0</v>
      </c>
      <c r="AB172" s="178">
        <f>ROUND(V172*2%,0)</f>
        <v>0</v>
      </c>
      <c r="AC172" s="486">
        <v>0</v>
      </c>
      <c r="AD172" s="486">
        <v>0</v>
      </c>
      <c r="AE172" s="486">
        <f t="shared" si="180"/>
        <v>0</v>
      </c>
      <c r="AF172" s="486">
        <f t="shared" si="181"/>
        <v>0</v>
      </c>
      <c r="AG172" s="501">
        <v>0</v>
      </c>
      <c r="AH172" s="501">
        <v>0</v>
      </c>
      <c r="AI172" s="501">
        <v>0</v>
      </c>
      <c r="AJ172" s="501">
        <v>0</v>
      </c>
      <c r="AK172" s="501">
        <v>0</v>
      </c>
      <c r="AL172" s="501">
        <f t="shared" si="222"/>
        <v>0</v>
      </c>
      <c r="AM172" s="501">
        <f t="shared" si="223"/>
        <v>0</v>
      </c>
      <c r="AN172" s="529">
        <f t="shared" si="182"/>
        <v>0</v>
      </c>
      <c r="AO172" s="530">
        <f>I172+AF172</f>
        <v>586537</v>
      </c>
      <c r="AP172" s="486">
        <f>J172+V172</f>
        <v>429179</v>
      </c>
      <c r="AQ172" s="486">
        <f>K172+Y172</f>
        <v>0</v>
      </c>
      <c r="AR172" s="486">
        <f>L172</f>
        <v>0</v>
      </c>
      <c r="AS172" s="486">
        <f t="shared" si="224"/>
        <v>145062</v>
      </c>
      <c r="AT172" s="486">
        <f t="shared" si="224"/>
        <v>8584</v>
      </c>
      <c r="AU172" s="486">
        <f>O172+AE172</f>
        <v>3712</v>
      </c>
      <c r="AV172" s="501">
        <f>P172+AN172</f>
        <v>1.46</v>
      </c>
      <c r="AW172" s="501">
        <f t="shared" si="225"/>
        <v>0</v>
      </c>
      <c r="AX172" s="502">
        <f t="shared" si="225"/>
        <v>1.46</v>
      </c>
    </row>
    <row r="173" spans="1:50" s="695" customFormat="1" ht="12.75" customHeight="1" x14ac:dyDescent="0.2">
      <c r="A173" s="697">
        <v>37</v>
      </c>
      <c r="B173" s="698">
        <v>3432</v>
      </c>
      <c r="C173" s="698">
        <v>600078329</v>
      </c>
      <c r="D173" s="698">
        <v>70695121</v>
      </c>
      <c r="E173" s="699" t="s">
        <v>82</v>
      </c>
      <c r="F173" s="698">
        <v>3143</v>
      </c>
      <c r="G173" s="700" t="s">
        <v>634</v>
      </c>
      <c r="H173" s="701" t="s">
        <v>283</v>
      </c>
      <c r="I173" s="495">
        <v>555981</v>
      </c>
      <c r="J173" s="496">
        <v>409412</v>
      </c>
      <c r="K173" s="475">
        <v>0</v>
      </c>
      <c r="L173" s="475">
        <v>0</v>
      </c>
      <c r="M173" s="319">
        <v>138381</v>
      </c>
      <c r="N173" s="319">
        <v>8188</v>
      </c>
      <c r="O173" s="496">
        <v>0</v>
      </c>
      <c r="P173" s="497">
        <v>0.82</v>
      </c>
      <c r="Q173" s="412">
        <v>0.82</v>
      </c>
      <c r="R173" s="498">
        <v>0</v>
      </c>
      <c r="S173" s="530">
        <f t="shared" si="221"/>
        <v>0</v>
      </c>
      <c r="T173" s="486">
        <v>0</v>
      </c>
      <c r="U173" s="486">
        <v>0</v>
      </c>
      <c r="V173" s="486">
        <f>SUM(S173:U173)</f>
        <v>0</v>
      </c>
      <c r="W173" s="486">
        <v>0</v>
      </c>
      <c r="X173" s="486">
        <v>0</v>
      </c>
      <c r="Y173" s="486">
        <f>SUM(W173:X173)</f>
        <v>0</v>
      </c>
      <c r="Z173" s="486">
        <f>V173+Y173</f>
        <v>0</v>
      </c>
      <c r="AA173" s="319">
        <f>ROUND((V173+W173)*33.8%,0)</f>
        <v>0</v>
      </c>
      <c r="AB173" s="178">
        <f>ROUND(V173*2%,0)</f>
        <v>0</v>
      </c>
      <c r="AC173" s="486">
        <v>0</v>
      </c>
      <c r="AD173" s="486">
        <v>0</v>
      </c>
      <c r="AE173" s="486">
        <f t="shared" si="180"/>
        <v>0</v>
      </c>
      <c r="AF173" s="486">
        <f t="shared" si="181"/>
        <v>0</v>
      </c>
      <c r="AG173" s="501">
        <v>0</v>
      </c>
      <c r="AH173" s="501">
        <v>0</v>
      </c>
      <c r="AI173" s="501">
        <v>0</v>
      </c>
      <c r="AJ173" s="501">
        <v>0</v>
      </c>
      <c r="AK173" s="501">
        <v>0</v>
      </c>
      <c r="AL173" s="501">
        <f t="shared" si="222"/>
        <v>0</v>
      </c>
      <c r="AM173" s="501">
        <f t="shared" si="223"/>
        <v>0</v>
      </c>
      <c r="AN173" s="529">
        <f t="shared" si="182"/>
        <v>0</v>
      </c>
      <c r="AO173" s="530">
        <f>I173+AF173</f>
        <v>555981</v>
      </c>
      <c r="AP173" s="486">
        <f>J173+V173</f>
        <v>409412</v>
      </c>
      <c r="AQ173" s="486">
        <f>K173+Y173</f>
        <v>0</v>
      </c>
      <c r="AR173" s="486">
        <f>L173</f>
        <v>0</v>
      </c>
      <c r="AS173" s="486">
        <f t="shared" si="224"/>
        <v>138381</v>
      </c>
      <c r="AT173" s="486">
        <f t="shared" si="224"/>
        <v>8188</v>
      </c>
      <c r="AU173" s="486">
        <f>O173+AE173</f>
        <v>0</v>
      </c>
      <c r="AV173" s="501">
        <f>P173+AN173</f>
        <v>0.82</v>
      </c>
      <c r="AW173" s="501">
        <f t="shared" si="225"/>
        <v>0.82</v>
      </c>
      <c r="AX173" s="502">
        <f t="shared" si="225"/>
        <v>0</v>
      </c>
    </row>
    <row r="174" spans="1:50" s="695" customFormat="1" ht="12.75" customHeight="1" x14ac:dyDescent="0.2">
      <c r="A174" s="697">
        <v>37</v>
      </c>
      <c r="B174" s="698">
        <v>3432</v>
      </c>
      <c r="C174" s="698">
        <v>600078329</v>
      </c>
      <c r="D174" s="698">
        <v>70695121</v>
      </c>
      <c r="E174" s="699" t="s">
        <v>82</v>
      </c>
      <c r="F174" s="698">
        <v>3143</v>
      </c>
      <c r="G174" s="700" t="s">
        <v>635</v>
      </c>
      <c r="H174" s="701" t="s">
        <v>284</v>
      </c>
      <c r="I174" s="495">
        <v>17556</v>
      </c>
      <c r="J174" s="496">
        <v>12375</v>
      </c>
      <c r="K174" s="475">
        <v>0</v>
      </c>
      <c r="L174" s="475">
        <v>0</v>
      </c>
      <c r="M174" s="319">
        <v>4183</v>
      </c>
      <c r="N174" s="319">
        <v>248</v>
      </c>
      <c r="O174" s="496">
        <v>750</v>
      </c>
      <c r="P174" s="497">
        <v>0.05</v>
      </c>
      <c r="Q174" s="412">
        <v>0</v>
      </c>
      <c r="R174" s="498">
        <v>0.05</v>
      </c>
      <c r="S174" s="530">
        <f t="shared" si="221"/>
        <v>0</v>
      </c>
      <c r="T174" s="486">
        <v>0</v>
      </c>
      <c r="U174" s="486">
        <v>0</v>
      </c>
      <c r="V174" s="486">
        <f>SUM(S174:U174)</f>
        <v>0</v>
      </c>
      <c r="W174" s="486">
        <v>0</v>
      </c>
      <c r="X174" s="486">
        <v>0</v>
      </c>
      <c r="Y174" s="486">
        <f>SUM(W174:X174)</f>
        <v>0</v>
      </c>
      <c r="Z174" s="486">
        <f>V174+Y174</f>
        <v>0</v>
      </c>
      <c r="AA174" s="319">
        <f>ROUND((V174+W174)*33.8%,0)</f>
        <v>0</v>
      </c>
      <c r="AB174" s="178">
        <f>ROUND(V174*2%,0)</f>
        <v>0</v>
      </c>
      <c r="AC174" s="486">
        <v>0</v>
      </c>
      <c r="AD174" s="486">
        <v>0</v>
      </c>
      <c r="AE174" s="486">
        <f t="shared" si="180"/>
        <v>0</v>
      </c>
      <c r="AF174" s="486">
        <f t="shared" si="181"/>
        <v>0</v>
      </c>
      <c r="AG174" s="501">
        <v>0</v>
      </c>
      <c r="AH174" s="501">
        <v>0</v>
      </c>
      <c r="AI174" s="501">
        <v>0</v>
      </c>
      <c r="AJ174" s="501">
        <v>0</v>
      </c>
      <c r="AK174" s="501">
        <v>0</v>
      </c>
      <c r="AL174" s="501">
        <f t="shared" si="222"/>
        <v>0</v>
      </c>
      <c r="AM174" s="501">
        <f t="shared" si="223"/>
        <v>0</v>
      </c>
      <c r="AN174" s="529">
        <f t="shared" si="182"/>
        <v>0</v>
      </c>
      <c r="AO174" s="530">
        <f>I174+AF174</f>
        <v>17556</v>
      </c>
      <c r="AP174" s="486">
        <f>J174+V174</f>
        <v>12375</v>
      </c>
      <c r="AQ174" s="486">
        <f>K174+Y174</f>
        <v>0</v>
      </c>
      <c r="AR174" s="486">
        <f>L174</f>
        <v>0</v>
      </c>
      <c r="AS174" s="486">
        <f t="shared" si="224"/>
        <v>4183</v>
      </c>
      <c r="AT174" s="486">
        <f t="shared" si="224"/>
        <v>248</v>
      </c>
      <c r="AU174" s="486">
        <f>O174+AE174</f>
        <v>750</v>
      </c>
      <c r="AV174" s="501">
        <f>P174+AN174</f>
        <v>0.05</v>
      </c>
      <c r="AW174" s="501">
        <f t="shared" si="225"/>
        <v>0</v>
      </c>
      <c r="AX174" s="502">
        <f t="shared" si="225"/>
        <v>0.05</v>
      </c>
    </row>
    <row r="175" spans="1:50" s="695" customFormat="1" ht="12.75" customHeight="1" x14ac:dyDescent="0.2">
      <c r="A175" s="279">
        <v>37</v>
      </c>
      <c r="B175" s="21">
        <v>3432</v>
      </c>
      <c r="C175" s="277">
        <v>600078329</v>
      </c>
      <c r="D175" s="277">
        <v>70695121</v>
      </c>
      <c r="E175" s="696" t="s">
        <v>83</v>
      </c>
      <c r="F175" s="21"/>
      <c r="G175" s="278"/>
      <c r="H175" s="749"/>
      <c r="I175" s="29">
        <v>6566977</v>
      </c>
      <c r="J175" s="266">
        <v>4664097</v>
      </c>
      <c r="K175" s="266">
        <v>32004</v>
      </c>
      <c r="L175" s="266">
        <v>9324</v>
      </c>
      <c r="M175" s="266">
        <v>1584131</v>
      </c>
      <c r="N175" s="266">
        <v>93283</v>
      </c>
      <c r="O175" s="266">
        <v>193462</v>
      </c>
      <c r="P175" s="750">
        <v>10.580300000000001</v>
      </c>
      <c r="Q175" s="750">
        <v>6.78</v>
      </c>
      <c r="R175" s="751">
        <v>3.8003</v>
      </c>
      <c r="S175" s="29">
        <f t="shared" ref="S175:AX175" si="226">SUM(S170:S174)</f>
        <v>5670</v>
      </c>
      <c r="T175" s="22">
        <f t="shared" si="226"/>
        <v>0</v>
      </c>
      <c r="U175" s="22">
        <f t="shared" si="226"/>
        <v>0</v>
      </c>
      <c r="V175" s="22">
        <f t="shared" si="226"/>
        <v>5670</v>
      </c>
      <c r="W175" s="22">
        <f t="shared" si="226"/>
        <v>-5670</v>
      </c>
      <c r="X175" s="22">
        <f t="shared" si="226"/>
        <v>0</v>
      </c>
      <c r="Y175" s="22">
        <f t="shared" si="226"/>
        <v>-5670</v>
      </c>
      <c r="Z175" s="22">
        <f t="shared" si="226"/>
        <v>0</v>
      </c>
      <c r="AA175" s="22">
        <f t="shared" si="226"/>
        <v>0</v>
      </c>
      <c r="AB175" s="22">
        <f t="shared" si="226"/>
        <v>113</v>
      </c>
      <c r="AC175" s="22">
        <f t="shared" si="226"/>
        <v>0</v>
      </c>
      <c r="AD175" s="22">
        <f t="shared" si="226"/>
        <v>0</v>
      </c>
      <c r="AE175" s="22">
        <f t="shared" si="226"/>
        <v>0</v>
      </c>
      <c r="AF175" s="22">
        <f t="shared" si="226"/>
        <v>113</v>
      </c>
      <c r="AG175" s="23">
        <f t="shared" si="226"/>
        <v>0.01</v>
      </c>
      <c r="AH175" s="23">
        <f t="shared" si="226"/>
        <v>0</v>
      </c>
      <c r="AI175" s="23">
        <f t="shared" si="226"/>
        <v>0</v>
      </c>
      <c r="AJ175" s="23">
        <f t="shared" si="226"/>
        <v>0</v>
      </c>
      <c r="AK175" s="23">
        <f t="shared" si="226"/>
        <v>0</v>
      </c>
      <c r="AL175" s="23">
        <f t="shared" si="226"/>
        <v>0.01</v>
      </c>
      <c r="AM175" s="23">
        <f t="shared" si="226"/>
        <v>0</v>
      </c>
      <c r="AN175" s="752">
        <f t="shared" si="226"/>
        <v>0.01</v>
      </c>
      <c r="AO175" s="29">
        <f t="shared" si="226"/>
        <v>6567090</v>
      </c>
      <c r="AP175" s="22">
        <f t="shared" si="226"/>
        <v>4669767</v>
      </c>
      <c r="AQ175" s="22">
        <f t="shared" si="226"/>
        <v>26334</v>
      </c>
      <c r="AR175" s="67">
        <f t="shared" si="226"/>
        <v>9324</v>
      </c>
      <c r="AS175" s="22">
        <f t="shared" si="226"/>
        <v>1584131</v>
      </c>
      <c r="AT175" s="22">
        <f t="shared" si="226"/>
        <v>93396</v>
      </c>
      <c r="AU175" s="22">
        <f t="shared" si="226"/>
        <v>193462</v>
      </c>
      <c r="AV175" s="23">
        <f t="shared" si="226"/>
        <v>10.590300000000003</v>
      </c>
      <c r="AW175" s="23">
        <f t="shared" si="226"/>
        <v>6.79</v>
      </c>
      <c r="AX175" s="55">
        <f t="shared" si="226"/>
        <v>3.8003</v>
      </c>
    </row>
    <row r="176" spans="1:50" s="695" customFormat="1" ht="12.75" customHeight="1" x14ac:dyDescent="0.2">
      <c r="A176" s="697">
        <v>38</v>
      </c>
      <c r="B176" s="698">
        <v>3435</v>
      </c>
      <c r="C176" s="698">
        <v>650022131</v>
      </c>
      <c r="D176" s="698">
        <v>70981531</v>
      </c>
      <c r="E176" s="699" t="s">
        <v>84</v>
      </c>
      <c r="F176" s="698">
        <v>3111</v>
      </c>
      <c r="G176" s="700" t="s">
        <v>317</v>
      </c>
      <c r="H176" s="701" t="s">
        <v>283</v>
      </c>
      <c r="I176" s="495">
        <v>7824381</v>
      </c>
      <c r="J176" s="496">
        <v>5700870</v>
      </c>
      <c r="K176" s="475">
        <v>0</v>
      </c>
      <c r="L176" s="475">
        <v>0</v>
      </c>
      <c r="M176" s="319">
        <v>1926894</v>
      </c>
      <c r="N176" s="319">
        <v>114017</v>
      </c>
      <c r="O176" s="496">
        <v>82600</v>
      </c>
      <c r="P176" s="497">
        <v>13.765499999999999</v>
      </c>
      <c r="Q176" s="412">
        <v>11</v>
      </c>
      <c r="R176" s="498">
        <v>2.7654999999999998</v>
      </c>
      <c r="S176" s="530">
        <f t="shared" ref="S176:S181" si="227">W176*-1</f>
        <v>0</v>
      </c>
      <c r="T176" s="486">
        <v>0</v>
      </c>
      <c r="U176" s="486">
        <v>0</v>
      </c>
      <c r="V176" s="486">
        <f t="shared" ref="V176:V181" si="228">SUM(S176:U176)</f>
        <v>0</v>
      </c>
      <c r="W176" s="486">
        <v>0</v>
      </c>
      <c r="X176" s="486">
        <v>0</v>
      </c>
      <c r="Y176" s="486">
        <f t="shared" ref="Y176:Y181" si="229">SUM(W176:X176)</f>
        <v>0</v>
      </c>
      <c r="Z176" s="486">
        <f t="shared" ref="Z176:Z181" si="230">V176+Y176</f>
        <v>0</v>
      </c>
      <c r="AA176" s="319">
        <f t="shared" ref="AA176:AA181" si="231">ROUND((V176+W176)*33.8%,0)</f>
        <v>0</v>
      </c>
      <c r="AB176" s="178">
        <f t="shared" ref="AB176:AB181" si="232">ROUND(V176*2%,0)</f>
        <v>0</v>
      </c>
      <c r="AC176" s="486">
        <v>0</v>
      </c>
      <c r="AD176" s="486">
        <v>0</v>
      </c>
      <c r="AE176" s="486">
        <f t="shared" si="180"/>
        <v>0</v>
      </c>
      <c r="AF176" s="486">
        <f t="shared" si="181"/>
        <v>0</v>
      </c>
      <c r="AG176" s="501">
        <v>0</v>
      </c>
      <c r="AH176" s="501">
        <v>0</v>
      </c>
      <c r="AI176" s="501">
        <v>0</v>
      </c>
      <c r="AJ176" s="501">
        <v>0</v>
      </c>
      <c r="AK176" s="501">
        <v>0</v>
      </c>
      <c r="AL176" s="501">
        <f t="shared" ref="AL176:AL181" si="233">AG176+AI176+AJ176</f>
        <v>0</v>
      </c>
      <c r="AM176" s="501">
        <f t="shared" ref="AM176:AM181" si="234">AH176+AK176</f>
        <v>0</v>
      </c>
      <c r="AN176" s="529">
        <f t="shared" si="182"/>
        <v>0</v>
      </c>
      <c r="AO176" s="530">
        <f t="shared" ref="AO176:AO181" si="235">I176+AF176</f>
        <v>7824381</v>
      </c>
      <c r="AP176" s="486">
        <f t="shared" ref="AP176:AP181" si="236">J176+V176</f>
        <v>5700870</v>
      </c>
      <c r="AQ176" s="486">
        <f t="shared" ref="AQ176:AQ181" si="237">K176+Y176</f>
        <v>0</v>
      </c>
      <c r="AR176" s="486">
        <f t="shared" ref="AR176:AR181" si="238">L176</f>
        <v>0</v>
      </c>
      <c r="AS176" s="486">
        <f t="shared" ref="AS176:AT181" si="239">M176+AA176</f>
        <v>1926894</v>
      </c>
      <c r="AT176" s="486">
        <f t="shared" si="239"/>
        <v>114017</v>
      </c>
      <c r="AU176" s="486">
        <f t="shared" ref="AU176:AU181" si="240">O176+AE176</f>
        <v>82600</v>
      </c>
      <c r="AV176" s="501">
        <f t="shared" ref="AV176:AV181" si="241">P176+AN176</f>
        <v>13.765499999999999</v>
      </c>
      <c r="AW176" s="501">
        <f t="shared" ref="AW176:AX181" si="242">Q176+AL176</f>
        <v>11</v>
      </c>
      <c r="AX176" s="502">
        <f t="shared" si="242"/>
        <v>2.7654999999999998</v>
      </c>
    </row>
    <row r="177" spans="1:50" s="695" customFormat="1" ht="12.75" customHeight="1" x14ac:dyDescent="0.2">
      <c r="A177" s="697">
        <v>38</v>
      </c>
      <c r="B177" s="698">
        <v>3435</v>
      </c>
      <c r="C177" s="698">
        <v>650022131</v>
      </c>
      <c r="D177" s="698">
        <v>70981531</v>
      </c>
      <c r="E177" s="699" t="s">
        <v>84</v>
      </c>
      <c r="F177" s="698">
        <v>3113</v>
      </c>
      <c r="G177" s="700" t="s">
        <v>320</v>
      </c>
      <c r="H177" s="701" t="s">
        <v>283</v>
      </c>
      <c r="I177" s="495">
        <v>22191005</v>
      </c>
      <c r="J177" s="496">
        <v>15699779</v>
      </c>
      <c r="K177" s="496">
        <v>97804</v>
      </c>
      <c r="L177" s="496">
        <v>47804</v>
      </c>
      <c r="M177" s="496">
        <v>5323426</v>
      </c>
      <c r="N177" s="496">
        <v>313996</v>
      </c>
      <c r="O177" s="496">
        <v>756000</v>
      </c>
      <c r="P177" s="497">
        <v>30.401499999999999</v>
      </c>
      <c r="Q177" s="412">
        <v>22.6479</v>
      </c>
      <c r="R177" s="498">
        <v>7.7535999999999987</v>
      </c>
      <c r="S177" s="530">
        <f t="shared" si="227"/>
        <v>0</v>
      </c>
      <c r="T177" s="486">
        <v>0</v>
      </c>
      <c r="U177" s="486">
        <v>0</v>
      </c>
      <c r="V177" s="486">
        <f t="shared" si="228"/>
        <v>0</v>
      </c>
      <c r="W177" s="486">
        <v>0</v>
      </c>
      <c r="X177" s="486">
        <v>0</v>
      </c>
      <c r="Y177" s="486">
        <f t="shared" si="229"/>
        <v>0</v>
      </c>
      <c r="Z177" s="486">
        <f t="shared" si="230"/>
        <v>0</v>
      </c>
      <c r="AA177" s="319">
        <f t="shared" si="231"/>
        <v>0</v>
      </c>
      <c r="AB177" s="178">
        <f t="shared" si="232"/>
        <v>0</v>
      </c>
      <c r="AC177" s="486">
        <v>0</v>
      </c>
      <c r="AD177" s="486">
        <v>0</v>
      </c>
      <c r="AE177" s="486">
        <f t="shared" si="180"/>
        <v>0</v>
      </c>
      <c r="AF177" s="486">
        <f t="shared" si="181"/>
        <v>0</v>
      </c>
      <c r="AG177" s="501">
        <v>0</v>
      </c>
      <c r="AH177" s="501">
        <v>0</v>
      </c>
      <c r="AI177" s="501">
        <v>0</v>
      </c>
      <c r="AJ177" s="501">
        <v>0</v>
      </c>
      <c r="AK177" s="501">
        <v>0</v>
      </c>
      <c r="AL177" s="501">
        <f t="shared" si="233"/>
        <v>0</v>
      </c>
      <c r="AM177" s="501">
        <f t="shared" si="234"/>
        <v>0</v>
      </c>
      <c r="AN177" s="529">
        <f t="shared" si="182"/>
        <v>0</v>
      </c>
      <c r="AO177" s="530">
        <f t="shared" si="235"/>
        <v>22191005</v>
      </c>
      <c r="AP177" s="486">
        <f t="shared" si="236"/>
        <v>15699779</v>
      </c>
      <c r="AQ177" s="486">
        <f t="shared" si="237"/>
        <v>97804</v>
      </c>
      <c r="AR177" s="486">
        <f t="shared" si="238"/>
        <v>47804</v>
      </c>
      <c r="AS177" s="486">
        <f t="shared" si="239"/>
        <v>5323426</v>
      </c>
      <c r="AT177" s="486">
        <f t="shared" si="239"/>
        <v>313996</v>
      </c>
      <c r="AU177" s="486">
        <f t="shared" si="240"/>
        <v>756000</v>
      </c>
      <c r="AV177" s="501">
        <f t="shared" si="241"/>
        <v>30.401499999999999</v>
      </c>
      <c r="AW177" s="501">
        <f t="shared" si="242"/>
        <v>22.6479</v>
      </c>
      <c r="AX177" s="502">
        <f t="shared" si="242"/>
        <v>7.7535999999999987</v>
      </c>
    </row>
    <row r="178" spans="1:50" s="695" customFormat="1" x14ac:dyDescent="0.2">
      <c r="A178" s="697">
        <v>38</v>
      </c>
      <c r="B178" s="698">
        <v>3435</v>
      </c>
      <c r="C178" s="698">
        <v>650022131</v>
      </c>
      <c r="D178" s="698">
        <v>70981531</v>
      </c>
      <c r="E178" s="699" t="s">
        <v>84</v>
      </c>
      <c r="F178" s="698">
        <v>3113</v>
      </c>
      <c r="G178" s="700" t="s">
        <v>318</v>
      </c>
      <c r="H178" s="701" t="s">
        <v>284</v>
      </c>
      <c r="I178" s="495">
        <v>3491535</v>
      </c>
      <c r="J178" s="496">
        <v>2565380</v>
      </c>
      <c r="K178" s="475">
        <v>0</v>
      </c>
      <c r="L178" s="475">
        <v>0</v>
      </c>
      <c r="M178" s="319">
        <v>867098</v>
      </c>
      <c r="N178" s="319">
        <v>51307</v>
      </c>
      <c r="O178" s="496">
        <v>7750</v>
      </c>
      <c r="P178" s="497">
        <v>7.2299999999999995</v>
      </c>
      <c r="Q178" s="412">
        <v>7.2299999999999995</v>
      </c>
      <c r="R178" s="498">
        <v>0</v>
      </c>
      <c r="S178" s="530">
        <f t="shared" si="227"/>
        <v>0</v>
      </c>
      <c r="T178" s="486">
        <v>0</v>
      </c>
      <c r="U178" s="486">
        <v>0</v>
      </c>
      <c r="V178" s="486">
        <f t="shared" si="228"/>
        <v>0</v>
      </c>
      <c r="W178" s="486">
        <v>0</v>
      </c>
      <c r="X178" s="486">
        <v>0</v>
      </c>
      <c r="Y178" s="486">
        <f t="shared" si="229"/>
        <v>0</v>
      </c>
      <c r="Z178" s="486">
        <f t="shared" si="230"/>
        <v>0</v>
      </c>
      <c r="AA178" s="319">
        <f t="shared" si="231"/>
        <v>0</v>
      </c>
      <c r="AB178" s="178">
        <f t="shared" si="232"/>
        <v>0</v>
      </c>
      <c r="AC178" s="486">
        <v>0</v>
      </c>
      <c r="AD178" s="486">
        <v>0</v>
      </c>
      <c r="AE178" s="486">
        <f t="shared" si="180"/>
        <v>0</v>
      </c>
      <c r="AF178" s="486">
        <f t="shared" si="181"/>
        <v>0</v>
      </c>
      <c r="AG178" s="501">
        <v>0</v>
      </c>
      <c r="AH178" s="501">
        <v>0</v>
      </c>
      <c r="AI178" s="501">
        <v>0</v>
      </c>
      <c r="AJ178" s="501">
        <v>0</v>
      </c>
      <c r="AK178" s="501">
        <v>0</v>
      </c>
      <c r="AL178" s="501">
        <f t="shared" si="233"/>
        <v>0</v>
      </c>
      <c r="AM178" s="501">
        <f t="shared" si="234"/>
        <v>0</v>
      </c>
      <c r="AN178" s="529">
        <f t="shared" si="182"/>
        <v>0</v>
      </c>
      <c r="AO178" s="530">
        <f t="shared" si="235"/>
        <v>3491535</v>
      </c>
      <c r="AP178" s="486">
        <f t="shared" si="236"/>
        <v>2565380</v>
      </c>
      <c r="AQ178" s="486">
        <f t="shared" si="237"/>
        <v>0</v>
      </c>
      <c r="AR178" s="486">
        <f t="shared" si="238"/>
        <v>0</v>
      </c>
      <c r="AS178" s="486">
        <f t="shared" si="239"/>
        <v>867098</v>
      </c>
      <c r="AT178" s="486">
        <f t="shared" si="239"/>
        <v>51307</v>
      </c>
      <c r="AU178" s="486">
        <f t="shared" si="240"/>
        <v>7750</v>
      </c>
      <c r="AV178" s="501">
        <f t="shared" si="241"/>
        <v>7.2299999999999995</v>
      </c>
      <c r="AW178" s="501">
        <f t="shared" si="242"/>
        <v>7.2299999999999995</v>
      </c>
      <c r="AX178" s="502">
        <f t="shared" si="242"/>
        <v>0</v>
      </c>
    </row>
    <row r="179" spans="1:50" s="695" customFormat="1" ht="12.75" customHeight="1" x14ac:dyDescent="0.2">
      <c r="A179" s="697">
        <v>38</v>
      </c>
      <c r="B179" s="698">
        <v>3435</v>
      </c>
      <c r="C179" s="698">
        <v>650022131</v>
      </c>
      <c r="D179" s="698">
        <v>70981531</v>
      </c>
      <c r="E179" s="699" t="s">
        <v>84</v>
      </c>
      <c r="F179" s="698">
        <v>3141</v>
      </c>
      <c r="G179" s="700" t="s">
        <v>321</v>
      </c>
      <c r="H179" s="701" t="s">
        <v>284</v>
      </c>
      <c r="I179" s="495">
        <v>3070587</v>
      </c>
      <c r="J179" s="496">
        <v>2243513</v>
      </c>
      <c r="K179" s="475">
        <v>0</v>
      </c>
      <c r="L179" s="475">
        <v>0</v>
      </c>
      <c r="M179" s="319">
        <v>758307</v>
      </c>
      <c r="N179" s="319">
        <v>44871</v>
      </c>
      <c r="O179" s="496">
        <v>23896</v>
      </c>
      <c r="P179" s="497">
        <v>7.63</v>
      </c>
      <c r="Q179" s="412">
        <v>0</v>
      </c>
      <c r="R179" s="498">
        <v>7.63</v>
      </c>
      <c r="S179" s="530">
        <f t="shared" si="227"/>
        <v>0</v>
      </c>
      <c r="T179" s="486">
        <v>0</v>
      </c>
      <c r="U179" s="486">
        <v>0</v>
      </c>
      <c r="V179" s="486">
        <f t="shared" si="228"/>
        <v>0</v>
      </c>
      <c r="W179" s="486">
        <v>0</v>
      </c>
      <c r="X179" s="486">
        <v>0</v>
      </c>
      <c r="Y179" s="486">
        <f t="shared" si="229"/>
        <v>0</v>
      </c>
      <c r="Z179" s="486">
        <f t="shared" si="230"/>
        <v>0</v>
      </c>
      <c r="AA179" s="319">
        <f t="shared" si="231"/>
        <v>0</v>
      </c>
      <c r="AB179" s="178">
        <f t="shared" si="232"/>
        <v>0</v>
      </c>
      <c r="AC179" s="486">
        <v>0</v>
      </c>
      <c r="AD179" s="486">
        <v>0</v>
      </c>
      <c r="AE179" s="486">
        <f t="shared" si="180"/>
        <v>0</v>
      </c>
      <c r="AF179" s="486">
        <f t="shared" si="181"/>
        <v>0</v>
      </c>
      <c r="AG179" s="501">
        <v>0</v>
      </c>
      <c r="AH179" s="501">
        <v>0</v>
      </c>
      <c r="AI179" s="501">
        <v>0</v>
      </c>
      <c r="AJ179" s="501">
        <v>0</v>
      </c>
      <c r="AK179" s="501">
        <v>0</v>
      </c>
      <c r="AL179" s="501">
        <f t="shared" si="233"/>
        <v>0</v>
      </c>
      <c r="AM179" s="501">
        <f t="shared" si="234"/>
        <v>0</v>
      </c>
      <c r="AN179" s="529">
        <f t="shared" si="182"/>
        <v>0</v>
      </c>
      <c r="AO179" s="530">
        <f t="shared" si="235"/>
        <v>3070587</v>
      </c>
      <c r="AP179" s="486">
        <f t="shared" si="236"/>
        <v>2243513</v>
      </c>
      <c r="AQ179" s="486">
        <f t="shared" si="237"/>
        <v>0</v>
      </c>
      <c r="AR179" s="486">
        <f t="shared" si="238"/>
        <v>0</v>
      </c>
      <c r="AS179" s="486">
        <f t="shared" si="239"/>
        <v>758307</v>
      </c>
      <c r="AT179" s="486">
        <f t="shared" si="239"/>
        <v>44871</v>
      </c>
      <c r="AU179" s="486">
        <f t="shared" si="240"/>
        <v>23896</v>
      </c>
      <c r="AV179" s="501">
        <f t="shared" si="241"/>
        <v>7.63</v>
      </c>
      <c r="AW179" s="501">
        <f t="shared" si="242"/>
        <v>0</v>
      </c>
      <c r="AX179" s="502">
        <f t="shared" si="242"/>
        <v>7.63</v>
      </c>
    </row>
    <row r="180" spans="1:50" s="695" customFormat="1" ht="12.75" customHeight="1" x14ac:dyDescent="0.2">
      <c r="A180" s="697">
        <v>38</v>
      </c>
      <c r="B180" s="698">
        <v>3435</v>
      </c>
      <c r="C180" s="698">
        <v>650022131</v>
      </c>
      <c r="D180" s="698">
        <v>70981531</v>
      </c>
      <c r="E180" s="699" t="s">
        <v>84</v>
      </c>
      <c r="F180" s="698">
        <v>3143</v>
      </c>
      <c r="G180" s="700" t="s">
        <v>634</v>
      </c>
      <c r="H180" s="701" t="s">
        <v>283</v>
      </c>
      <c r="I180" s="495">
        <v>1445346</v>
      </c>
      <c r="J180" s="496">
        <v>1064320</v>
      </c>
      <c r="K180" s="475">
        <v>0</v>
      </c>
      <c r="L180" s="475">
        <v>0</v>
      </c>
      <c r="M180" s="319">
        <v>359740</v>
      </c>
      <c r="N180" s="319">
        <v>21286</v>
      </c>
      <c r="O180" s="496">
        <v>0</v>
      </c>
      <c r="P180" s="497">
        <v>2.3340000000000001</v>
      </c>
      <c r="Q180" s="497">
        <v>2.3340000000000001</v>
      </c>
      <c r="R180" s="498">
        <v>0</v>
      </c>
      <c r="S180" s="530">
        <f t="shared" si="227"/>
        <v>0</v>
      </c>
      <c r="T180" s="486">
        <v>0</v>
      </c>
      <c r="U180" s="486">
        <v>0</v>
      </c>
      <c r="V180" s="486">
        <f t="shared" si="228"/>
        <v>0</v>
      </c>
      <c r="W180" s="486">
        <v>0</v>
      </c>
      <c r="X180" s="486">
        <v>0</v>
      </c>
      <c r="Y180" s="486">
        <f t="shared" si="229"/>
        <v>0</v>
      </c>
      <c r="Z180" s="486">
        <f t="shared" si="230"/>
        <v>0</v>
      </c>
      <c r="AA180" s="319">
        <f t="shared" si="231"/>
        <v>0</v>
      </c>
      <c r="AB180" s="178">
        <f t="shared" si="232"/>
        <v>0</v>
      </c>
      <c r="AC180" s="486">
        <v>0</v>
      </c>
      <c r="AD180" s="486">
        <v>0</v>
      </c>
      <c r="AE180" s="486">
        <f t="shared" si="180"/>
        <v>0</v>
      </c>
      <c r="AF180" s="486">
        <f t="shared" si="181"/>
        <v>0</v>
      </c>
      <c r="AG180" s="501">
        <v>0</v>
      </c>
      <c r="AH180" s="501">
        <v>0</v>
      </c>
      <c r="AI180" s="501">
        <v>0</v>
      </c>
      <c r="AJ180" s="501">
        <v>0</v>
      </c>
      <c r="AK180" s="501">
        <v>0</v>
      </c>
      <c r="AL180" s="501">
        <f t="shared" si="233"/>
        <v>0</v>
      </c>
      <c r="AM180" s="501">
        <f t="shared" si="234"/>
        <v>0</v>
      </c>
      <c r="AN180" s="529">
        <f t="shared" si="182"/>
        <v>0</v>
      </c>
      <c r="AO180" s="530">
        <f t="shared" si="235"/>
        <v>1445346</v>
      </c>
      <c r="AP180" s="486">
        <f t="shared" si="236"/>
        <v>1064320</v>
      </c>
      <c r="AQ180" s="486">
        <f t="shared" si="237"/>
        <v>0</v>
      </c>
      <c r="AR180" s="486">
        <f t="shared" si="238"/>
        <v>0</v>
      </c>
      <c r="AS180" s="486">
        <f t="shared" si="239"/>
        <v>359740</v>
      </c>
      <c r="AT180" s="486">
        <f t="shared" si="239"/>
        <v>21286</v>
      </c>
      <c r="AU180" s="486">
        <f t="shared" si="240"/>
        <v>0</v>
      </c>
      <c r="AV180" s="501">
        <f t="shared" si="241"/>
        <v>2.3340000000000001</v>
      </c>
      <c r="AW180" s="501">
        <f t="shared" si="242"/>
        <v>2.3340000000000001</v>
      </c>
      <c r="AX180" s="502">
        <f t="shared" si="242"/>
        <v>0</v>
      </c>
    </row>
    <row r="181" spans="1:50" s="695" customFormat="1" ht="12.75" customHeight="1" x14ac:dyDescent="0.2">
      <c r="A181" s="697">
        <v>38</v>
      </c>
      <c r="B181" s="698">
        <v>3435</v>
      </c>
      <c r="C181" s="698">
        <v>650022131</v>
      </c>
      <c r="D181" s="698">
        <v>70981531</v>
      </c>
      <c r="E181" s="699" t="s">
        <v>84</v>
      </c>
      <c r="F181" s="698">
        <v>3143</v>
      </c>
      <c r="G181" s="700" t="s">
        <v>635</v>
      </c>
      <c r="H181" s="701" t="s">
        <v>284</v>
      </c>
      <c r="I181" s="495">
        <v>44942</v>
      </c>
      <c r="J181" s="496">
        <v>31680</v>
      </c>
      <c r="K181" s="475">
        <v>0</v>
      </c>
      <c r="L181" s="475">
        <v>0</v>
      </c>
      <c r="M181" s="319">
        <v>10708</v>
      </c>
      <c r="N181" s="319">
        <v>634</v>
      </c>
      <c r="O181" s="496">
        <v>1920</v>
      </c>
      <c r="P181" s="497">
        <v>0.13</v>
      </c>
      <c r="Q181" s="412">
        <v>0</v>
      </c>
      <c r="R181" s="498">
        <v>0.13</v>
      </c>
      <c r="S181" s="530">
        <f t="shared" si="227"/>
        <v>0</v>
      </c>
      <c r="T181" s="486">
        <v>0</v>
      </c>
      <c r="U181" s="486">
        <v>0</v>
      </c>
      <c r="V181" s="486">
        <f t="shared" si="228"/>
        <v>0</v>
      </c>
      <c r="W181" s="486">
        <v>0</v>
      </c>
      <c r="X181" s="486">
        <v>0</v>
      </c>
      <c r="Y181" s="486">
        <f t="shared" si="229"/>
        <v>0</v>
      </c>
      <c r="Z181" s="486">
        <f t="shared" si="230"/>
        <v>0</v>
      </c>
      <c r="AA181" s="319">
        <f t="shared" si="231"/>
        <v>0</v>
      </c>
      <c r="AB181" s="178">
        <f t="shared" si="232"/>
        <v>0</v>
      </c>
      <c r="AC181" s="486">
        <v>0</v>
      </c>
      <c r="AD181" s="486">
        <v>0</v>
      </c>
      <c r="AE181" s="486">
        <f t="shared" si="180"/>
        <v>0</v>
      </c>
      <c r="AF181" s="486">
        <f t="shared" si="181"/>
        <v>0</v>
      </c>
      <c r="AG181" s="501">
        <v>0</v>
      </c>
      <c r="AH181" s="501">
        <v>0</v>
      </c>
      <c r="AI181" s="501">
        <v>0</v>
      </c>
      <c r="AJ181" s="501">
        <v>0</v>
      </c>
      <c r="AK181" s="501">
        <v>0</v>
      </c>
      <c r="AL181" s="501">
        <f t="shared" si="233"/>
        <v>0</v>
      </c>
      <c r="AM181" s="501">
        <f t="shared" si="234"/>
        <v>0</v>
      </c>
      <c r="AN181" s="529">
        <f t="shared" si="182"/>
        <v>0</v>
      </c>
      <c r="AO181" s="530">
        <f t="shared" si="235"/>
        <v>44942</v>
      </c>
      <c r="AP181" s="486">
        <f t="shared" si="236"/>
        <v>31680</v>
      </c>
      <c r="AQ181" s="486">
        <f t="shared" si="237"/>
        <v>0</v>
      </c>
      <c r="AR181" s="486">
        <f t="shared" si="238"/>
        <v>0</v>
      </c>
      <c r="AS181" s="486">
        <f t="shared" si="239"/>
        <v>10708</v>
      </c>
      <c r="AT181" s="486">
        <f t="shared" si="239"/>
        <v>634</v>
      </c>
      <c r="AU181" s="486">
        <f t="shared" si="240"/>
        <v>1920</v>
      </c>
      <c r="AV181" s="501">
        <f t="shared" si="241"/>
        <v>0.13</v>
      </c>
      <c r="AW181" s="501">
        <f t="shared" si="242"/>
        <v>0</v>
      </c>
      <c r="AX181" s="502">
        <f t="shared" si="242"/>
        <v>0.13</v>
      </c>
    </row>
    <row r="182" spans="1:50" s="695" customFormat="1" ht="13.5" customHeight="1" thickBot="1" x14ac:dyDescent="0.25">
      <c r="A182" s="283">
        <v>38</v>
      </c>
      <c r="B182" s="284">
        <v>3435</v>
      </c>
      <c r="C182" s="285">
        <v>650022131</v>
      </c>
      <c r="D182" s="285">
        <v>70981531</v>
      </c>
      <c r="E182" s="702" t="s">
        <v>85</v>
      </c>
      <c r="F182" s="284"/>
      <c r="G182" s="286"/>
      <c r="H182" s="753"/>
      <c r="I182" s="66">
        <v>38067796</v>
      </c>
      <c r="J182" s="267">
        <v>27305542</v>
      </c>
      <c r="K182" s="267">
        <v>97804</v>
      </c>
      <c r="L182" s="267">
        <v>47804</v>
      </c>
      <c r="M182" s="267">
        <v>9246173</v>
      </c>
      <c r="N182" s="267">
        <v>546111</v>
      </c>
      <c r="O182" s="267">
        <v>872166</v>
      </c>
      <c r="P182" s="754">
        <v>61.491000000000007</v>
      </c>
      <c r="Q182" s="754">
        <v>43.2119</v>
      </c>
      <c r="R182" s="755">
        <v>18.279099999999996</v>
      </c>
      <c r="S182" s="66">
        <f t="shared" ref="S182:AX182" si="243">SUM(S176:S181)</f>
        <v>0</v>
      </c>
      <c r="T182" s="67">
        <f t="shared" si="243"/>
        <v>0</v>
      </c>
      <c r="U182" s="67">
        <f t="shared" si="243"/>
        <v>0</v>
      </c>
      <c r="V182" s="67">
        <f t="shared" si="243"/>
        <v>0</v>
      </c>
      <c r="W182" s="67">
        <f t="shared" si="243"/>
        <v>0</v>
      </c>
      <c r="X182" s="67">
        <f t="shared" si="243"/>
        <v>0</v>
      </c>
      <c r="Y182" s="67">
        <f t="shared" si="243"/>
        <v>0</v>
      </c>
      <c r="Z182" s="67">
        <f t="shared" si="243"/>
        <v>0</v>
      </c>
      <c r="AA182" s="67">
        <f t="shared" si="243"/>
        <v>0</v>
      </c>
      <c r="AB182" s="67">
        <f t="shared" si="243"/>
        <v>0</v>
      </c>
      <c r="AC182" s="67">
        <f t="shared" si="243"/>
        <v>0</v>
      </c>
      <c r="AD182" s="67">
        <f t="shared" si="243"/>
        <v>0</v>
      </c>
      <c r="AE182" s="67">
        <f t="shared" si="243"/>
        <v>0</v>
      </c>
      <c r="AF182" s="67">
        <f t="shared" si="243"/>
        <v>0</v>
      </c>
      <c r="AG182" s="69">
        <f t="shared" si="243"/>
        <v>0</v>
      </c>
      <c r="AH182" s="69">
        <f t="shared" si="243"/>
        <v>0</v>
      </c>
      <c r="AI182" s="69">
        <f t="shared" si="243"/>
        <v>0</v>
      </c>
      <c r="AJ182" s="69">
        <f t="shared" si="243"/>
        <v>0</v>
      </c>
      <c r="AK182" s="69">
        <f t="shared" si="243"/>
        <v>0</v>
      </c>
      <c r="AL182" s="69">
        <f t="shared" si="243"/>
        <v>0</v>
      </c>
      <c r="AM182" s="69">
        <f t="shared" si="243"/>
        <v>0</v>
      </c>
      <c r="AN182" s="756">
        <f t="shared" si="243"/>
        <v>0</v>
      </c>
      <c r="AO182" s="66">
        <f t="shared" si="243"/>
        <v>38067796</v>
      </c>
      <c r="AP182" s="67">
        <f t="shared" si="243"/>
        <v>27305542</v>
      </c>
      <c r="AQ182" s="67">
        <f t="shared" si="243"/>
        <v>97804</v>
      </c>
      <c r="AR182" s="67">
        <f t="shared" si="243"/>
        <v>47804</v>
      </c>
      <c r="AS182" s="67">
        <f t="shared" si="243"/>
        <v>9246173</v>
      </c>
      <c r="AT182" s="67">
        <f t="shared" si="243"/>
        <v>546111</v>
      </c>
      <c r="AU182" s="67">
        <f t="shared" si="243"/>
        <v>872166</v>
      </c>
      <c r="AV182" s="69">
        <f t="shared" si="243"/>
        <v>61.491000000000007</v>
      </c>
      <c r="AW182" s="69">
        <f t="shared" si="243"/>
        <v>43.2119</v>
      </c>
      <c r="AX182" s="70">
        <f t="shared" si="243"/>
        <v>18.279099999999996</v>
      </c>
    </row>
    <row r="183" spans="1:50" s="695" customFormat="1" ht="13.5" customHeight="1" thickBot="1" x14ac:dyDescent="0.25">
      <c r="A183" s="703"/>
      <c r="B183" s="704"/>
      <c r="C183" s="704"/>
      <c r="D183" s="704"/>
      <c r="E183" s="189" t="s">
        <v>794</v>
      </c>
      <c r="F183" s="704"/>
      <c r="G183" s="704"/>
      <c r="H183" s="757"/>
      <c r="I183" s="30">
        <f>I13+I16+I19+I22+I25+I28+I31+I34+I38+I42+I46+I50+I53+I57+I61+I64+I68+I71+I76+I82+I88+I94+I100+I106+I112+I118+I124+I130+I132+I140+I147+I151+I156+I159+I166+I169+I175+I182</f>
        <v>603174664</v>
      </c>
      <c r="J183" s="24">
        <f>J13+J16+J19+J22+J25+J28+J31+J34+J38+J42+J46+J50+J53+J57+J61+J64+J68+J71+J76+J82+J88+J94+J100+J106+J112+J118+J124+J130+J132+J140+J147+J151+J156+J159+J166+J169+J175+J182</f>
        <v>431426699</v>
      </c>
      <c r="K183" s="24">
        <f>K13+K16+K19+K22+K25+K28+K31+K34+K38+K42+K46+K50+K53+K57+K61+K64+K68+K71+K76+K82+K88+K94+K100+K106+K112+K118+K124+K130+K132+K140+K147+K151+K156+K159+K166+K169+K175+K182</f>
        <v>2947055</v>
      </c>
      <c r="L183" s="24">
        <f>L13+L16+L19+L22+L25+L28+L31+L34+L38+L42+L46+L50+L53+L57+L61+L64+L68+L71+L76+L82+L88+L94+L100+L106+L112+L118+L124+L130+L132+L140+L147+L151+L156+L159+L166+L169+L175+L182</f>
        <v>1428200</v>
      </c>
      <c r="M183" s="24">
        <f t="shared" ref="M183:AX183" si="244">M13+M16+M19+M22+M25+M28+M31+M34+M38+M42+M46+M50+M53+M57+M61+M64+M68+M71+M76+M82+M88+M94+M100+M106+M112+M118+M124+M130+M132+M140+M147+M151+M156+M159+M166+M169+M175+M182</f>
        <v>146346207</v>
      </c>
      <c r="N183" s="24">
        <f t="shared" si="244"/>
        <v>8628540</v>
      </c>
      <c r="O183" s="24">
        <f t="shared" si="244"/>
        <v>13826163</v>
      </c>
      <c r="P183" s="758">
        <f t="shared" si="244"/>
        <v>966.28169999999989</v>
      </c>
      <c r="Q183" s="25">
        <f t="shared" si="244"/>
        <v>664.54300000000001</v>
      </c>
      <c r="R183" s="56">
        <f t="shared" si="244"/>
        <v>301.73869999999999</v>
      </c>
      <c r="S183" s="30">
        <f t="shared" si="244"/>
        <v>5670</v>
      </c>
      <c r="T183" s="24">
        <f t="shared" si="244"/>
        <v>-40519</v>
      </c>
      <c r="U183" s="24">
        <f t="shared" si="244"/>
        <v>-94992</v>
      </c>
      <c r="V183" s="24">
        <f t="shared" si="244"/>
        <v>-129841</v>
      </c>
      <c r="W183" s="24">
        <f t="shared" si="244"/>
        <v>-5670</v>
      </c>
      <c r="X183" s="24">
        <f t="shared" si="244"/>
        <v>0</v>
      </c>
      <c r="Y183" s="24">
        <f t="shared" si="244"/>
        <v>-5670</v>
      </c>
      <c r="Z183" s="24">
        <f t="shared" si="244"/>
        <v>-135511</v>
      </c>
      <c r="AA183" s="24">
        <f t="shared" si="244"/>
        <v>-45803</v>
      </c>
      <c r="AB183" s="24">
        <f t="shared" si="244"/>
        <v>-2598</v>
      </c>
      <c r="AC183" s="24">
        <f t="shared" si="244"/>
        <v>2500</v>
      </c>
      <c r="AD183" s="24">
        <f t="shared" si="244"/>
        <v>129000</v>
      </c>
      <c r="AE183" s="24">
        <f t="shared" si="244"/>
        <v>131500</v>
      </c>
      <c r="AF183" s="24">
        <f t="shared" si="244"/>
        <v>-52412</v>
      </c>
      <c r="AG183" s="25">
        <f t="shared" si="244"/>
        <v>0.01</v>
      </c>
      <c r="AH183" s="25">
        <f t="shared" si="244"/>
        <v>0</v>
      </c>
      <c r="AI183" s="25">
        <f t="shared" si="244"/>
        <v>-0.06</v>
      </c>
      <c r="AJ183" s="25">
        <f t="shared" si="244"/>
        <v>0</v>
      </c>
      <c r="AK183" s="25">
        <f t="shared" si="244"/>
        <v>0</v>
      </c>
      <c r="AL183" s="25">
        <f t="shared" si="244"/>
        <v>-4.9999999999999996E-2</v>
      </c>
      <c r="AM183" s="25">
        <f t="shared" si="244"/>
        <v>0</v>
      </c>
      <c r="AN183" s="759">
        <f t="shared" si="244"/>
        <v>-4.9999999999999996E-2</v>
      </c>
      <c r="AO183" s="30">
        <f t="shared" si="244"/>
        <v>603122252</v>
      </c>
      <c r="AP183" s="24">
        <f t="shared" si="244"/>
        <v>431296858</v>
      </c>
      <c r="AQ183" s="24">
        <f t="shared" si="244"/>
        <v>2941385</v>
      </c>
      <c r="AR183" s="24">
        <f t="shared" si="244"/>
        <v>1428200</v>
      </c>
      <c r="AS183" s="24">
        <f t="shared" si="244"/>
        <v>146300404</v>
      </c>
      <c r="AT183" s="24">
        <f t="shared" si="244"/>
        <v>8625942</v>
      </c>
      <c r="AU183" s="24">
        <f t="shared" si="244"/>
        <v>13957663</v>
      </c>
      <c r="AV183" s="25">
        <f t="shared" si="244"/>
        <v>966.23169999999982</v>
      </c>
      <c r="AW183" s="25">
        <f t="shared" si="244"/>
        <v>664.49299999999994</v>
      </c>
      <c r="AX183" s="56">
        <f t="shared" si="244"/>
        <v>301.73869999999999</v>
      </c>
    </row>
    <row r="184" spans="1:50" ht="12.75" customHeight="1" x14ac:dyDescent="0.2">
      <c r="D184" s="16"/>
      <c r="E184" s="12"/>
      <c r="F184" s="16"/>
      <c r="G184" s="36"/>
      <c r="H184" s="12"/>
      <c r="I184" s="509">
        <f>J183+K183+M183+N183+O183</f>
        <v>603174664</v>
      </c>
      <c r="J184" s="509"/>
      <c r="K184" s="509"/>
      <c r="L184" s="509"/>
      <c r="M184" s="509"/>
      <c r="N184" s="509"/>
      <c r="O184" s="509"/>
      <c r="P184" s="510">
        <f>SUM(Q183:R183)</f>
        <v>966.2817</v>
      </c>
      <c r="Q184" s="510"/>
      <c r="R184" s="510"/>
      <c r="S184" s="509">
        <f>W183</f>
        <v>-5670</v>
      </c>
      <c r="T184" s="510"/>
      <c r="U184" s="510"/>
      <c r="V184" s="739">
        <f>SUM(S183:U183)</f>
        <v>-129841</v>
      </c>
      <c r="W184" s="607"/>
      <c r="X184" s="607"/>
      <c r="Y184" s="606">
        <f>SUM(W183:X183)</f>
        <v>-5670</v>
      </c>
      <c r="Z184" s="739">
        <f>V183+Y183</f>
        <v>-135511</v>
      </c>
      <c r="AA184" s="741"/>
      <c r="AB184" s="741"/>
      <c r="AC184" s="740"/>
      <c r="AD184" s="740"/>
      <c r="AE184" s="739">
        <f>SUM(AC183:AD183)</f>
        <v>131500</v>
      </c>
      <c r="AF184" s="739">
        <f>Z183+AA183+AB183+AE183</f>
        <v>-52412</v>
      </c>
      <c r="AG184" s="742"/>
      <c r="AH184" s="742"/>
      <c r="AI184" s="742"/>
      <c r="AJ184" s="742"/>
      <c r="AK184" s="742"/>
      <c r="AL184" s="743">
        <f>AG183+AI183+AJ183</f>
        <v>-4.9999999999999996E-2</v>
      </c>
      <c r="AM184" s="743">
        <f>AH183+AK183</f>
        <v>0</v>
      </c>
      <c r="AN184" s="743">
        <f>SUM(AL183:AM183)</f>
        <v>-4.9999999999999996E-2</v>
      </c>
      <c r="AO184" s="509">
        <f>AP183+AQ183+AS183+AT183+AU183</f>
        <v>603122252</v>
      </c>
      <c r="AP184" s="177"/>
      <c r="AQ184" s="177"/>
      <c r="AR184" s="509"/>
      <c r="AS184" s="177"/>
      <c r="AT184" s="177"/>
      <c r="AU184" s="177"/>
      <c r="AV184" s="510">
        <f>SUM(AW183:AX183)</f>
        <v>966.23169999999993</v>
      </c>
      <c r="AW184" s="177"/>
      <c r="AX184" s="177"/>
    </row>
    <row r="185" spans="1:50" ht="13.5" customHeight="1" thickBot="1" x14ac:dyDescent="0.25">
      <c r="D185" s="16"/>
      <c r="E185" s="12"/>
      <c r="F185" s="16"/>
      <c r="G185" s="36"/>
      <c r="H185" s="12"/>
      <c r="I185" s="192">
        <f ca="1">J186+K186+M186+N186+O186</f>
        <v>603174664</v>
      </c>
      <c r="J185" s="193"/>
      <c r="K185" s="193"/>
      <c r="L185" s="193"/>
      <c r="M185" s="193"/>
      <c r="N185" s="193"/>
      <c r="O185" s="193"/>
      <c r="P185" s="194">
        <f ca="1">SUM(Q186:R186)</f>
        <v>966.28170000000011</v>
      </c>
      <c r="Q185" s="339"/>
      <c r="R185" s="339"/>
      <c r="S185" s="355"/>
      <c r="T185" s="355"/>
      <c r="U185" s="355"/>
      <c r="V185" s="511">
        <f ca="1">SUM(S186:U186)</f>
        <v>-129841</v>
      </c>
      <c r="W185" s="512"/>
      <c r="X185" s="512"/>
      <c r="Y185" s="511">
        <f ca="1">SUM(W186:X186)</f>
        <v>-5670</v>
      </c>
      <c r="Z185" s="511">
        <f ca="1">V186+Y186</f>
        <v>-135511</v>
      </c>
      <c r="AA185" s="354"/>
      <c r="AB185" s="354"/>
      <c r="AC185" s="512"/>
      <c r="AD185" s="512"/>
      <c r="AE185" s="511">
        <f ca="1">SUM(AC186:AD186)</f>
        <v>131500</v>
      </c>
      <c r="AF185" s="511">
        <f ca="1">Z186+AA186+AB186+AE186</f>
        <v>-52412</v>
      </c>
      <c r="AG185" s="513"/>
      <c r="AH185" s="513"/>
      <c r="AI185" s="513"/>
      <c r="AJ185" s="513"/>
      <c r="AK185" s="513"/>
      <c r="AL185" s="514">
        <f ca="1">AG186+AI186+AJ186</f>
        <v>-4.9999999999999996E-2</v>
      </c>
      <c r="AM185" s="514">
        <f ca="1">AH186+AK186</f>
        <v>0</v>
      </c>
      <c r="AN185" s="514">
        <f ca="1">SUM(AL186:AM186)</f>
        <v>-4.9999999999999996E-2</v>
      </c>
      <c r="AO185" s="362">
        <f ca="1">AP186+AQ186+AS186+AT186+AU186</f>
        <v>603122252</v>
      </c>
      <c r="AP185" s="363"/>
      <c r="AQ185" s="363"/>
      <c r="AR185" s="683"/>
      <c r="AS185" s="363"/>
      <c r="AT185" s="363"/>
      <c r="AU185" s="363"/>
      <c r="AV185" s="355">
        <f ca="1">SUM(AW186:AX186)</f>
        <v>966.23170000000005</v>
      </c>
      <c r="AW185" s="363"/>
      <c r="AX185" s="363"/>
    </row>
    <row r="186" spans="1:50" ht="13.5" customHeight="1" thickBot="1" x14ac:dyDescent="0.25">
      <c r="D186" s="16"/>
      <c r="E186" s="12"/>
      <c r="F186" s="16"/>
      <c r="G186" s="36"/>
      <c r="H186" s="39" t="s">
        <v>0</v>
      </c>
      <c r="I186" s="255">
        <f t="shared" ref="I186:AX186" ca="1" si="245">SUM(I187:I196)</f>
        <v>603174664</v>
      </c>
      <c r="J186" s="46">
        <f t="shared" ca="1" si="245"/>
        <v>431426699</v>
      </c>
      <c r="K186" s="46">
        <f t="shared" ca="1" si="245"/>
        <v>2947055</v>
      </c>
      <c r="L186" s="46">
        <f t="shared" ca="1" si="245"/>
        <v>1428200</v>
      </c>
      <c r="M186" s="46">
        <f t="shared" ca="1" si="245"/>
        <v>146346207</v>
      </c>
      <c r="N186" s="46">
        <f t="shared" ca="1" si="245"/>
        <v>8628540</v>
      </c>
      <c r="O186" s="46">
        <f t="shared" ca="1" si="245"/>
        <v>13826163</v>
      </c>
      <c r="P186" s="47">
        <f t="shared" ca="1" si="245"/>
        <v>966.2817</v>
      </c>
      <c r="Q186" s="47">
        <f t="shared" ca="1" si="245"/>
        <v>664.54300000000012</v>
      </c>
      <c r="R186" s="48">
        <f t="shared" ca="1" si="245"/>
        <v>301.73869999999999</v>
      </c>
      <c r="S186" s="264">
        <f t="shared" ca="1" si="245"/>
        <v>5670</v>
      </c>
      <c r="T186" s="264">
        <f t="shared" ca="1" si="245"/>
        <v>-40519</v>
      </c>
      <c r="U186" s="264">
        <f t="shared" ca="1" si="245"/>
        <v>-94992</v>
      </c>
      <c r="V186" s="264">
        <f t="shared" ca="1" si="245"/>
        <v>-129841</v>
      </c>
      <c r="W186" s="264">
        <f t="shared" ca="1" si="245"/>
        <v>-5670</v>
      </c>
      <c r="X186" s="264">
        <f t="shared" ca="1" si="245"/>
        <v>0</v>
      </c>
      <c r="Y186" s="264">
        <f t="shared" ca="1" si="245"/>
        <v>-5670</v>
      </c>
      <c r="Z186" s="264">
        <f t="shared" ca="1" si="245"/>
        <v>-135511</v>
      </c>
      <c r="AA186" s="264">
        <f t="shared" ca="1" si="245"/>
        <v>-45803</v>
      </c>
      <c r="AB186" s="264">
        <f t="shared" ca="1" si="245"/>
        <v>-2598</v>
      </c>
      <c r="AC186" s="264">
        <f t="shared" ca="1" si="245"/>
        <v>2500</v>
      </c>
      <c r="AD186" s="264">
        <f t="shared" ca="1" si="245"/>
        <v>129000</v>
      </c>
      <c r="AE186" s="264">
        <f t="shared" ca="1" si="245"/>
        <v>131500</v>
      </c>
      <c r="AF186" s="264">
        <f t="shared" ca="1" si="245"/>
        <v>-52412</v>
      </c>
      <c r="AG186" s="384">
        <f t="shared" ca="1" si="245"/>
        <v>0.01</v>
      </c>
      <c r="AH186" s="384">
        <f t="shared" ca="1" si="245"/>
        <v>0</v>
      </c>
      <c r="AI186" s="384">
        <f t="shared" ca="1" si="245"/>
        <v>-0.06</v>
      </c>
      <c r="AJ186" s="384">
        <f t="shared" ca="1" si="245"/>
        <v>0</v>
      </c>
      <c r="AK186" s="384">
        <f t="shared" ca="1" si="245"/>
        <v>0</v>
      </c>
      <c r="AL186" s="384">
        <f t="shared" ca="1" si="245"/>
        <v>-4.9999999999999996E-2</v>
      </c>
      <c r="AM186" s="384">
        <f t="shared" ca="1" si="245"/>
        <v>0</v>
      </c>
      <c r="AN186" s="364">
        <f t="shared" ca="1" si="245"/>
        <v>-4.9999999999999996E-2</v>
      </c>
      <c r="AO186" s="255">
        <f t="shared" ca="1" si="245"/>
        <v>603122252</v>
      </c>
      <c r="AP186" s="264">
        <f t="shared" ca="1" si="245"/>
        <v>431296858</v>
      </c>
      <c r="AQ186" s="264">
        <f t="shared" ca="1" si="245"/>
        <v>2941385</v>
      </c>
      <c r="AR186" s="264">
        <f t="shared" ca="1" si="245"/>
        <v>1428200</v>
      </c>
      <c r="AS186" s="264">
        <f t="shared" ca="1" si="245"/>
        <v>146300404</v>
      </c>
      <c r="AT186" s="264">
        <f t="shared" ca="1" si="245"/>
        <v>8625942</v>
      </c>
      <c r="AU186" s="264">
        <f t="shared" ca="1" si="245"/>
        <v>13957663</v>
      </c>
      <c r="AV186" s="384">
        <f t="shared" ca="1" si="245"/>
        <v>966.23170000000005</v>
      </c>
      <c r="AW186" s="384">
        <f t="shared" ca="1" si="245"/>
        <v>664.49300000000005</v>
      </c>
      <c r="AX186" s="400">
        <f t="shared" ca="1" si="245"/>
        <v>301.73869999999999</v>
      </c>
    </row>
    <row r="187" spans="1:50" ht="12.75" customHeight="1" x14ac:dyDescent="0.2">
      <c r="D187" s="16"/>
      <c r="E187" s="12"/>
      <c r="F187" s="16"/>
      <c r="G187" s="36"/>
      <c r="H187" s="1">
        <v>3111</v>
      </c>
      <c r="I187" s="321">
        <f t="shared" ref="I187:AX187" ca="1" si="246">SUMIF($F$12:$F$428,"=3111",I$12:I$384)</f>
        <v>150637031</v>
      </c>
      <c r="J187" s="322">
        <f t="shared" ca="1" si="246"/>
        <v>108888404</v>
      </c>
      <c r="K187" s="322">
        <f t="shared" ca="1" si="246"/>
        <v>507825</v>
      </c>
      <c r="L187" s="322">
        <f t="shared" ca="1" si="246"/>
        <v>0</v>
      </c>
      <c r="M187" s="322">
        <f t="shared" ca="1" si="246"/>
        <v>36986535</v>
      </c>
      <c r="N187" s="322">
        <f t="shared" ca="1" si="246"/>
        <v>2177769</v>
      </c>
      <c r="O187" s="322">
        <f t="shared" ca="1" si="246"/>
        <v>2076498</v>
      </c>
      <c r="P187" s="323">
        <f t="shared" ca="1" si="246"/>
        <v>262.69960000000003</v>
      </c>
      <c r="Q187" s="323">
        <f t="shared" ca="1" si="246"/>
        <v>199.01679999999999</v>
      </c>
      <c r="R187" s="324">
        <f t="shared" ca="1" si="246"/>
        <v>63.6828</v>
      </c>
      <c r="S187" s="325">
        <f t="shared" ca="1" si="246"/>
        <v>0</v>
      </c>
      <c r="T187" s="325">
        <f t="shared" ca="1" si="246"/>
        <v>0</v>
      </c>
      <c r="U187" s="325">
        <f t="shared" ca="1" si="246"/>
        <v>-72901</v>
      </c>
      <c r="V187" s="325">
        <f t="shared" ca="1" si="246"/>
        <v>-72901</v>
      </c>
      <c r="W187" s="325">
        <f t="shared" ca="1" si="246"/>
        <v>0</v>
      </c>
      <c r="X187" s="325">
        <f t="shared" ca="1" si="246"/>
        <v>0</v>
      </c>
      <c r="Y187" s="325">
        <f t="shared" ca="1" si="246"/>
        <v>0</v>
      </c>
      <c r="Z187" s="325">
        <f t="shared" ca="1" si="246"/>
        <v>-72901</v>
      </c>
      <c r="AA187" s="325">
        <f t="shared" ca="1" si="246"/>
        <v>-24641</v>
      </c>
      <c r="AB187" s="325">
        <f t="shared" ca="1" si="246"/>
        <v>-1458</v>
      </c>
      <c r="AC187" s="325">
        <f t="shared" ca="1" si="246"/>
        <v>0</v>
      </c>
      <c r="AD187" s="325">
        <f t="shared" ca="1" si="246"/>
        <v>99000</v>
      </c>
      <c r="AE187" s="325">
        <f t="shared" ca="1" si="246"/>
        <v>99000</v>
      </c>
      <c r="AF187" s="325">
        <f t="shared" ca="1" si="246"/>
        <v>0</v>
      </c>
      <c r="AG187" s="368">
        <f t="shared" ca="1" si="246"/>
        <v>0</v>
      </c>
      <c r="AH187" s="368">
        <f t="shared" ca="1" si="246"/>
        <v>0</v>
      </c>
      <c r="AI187" s="368">
        <f t="shared" ca="1" si="246"/>
        <v>0</v>
      </c>
      <c r="AJ187" s="368">
        <f t="shared" ca="1" si="246"/>
        <v>0</v>
      </c>
      <c r="AK187" s="368">
        <f t="shared" ca="1" si="246"/>
        <v>0</v>
      </c>
      <c r="AL187" s="368">
        <f t="shared" ca="1" si="246"/>
        <v>0</v>
      </c>
      <c r="AM187" s="368">
        <f t="shared" ca="1" si="246"/>
        <v>0</v>
      </c>
      <c r="AN187" s="365">
        <f t="shared" ca="1" si="246"/>
        <v>0</v>
      </c>
      <c r="AO187" s="321">
        <f t="shared" ca="1" si="246"/>
        <v>150637031</v>
      </c>
      <c r="AP187" s="325">
        <f t="shared" ca="1" si="246"/>
        <v>108815503</v>
      </c>
      <c r="AQ187" s="325">
        <f t="shared" ca="1" si="246"/>
        <v>507825</v>
      </c>
      <c r="AR187" s="325">
        <f t="shared" ca="1" si="246"/>
        <v>0</v>
      </c>
      <c r="AS187" s="325">
        <f t="shared" ca="1" si="246"/>
        <v>36961894</v>
      </c>
      <c r="AT187" s="325">
        <f t="shared" ca="1" si="246"/>
        <v>2176311</v>
      </c>
      <c r="AU187" s="325">
        <f t="shared" ca="1" si="246"/>
        <v>2175498</v>
      </c>
      <c r="AV187" s="368">
        <f t="shared" ca="1" si="246"/>
        <v>262.69960000000003</v>
      </c>
      <c r="AW187" s="368">
        <f t="shared" ca="1" si="246"/>
        <v>199.01679999999999</v>
      </c>
      <c r="AX187" s="401">
        <f t="shared" ca="1" si="246"/>
        <v>63.6828</v>
      </c>
    </row>
    <row r="188" spans="1:50" ht="12.75" customHeight="1" x14ac:dyDescent="0.2">
      <c r="D188" s="16"/>
      <c r="E188" s="12"/>
      <c r="F188" s="16"/>
      <c r="G188" s="36"/>
      <c r="H188" s="2">
        <v>3113</v>
      </c>
      <c r="I188" s="327">
        <f t="shared" ref="I188:AX188" si="247">SUMIF($F$12:$F$428,"=3113",I$12:I$428)</f>
        <v>327723218</v>
      </c>
      <c r="J188" s="328">
        <f t="shared" si="247"/>
        <v>231934073</v>
      </c>
      <c r="K188" s="328">
        <f t="shared" si="247"/>
        <v>1797858</v>
      </c>
      <c r="L188" s="328">
        <f t="shared" si="247"/>
        <v>1409108</v>
      </c>
      <c r="M188" s="328">
        <f t="shared" si="247"/>
        <v>78514504</v>
      </c>
      <c r="N188" s="328">
        <f t="shared" si="247"/>
        <v>4638683</v>
      </c>
      <c r="O188" s="328">
        <f t="shared" si="247"/>
        <v>10838100</v>
      </c>
      <c r="P188" s="329">
        <f t="shared" si="247"/>
        <v>463.11360000000002</v>
      </c>
      <c r="Q188" s="329">
        <f t="shared" si="247"/>
        <v>366.0444</v>
      </c>
      <c r="R188" s="330">
        <f t="shared" si="247"/>
        <v>97.069199999999995</v>
      </c>
      <c r="S188" s="331">
        <f t="shared" si="247"/>
        <v>0</v>
      </c>
      <c r="T188" s="331">
        <f t="shared" si="247"/>
        <v>-40519</v>
      </c>
      <c r="U188" s="331">
        <f t="shared" si="247"/>
        <v>-22091</v>
      </c>
      <c r="V188" s="331">
        <f t="shared" si="247"/>
        <v>-62610</v>
      </c>
      <c r="W188" s="331">
        <f t="shared" si="247"/>
        <v>0</v>
      </c>
      <c r="X188" s="331">
        <f t="shared" si="247"/>
        <v>0</v>
      </c>
      <c r="Y188" s="331">
        <f t="shared" si="247"/>
        <v>0</v>
      </c>
      <c r="Z188" s="331">
        <f t="shared" si="247"/>
        <v>-62610</v>
      </c>
      <c r="AA188" s="331">
        <f t="shared" si="247"/>
        <v>-21162</v>
      </c>
      <c r="AB188" s="331">
        <f t="shared" si="247"/>
        <v>-1253</v>
      </c>
      <c r="AC188" s="331">
        <f t="shared" si="247"/>
        <v>2500</v>
      </c>
      <c r="AD188" s="331">
        <f t="shared" si="247"/>
        <v>30000</v>
      </c>
      <c r="AE188" s="331">
        <f t="shared" si="247"/>
        <v>32500</v>
      </c>
      <c r="AF188" s="331">
        <f t="shared" si="247"/>
        <v>-52525</v>
      </c>
      <c r="AG188" s="369">
        <f t="shared" si="247"/>
        <v>0</v>
      </c>
      <c r="AH188" s="369">
        <f t="shared" si="247"/>
        <v>0</v>
      </c>
      <c r="AI188" s="369">
        <f t="shared" si="247"/>
        <v>-0.06</v>
      </c>
      <c r="AJ188" s="369">
        <f t="shared" si="247"/>
        <v>0</v>
      </c>
      <c r="AK188" s="369">
        <f t="shared" si="247"/>
        <v>0</v>
      </c>
      <c r="AL188" s="369">
        <f t="shared" si="247"/>
        <v>-0.06</v>
      </c>
      <c r="AM188" s="369">
        <f t="shared" si="247"/>
        <v>0</v>
      </c>
      <c r="AN188" s="366">
        <f t="shared" si="247"/>
        <v>-0.06</v>
      </c>
      <c r="AO188" s="327">
        <f t="shared" si="247"/>
        <v>327670693</v>
      </c>
      <c r="AP188" s="331">
        <f t="shared" si="247"/>
        <v>231871463</v>
      </c>
      <c r="AQ188" s="331">
        <f t="shared" si="247"/>
        <v>1797858</v>
      </c>
      <c r="AR188" s="331">
        <f t="shared" si="247"/>
        <v>1409108</v>
      </c>
      <c r="AS188" s="331">
        <f t="shared" si="247"/>
        <v>78493342</v>
      </c>
      <c r="AT188" s="331">
        <f t="shared" si="247"/>
        <v>4637430</v>
      </c>
      <c r="AU188" s="331">
        <f t="shared" si="247"/>
        <v>10870600</v>
      </c>
      <c r="AV188" s="369">
        <f t="shared" si="247"/>
        <v>463.05360000000002</v>
      </c>
      <c r="AW188" s="369">
        <f t="shared" si="247"/>
        <v>365.98439999999999</v>
      </c>
      <c r="AX188" s="402">
        <f t="shared" si="247"/>
        <v>97.069199999999995</v>
      </c>
    </row>
    <row r="189" spans="1:50" ht="12.75" customHeight="1" x14ac:dyDescent="0.2">
      <c r="D189" s="16"/>
      <c r="E189" s="12"/>
      <c r="F189" s="16"/>
      <c r="G189" s="36"/>
      <c r="H189" s="2">
        <v>3114</v>
      </c>
      <c r="I189" s="327">
        <f t="shared" ref="I189:AX189" si="248">SUMIF($F$12:$F$428,"=3114",I$12:I$428)</f>
        <v>0</v>
      </c>
      <c r="J189" s="328">
        <f t="shared" si="248"/>
        <v>0</v>
      </c>
      <c r="K189" s="328">
        <f t="shared" si="248"/>
        <v>0</v>
      </c>
      <c r="L189" s="328">
        <f t="shared" si="248"/>
        <v>0</v>
      </c>
      <c r="M189" s="328">
        <f t="shared" si="248"/>
        <v>0</v>
      </c>
      <c r="N189" s="328">
        <f t="shared" si="248"/>
        <v>0</v>
      </c>
      <c r="O189" s="328">
        <f t="shared" si="248"/>
        <v>0</v>
      </c>
      <c r="P189" s="329">
        <f t="shared" si="248"/>
        <v>0</v>
      </c>
      <c r="Q189" s="329">
        <f t="shared" si="248"/>
        <v>0</v>
      </c>
      <c r="R189" s="330">
        <f t="shared" si="248"/>
        <v>0</v>
      </c>
      <c r="S189" s="331">
        <f t="shared" si="248"/>
        <v>0</v>
      </c>
      <c r="T189" s="331">
        <f t="shared" si="248"/>
        <v>0</v>
      </c>
      <c r="U189" s="331">
        <f t="shared" si="248"/>
        <v>0</v>
      </c>
      <c r="V189" s="331">
        <f t="shared" si="248"/>
        <v>0</v>
      </c>
      <c r="W189" s="331">
        <f t="shared" si="248"/>
        <v>0</v>
      </c>
      <c r="X189" s="331">
        <f t="shared" si="248"/>
        <v>0</v>
      </c>
      <c r="Y189" s="331">
        <f t="shared" si="248"/>
        <v>0</v>
      </c>
      <c r="Z189" s="331">
        <f t="shared" si="248"/>
        <v>0</v>
      </c>
      <c r="AA189" s="331">
        <f t="shared" si="248"/>
        <v>0</v>
      </c>
      <c r="AB189" s="331">
        <f t="shared" si="248"/>
        <v>0</v>
      </c>
      <c r="AC189" s="331">
        <f t="shared" si="248"/>
        <v>0</v>
      </c>
      <c r="AD189" s="331">
        <f t="shared" si="248"/>
        <v>0</v>
      </c>
      <c r="AE189" s="331">
        <f t="shared" si="248"/>
        <v>0</v>
      </c>
      <c r="AF189" s="331">
        <f t="shared" si="248"/>
        <v>0</v>
      </c>
      <c r="AG189" s="369">
        <f t="shared" si="248"/>
        <v>0</v>
      </c>
      <c r="AH189" s="369">
        <f t="shared" si="248"/>
        <v>0</v>
      </c>
      <c r="AI189" s="369">
        <f t="shared" si="248"/>
        <v>0</v>
      </c>
      <c r="AJ189" s="369">
        <f t="shared" si="248"/>
        <v>0</v>
      </c>
      <c r="AK189" s="369">
        <f t="shared" si="248"/>
        <v>0</v>
      </c>
      <c r="AL189" s="369">
        <f t="shared" si="248"/>
        <v>0</v>
      </c>
      <c r="AM189" s="369">
        <f t="shared" si="248"/>
        <v>0</v>
      </c>
      <c r="AN189" s="366">
        <f t="shared" si="248"/>
        <v>0</v>
      </c>
      <c r="AO189" s="327">
        <f t="shared" si="248"/>
        <v>0</v>
      </c>
      <c r="AP189" s="331">
        <f t="shared" si="248"/>
        <v>0</v>
      </c>
      <c r="AQ189" s="331">
        <f t="shared" si="248"/>
        <v>0</v>
      </c>
      <c r="AR189" s="331">
        <f t="shared" si="248"/>
        <v>0</v>
      </c>
      <c r="AS189" s="331">
        <f t="shared" si="248"/>
        <v>0</v>
      </c>
      <c r="AT189" s="331">
        <f t="shared" si="248"/>
        <v>0</v>
      </c>
      <c r="AU189" s="331">
        <f t="shared" si="248"/>
        <v>0</v>
      </c>
      <c r="AV189" s="369">
        <f t="shared" si="248"/>
        <v>0</v>
      </c>
      <c r="AW189" s="369">
        <f t="shared" si="248"/>
        <v>0</v>
      </c>
      <c r="AX189" s="402">
        <f t="shared" si="248"/>
        <v>0</v>
      </c>
    </row>
    <row r="190" spans="1:50" ht="12.75" customHeight="1" x14ac:dyDescent="0.2">
      <c r="D190" s="16"/>
      <c r="E190" s="12"/>
      <c r="F190" s="16"/>
      <c r="G190" s="36"/>
      <c r="H190" s="2">
        <v>3117</v>
      </c>
      <c r="I190" s="327">
        <f t="shared" ref="I190:AX190" si="249">SUMIF($F$12:$F$428,"=3117",I$12:I$428)</f>
        <v>9866703</v>
      </c>
      <c r="J190" s="328">
        <f t="shared" si="249"/>
        <v>6986939</v>
      </c>
      <c r="K190" s="328">
        <f t="shared" si="249"/>
        <v>41772</v>
      </c>
      <c r="L190" s="328">
        <f t="shared" si="249"/>
        <v>19092</v>
      </c>
      <c r="M190" s="328">
        <f t="shared" si="249"/>
        <v>2369251</v>
      </c>
      <c r="N190" s="328">
        <f t="shared" si="249"/>
        <v>139741</v>
      </c>
      <c r="O190" s="328">
        <f t="shared" si="249"/>
        <v>329000</v>
      </c>
      <c r="P190" s="329">
        <f t="shared" si="249"/>
        <v>15.854200000000001</v>
      </c>
      <c r="Q190" s="329">
        <f t="shared" si="249"/>
        <v>11.8431</v>
      </c>
      <c r="R190" s="330">
        <f t="shared" si="249"/>
        <v>4.0111000000000008</v>
      </c>
      <c r="S190" s="331">
        <f t="shared" si="249"/>
        <v>5670</v>
      </c>
      <c r="T190" s="331">
        <f t="shared" si="249"/>
        <v>0</v>
      </c>
      <c r="U190" s="331">
        <f t="shared" si="249"/>
        <v>0</v>
      </c>
      <c r="V190" s="331">
        <f t="shared" si="249"/>
        <v>5670</v>
      </c>
      <c r="W190" s="331">
        <f t="shared" si="249"/>
        <v>-5670</v>
      </c>
      <c r="X190" s="331">
        <f t="shared" si="249"/>
        <v>0</v>
      </c>
      <c r="Y190" s="331">
        <f t="shared" si="249"/>
        <v>-5670</v>
      </c>
      <c r="Z190" s="331">
        <f t="shared" si="249"/>
        <v>0</v>
      </c>
      <c r="AA190" s="331">
        <f t="shared" si="249"/>
        <v>0</v>
      </c>
      <c r="AB190" s="331">
        <f t="shared" si="249"/>
        <v>113</v>
      </c>
      <c r="AC190" s="331">
        <f t="shared" si="249"/>
        <v>0</v>
      </c>
      <c r="AD190" s="331">
        <f t="shared" si="249"/>
        <v>0</v>
      </c>
      <c r="AE190" s="331">
        <f t="shared" si="249"/>
        <v>0</v>
      </c>
      <c r="AF190" s="331">
        <f t="shared" si="249"/>
        <v>113</v>
      </c>
      <c r="AG190" s="369">
        <f t="shared" si="249"/>
        <v>0.01</v>
      </c>
      <c r="AH190" s="369">
        <f t="shared" si="249"/>
        <v>0</v>
      </c>
      <c r="AI190" s="369">
        <f t="shared" si="249"/>
        <v>0</v>
      </c>
      <c r="AJ190" s="369">
        <f t="shared" si="249"/>
        <v>0</v>
      </c>
      <c r="AK190" s="369">
        <f t="shared" si="249"/>
        <v>0</v>
      </c>
      <c r="AL190" s="369">
        <f t="shared" si="249"/>
        <v>0.01</v>
      </c>
      <c r="AM190" s="369">
        <f t="shared" si="249"/>
        <v>0</v>
      </c>
      <c r="AN190" s="366">
        <f t="shared" si="249"/>
        <v>0.01</v>
      </c>
      <c r="AO190" s="327">
        <f t="shared" si="249"/>
        <v>9866816</v>
      </c>
      <c r="AP190" s="331">
        <f t="shared" si="249"/>
        <v>6992609</v>
      </c>
      <c r="AQ190" s="331">
        <f t="shared" si="249"/>
        <v>36102</v>
      </c>
      <c r="AR190" s="331">
        <f t="shared" si="249"/>
        <v>19092</v>
      </c>
      <c r="AS190" s="331">
        <f t="shared" si="249"/>
        <v>2369251</v>
      </c>
      <c r="AT190" s="331">
        <f t="shared" si="249"/>
        <v>139854</v>
      </c>
      <c r="AU190" s="331">
        <f t="shared" si="249"/>
        <v>329000</v>
      </c>
      <c r="AV190" s="369">
        <f t="shared" si="249"/>
        <v>15.864199999999999</v>
      </c>
      <c r="AW190" s="369">
        <f t="shared" si="249"/>
        <v>11.8531</v>
      </c>
      <c r="AX190" s="402">
        <f t="shared" si="249"/>
        <v>4.0111000000000008</v>
      </c>
    </row>
    <row r="191" spans="1:50" ht="12.75" customHeight="1" x14ac:dyDescent="0.2">
      <c r="D191" s="16"/>
      <c r="E191" s="12"/>
      <c r="F191" s="16"/>
      <c r="G191" s="36"/>
      <c r="H191" s="2">
        <v>3122</v>
      </c>
      <c r="I191" s="327">
        <f t="shared" ref="I191:AX191" si="250">SUMIF($F$12:$F$384,"=3122",I$12:I$384)</f>
        <v>0</v>
      </c>
      <c r="J191" s="328">
        <f t="shared" si="250"/>
        <v>0</v>
      </c>
      <c r="K191" s="328">
        <f t="shared" si="250"/>
        <v>0</v>
      </c>
      <c r="L191" s="328">
        <f t="shared" si="250"/>
        <v>0</v>
      </c>
      <c r="M191" s="328">
        <f t="shared" si="250"/>
        <v>0</v>
      </c>
      <c r="N191" s="328">
        <f t="shared" si="250"/>
        <v>0</v>
      </c>
      <c r="O191" s="328">
        <f t="shared" si="250"/>
        <v>0</v>
      </c>
      <c r="P191" s="329">
        <f t="shared" si="250"/>
        <v>0</v>
      </c>
      <c r="Q191" s="329">
        <f t="shared" si="250"/>
        <v>0</v>
      </c>
      <c r="R191" s="330">
        <f t="shared" si="250"/>
        <v>0</v>
      </c>
      <c r="S191" s="331">
        <f t="shared" si="250"/>
        <v>0</v>
      </c>
      <c r="T191" s="331">
        <f t="shared" si="250"/>
        <v>0</v>
      </c>
      <c r="U191" s="331">
        <f t="shared" si="250"/>
        <v>0</v>
      </c>
      <c r="V191" s="331">
        <f t="shared" si="250"/>
        <v>0</v>
      </c>
      <c r="W191" s="331">
        <f t="shared" si="250"/>
        <v>0</v>
      </c>
      <c r="X191" s="331">
        <f t="shared" si="250"/>
        <v>0</v>
      </c>
      <c r="Y191" s="331">
        <f t="shared" si="250"/>
        <v>0</v>
      </c>
      <c r="Z191" s="331">
        <f t="shared" si="250"/>
        <v>0</v>
      </c>
      <c r="AA191" s="331">
        <f t="shared" si="250"/>
        <v>0</v>
      </c>
      <c r="AB191" s="331">
        <f t="shared" si="250"/>
        <v>0</v>
      </c>
      <c r="AC191" s="331">
        <f t="shared" si="250"/>
        <v>0</v>
      </c>
      <c r="AD191" s="331">
        <f t="shared" si="250"/>
        <v>0</v>
      </c>
      <c r="AE191" s="331">
        <f t="shared" si="250"/>
        <v>0</v>
      </c>
      <c r="AF191" s="331">
        <f t="shared" si="250"/>
        <v>0</v>
      </c>
      <c r="AG191" s="369">
        <f t="shared" si="250"/>
        <v>0</v>
      </c>
      <c r="AH191" s="369">
        <f t="shared" si="250"/>
        <v>0</v>
      </c>
      <c r="AI191" s="369">
        <f t="shared" si="250"/>
        <v>0</v>
      </c>
      <c r="AJ191" s="369">
        <f t="shared" si="250"/>
        <v>0</v>
      </c>
      <c r="AK191" s="369">
        <f t="shared" si="250"/>
        <v>0</v>
      </c>
      <c r="AL191" s="369">
        <f t="shared" si="250"/>
        <v>0</v>
      </c>
      <c r="AM191" s="369">
        <f t="shared" si="250"/>
        <v>0</v>
      </c>
      <c r="AN191" s="366">
        <f t="shared" si="250"/>
        <v>0</v>
      </c>
      <c r="AO191" s="327">
        <f t="shared" si="250"/>
        <v>0</v>
      </c>
      <c r="AP191" s="331">
        <f t="shared" si="250"/>
        <v>0</v>
      </c>
      <c r="AQ191" s="331">
        <f t="shared" si="250"/>
        <v>0</v>
      </c>
      <c r="AR191" s="331">
        <f t="shared" si="250"/>
        <v>0</v>
      </c>
      <c r="AS191" s="331">
        <f t="shared" si="250"/>
        <v>0</v>
      </c>
      <c r="AT191" s="331">
        <f t="shared" si="250"/>
        <v>0</v>
      </c>
      <c r="AU191" s="331">
        <f t="shared" si="250"/>
        <v>0</v>
      </c>
      <c r="AV191" s="369">
        <f t="shared" si="250"/>
        <v>0</v>
      </c>
      <c r="AW191" s="369">
        <f t="shared" si="250"/>
        <v>0</v>
      </c>
      <c r="AX191" s="402">
        <f t="shared" si="250"/>
        <v>0</v>
      </c>
    </row>
    <row r="192" spans="1:50" ht="12.75" customHeight="1" x14ac:dyDescent="0.2">
      <c r="D192" s="16"/>
      <c r="E192" s="12"/>
      <c r="F192" s="16"/>
      <c r="G192" s="36"/>
      <c r="H192" s="2">
        <v>3124</v>
      </c>
      <c r="I192" s="327">
        <f t="shared" ref="I192:AX192" si="251">SUMIF($F$12:$F$384,"=3124",I$12:I$384)</f>
        <v>0</v>
      </c>
      <c r="J192" s="328">
        <f t="shared" si="251"/>
        <v>0</v>
      </c>
      <c r="K192" s="328">
        <f t="shared" si="251"/>
        <v>0</v>
      </c>
      <c r="L192" s="328">
        <f t="shared" si="251"/>
        <v>0</v>
      </c>
      <c r="M192" s="328">
        <f t="shared" si="251"/>
        <v>0</v>
      </c>
      <c r="N192" s="328">
        <f t="shared" si="251"/>
        <v>0</v>
      </c>
      <c r="O192" s="328">
        <f t="shared" si="251"/>
        <v>0</v>
      </c>
      <c r="P192" s="329">
        <f t="shared" si="251"/>
        <v>0</v>
      </c>
      <c r="Q192" s="329">
        <f t="shared" si="251"/>
        <v>0</v>
      </c>
      <c r="R192" s="330">
        <f t="shared" si="251"/>
        <v>0</v>
      </c>
      <c r="S192" s="331">
        <f t="shared" si="251"/>
        <v>0</v>
      </c>
      <c r="T192" s="331">
        <f t="shared" si="251"/>
        <v>0</v>
      </c>
      <c r="U192" s="331">
        <f t="shared" si="251"/>
        <v>0</v>
      </c>
      <c r="V192" s="331">
        <f t="shared" si="251"/>
        <v>0</v>
      </c>
      <c r="W192" s="331">
        <f t="shared" si="251"/>
        <v>0</v>
      </c>
      <c r="X192" s="331">
        <f t="shared" si="251"/>
        <v>0</v>
      </c>
      <c r="Y192" s="331">
        <f t="shared" si="251"/>
        <v>0</v>
      </c>
      <c r="Z192" s="331">
        <f t="shared" si="251"/>
        <v>0</v>
      </c>
      <c r="AA192" s="331">
        <f t="shared" si="251"/>
        <v>0</v>
      </c>
      <c r="AB192" s="331">
        <f t="shared" si="251"/>
        <v>0</v>
      </c>
      <c r="AC192" s="331">
        <f t="shared" si="251"/>
        <v>0</v>
      </c>
      <c r="AD192" s="331">
        <f t="shared" si="251"/>
        <v>0</v>
      </c>
      <c r="AE192" s="331">
        <f t="shared" si="251"/>
        <v>0</v>
      </c>
      <c r="AF192" s="331">
        <f t="shared" si="251"/>
        <v>0</v>
      </c>
      <c r="AG192" s="369">
        <f t="shared" si="251"/>
        <v>0</v>
      </c>
      <c r="AH192" s="369">
        <f t="shared" si="251"/>
        <v>0</v>
      </c>
      <c r="AI192" s="369">
        <f t="shared" si="251"/>
        <v>0</v>
      </c>
      <c r="AJ192" s="369">
        <f t="shared" si="251"/>
        <v>0</v>
      </c>
      <c r="AK192" s="369">
        <f t="shared" si="251"/>
        <v>0</v>
      </c>
      <c r="AL192" s="369">
        <f t="shared" si="251"/>
        <v>0</v>
      </c>
      <c r="AM192" s="369">
        <f t="shared" si="251"/>
        <v>0</v>
      </c>
      <c r="AN192" s="366">
        <f t="shared" si="251"/>
        <v>0</v>
      </c>
      <c r="AO192" s="327">
        <f t="shared" si="251"/>
        <v>0</v>
      </c>
      <c r="AP192" s="331">
        <f t="shared" si="251"/>
        <v>0</v>
      </c>
      <c r="AQ192" s="331">
        <f t="shared" si="251"/>
        <v>0</v>
      </c>
      <c r="AR192" s="331">
        <f t="shared" si="251"/>
        <v>0</v>
      </c>
      <c r="AS192" s="331">
        <f t="shared" si="251"/>
        <v>0</v>
      </c>
      <c r="AT192" s="331">
        <f t="shared" si="251"/>
        <v>0</v>
      </c>
      <c r="AU192" s="331">
        <f t="shared" si="251"/>
        <v>0</v>
      </c>
      <c r="AV192" s="369">
        <f t="shared" si="251"/>
        <v>0</v>
      </c>
      <c r="AW192" s="369">
        <f t="shared" si="251"/>
        <v>0</v>
      </c>
      <c r="AX192" s="402">
        <f t="shared" si="251"/>
        <v>0</v>
      </c>
    </row>
    <row r="193" spans="4:50" ht="12.75" customHeight="1" x14ac:dyDescent="0.2">
      <c r="D193" s="16"/>
      <c r="E193" s="12"/>
      <c r="F193" s="16"/>
      <c r="G193" s="36"/>
      <c r="H193" s="2">
        <v>3141</v>
      </c>
      <c r="I193" s="327">
        <f t="shared" ref="I193:AX193" si="252">SUMIF($F$12:$F$428,"=3141",I$12:I$428)</f>
        <v>50355189</v>
      </c>
      <c r="J193" s="328">
        <f t="shared" si="252"/>
        <v>36669721</v>
      </c>
      <c r="K193" s="328">
        <f t="shared" si="252"/>
        <v>132000</v>
      </c>
      <c r="L193" s="328">
        <f t="shared" si="252"/>
        <v>0</v>
      </c>
      <c r="M193" s="328">
        <f t="shared" si="252"/>
        <v>12449591</v>
      </c>
      <c r="N193" s="328">
        <f t="shared" si="252"/>
        <v>733395</v>
      </c>
      <c r="O193" s="328">
        <f t="shared" si="252"/>
        <v>370482</v>
      </c>
      <c r="P193" s="329">
        <f t="shared" si="252"/>
        <v>125.09000000000002</v>
      </c>
      <c r="Q193" s="329">
        <f t="shared" si="252"/>
        <v>0</v>
      </c>
      <c r="R193" s="330">
        <f t="shared" si="252"/>
        <v>125.09000000000002</v>
      </c>
      <c r="S193" s="331">
        <f t="shared" si="252"/>
        <v>0</v>
      </c>
      <c r="T193" s="331">
        <f t="shared" si="252"/>
        <v>0</v>
      </c>
      <c r="U193" s="331">
        <f t="shared" si="252"/>
        <v>0</v>
      </c>
      <c r="V193" s="331">
        <f t="shared" si="252"/>
        <v>0</v>
      </c>
      <c r="W193" s="331">
        <f t="shared" si="252"/>
        <v>0</v>
      </c>
      <c r="X193" s="331">
        <f t="shared" si="252"/>
        <v>0</v>
      </c>
      <c r="Y193" s="331">
        <f t="shared" si="252"/>
        <v>0</v>
      </c>
      <c r="Z193" s="331">
        <f t="shared" si="252"/>
        <v>0</v>
      </c>
      <c r="AA193" s="331">
        <f t="shared" si="252"/>
        <v>0</v>
      </c>
      <c r="AB193" s="331">
        <f t="shared" si="252"/>
        <v>0</v>
      </c>
      <c r="AC193" s="331">
        <f t="shared" si="252"/>
        <v>0</v>
      </c>
      <c r="AD193" s="331">
        <f t="shared" si="252"/>
        <v>0</v>
      </c>
      <c r="AE193" s="331">
        <f t="shared" si="252"/>
        <v>0</v>
      </c>
      <c r="AF193" s="331">
        <f t="shared" si="252"/>
        <v>0</v>
      </c>
      <c r="AG193" s="369">
        <f t="shared" si="252"/>
        <v>0</v>
      </c>
      <c r="AH193" s="369">
        <f t="shared" si="252"/>
        <v>0</v>
      </c>
      <c r="AI193" s="369">
        <f t="shared" si="252"/>
        <v>0</v>
      </c>
      <c r="AJ193" s="369">
        <f t="shared" si="252"/>
        <v>0</v>
      </c>
      <c r="AK193" s="369">
        <f t="shared" si="252"/>
        <v>0</v>
      </c>
      <c r="AL193" s="369">
        <f t="shared" si="252"/>
        <v>0</v>
      </c>
      <c r="AM193" s="369">
        <f t="shared" si="252"/>
        <v>0</v>
      </c>
      <c r="AN193" s="366">
        <f t="shared" si="252"/>
        <v>0</v>
      </c>
      <c r="AO193" s="327">
        <f t="shared" si="252"/>
        <v>50355189</v>
      </c>
      <c r="AP193" s="331">
        <f t="shared" si="252"/>
        <v>36669721</v>
      </c>
      <c r="AQ193" s="331">
        <f t="shared" si="252"/>
        <v>132000</v>
      </c>
      <c r="AR193" s="331">
        <f t="shared" si="252"/>
        <v>0</v>
      </c>
      <c r="AS193" s="331">
        <f t="shared" si="252"/>
        <v>12449591</v>
      </c>
      <c r="AT193" s="331">
        <f t="shared" si="252"/>
        <v>733395</v>
      </c>
      <c r="AU193" s="331">
        <f t="shared" si="252"/>
        <v>370482</v>
      </c>
      <c r="AV193" s="369">
        <f t="shared" si="252"/>
        <v>125.09000000000002</v>
      </c>
      <c r="AW193" s="369">
        <f t="shared" si="252"/>
        <v>0</v>
      </c>
      <c r="AX193" s="402">
        <f t="shared" si="252"/>
        <v>125.09000000000002</v>
      </c>
    </row>
    <row r="194" spans="4:50" ht="12.75" customHeight="1" x14ac:dyDescent="0.2">
      <c r="D194" s="16"/>
      <c r="E194" s="12"/>
      <c r="F194" s="16"/>
      <c r="G194" s="36"/>
      <c r="H194" s="2">
        <v>3143</v>
      </c>
      <c r="I194" s="327">
        <f t="shared" ref="I194:AX194" si="253">SUMIF($F$12:$F$428,"=3143",I$12:I$428)</f>
        <v>30299686</v>
      </c>
      <c r="J194" s="328">
        <f t="shared" si="253"/>
        <v>22209246</v>
      </c>
      <c r="K194" s="328">
        <f t="shared" si="253"/>
        <v>72600</v>
      </c>
      <c r="L194" s="328">
        <f t="shared" si="253"/>
        <v>0</v>
      </c>
      <c r="M194" s="328">
        <f t="shared" si="253"/>
        <v>7531265</v>
      </c>
      <c r="N194" s="328">
        <f t="shared" si="253"/>
        <v>444185</v>
      </c>
      <c r="O194" s="328">
        <f t="shared" si="253"/>
        <v>42390</v>
      </c>
      <c r="P194" s="329">
        <f t="shared" si="253"/>
        <v>48.84790000000001</v>
      </c>
      <c r="Q194" s="329">
        <f t="shared" si="253"/>
        <v>45.887900000000009</v>
      </c>
      <c r="R194" s="330">
        <f t="shared" si="253"/>
        <v>2.9599999999999995</v>
      </c>
      <c r="S194" s="331">
        <f t="shared" si="253"/>
        <v>0</v>
      </c>
      <c r="T194" s="331">
        <f t="shared" si="253"/>
        <v>0</v>
      </c>
      <c r="U194" s="331">
        <f t="shared" si="253"/>
        <v>0</v>
      </c>
      <c r="V194" s="331">
        <f t="shared" si="253"/>
        <v>0</v>
      </c>
      <c r="W194" s="331">
        <f t="shared" si="253"/>
        <v>0</v>
      </c>
      <c r="X194" s="331">
        <f t="shared" si="253"/>
        <v>0</v>
      </c>
      <c r="Y194" s="331">
        <f t="shared" si="253"/>
        <v>0</v>
      </c>
      <c r="Z194" s="331">
        <f t="shared" si="253"/>
        <v>0</v>
      </c>
      <c r="AA194" s="331">
        <f t="shared" si="253"/>
        <v>0</v>
      </c>
      <c r="AB194" s="331">
        <f t="shared" si="253"/>
        <v>0</v>
      </c>
      <c r="AC194" s="331">
        <f t="shared" si="253"/>
        <v>0</v>
      </c>
      <c r="AD194" s="331">
        <f t="shared" si="253"/>
        <v>0</v>
      </c>
      <c r="AE194" s="331">
        <f t="shared" si="253"/>
        <v>0</v>
      </c>
      <c r="AF194" s="331">
        <f t="shared" si="253"/>
        <v>0</v>
      </c>
      <c r="AG194" s="369">
        <f t="shared" si="253"/>
        <v>0</v>
      </c>
      <c r="AH194" s="369">
        <f t="shared" si="253"/>
        <v>0</v>
      </c>
      <c r="AI194" s="369">
        <f t="shared" si="253"/>
        <v>0</v>
      </c>
      <c r="AJ194" s="369">
        <f t="shared" si="253"/>
        <v>0</v>
      </c>
      <c r="AK194" s="369">
        <f t="shared" si="253"/>
        <v>0</v>
      </c>
      <c r="AL194" s="369">
        <f t="shared" si="253"/>
        <v>0</v>
      </c>
      <c r="AM194" s="369">
        <f t="shared" si="253"/>
        <v>0</v>
      </c>
      <c r="AN194" s="366">
        <f t="shared" si="253"/>
        <v>0</v>
      </c>
      <c r="AO194" s="327">
        <f t="shared" si="253"/>
        <v>30299686</v>
      </c>
      <c r="AP194" s="331">
        <f t="shared" si="253"/>
        <v>22209246</v>
      </c>
      <c r="AQ194" s="331">
        <f t="shared" si="253"/>
        <v>72600</v>
      </c>
      <c r="AR194" s="331">
        <f t="shared" si="253"/>
        <v>0</v>
      </c>
      <c r="AS194" s="331">
        <f t="shared" si="253"/>
        <v>7531265</v>
      </c>
      <c r="AT194" s="331">
        <f t="shared" si="253"/>
        <v>444185</v>
      </c>
      <c r="AU194" s="331">
        <f t="shared" si="253"/>
        <v>42390</v>
      </c>
      <c r="AV194" s="369">
        <f t="shared" si="253"/>
        <v>48.84790000000001</v>
      </c>
      <c r="AW194" s="369">
        <f t="shared" si="253"/>
        <v>45.887900000000009</v>
      </c>
      <c r="AX194" s="402">
        <f t="shared" si="253"/>
        <v>2.9599999999999995</v>
      </c>
    </row>
    <row r="195" spans="4:50" ht="12.75" customHeight="1" x14ac:dyDescent="0.2">
      <c r="D195" s="16"/>
      <c r="E195" s="12"/>
      <c r="F195" s="16"/>
      <c r="G195" s="36"/>
      <c r="H195" s="2">
        <v>3231</v>
      </c>
      <c r="I195" s="327">
        <f t="shared" ref="I195:AX195" si="254">SUMIF($F$12:$F$428,"=3231",I$12:I$428)</f>
        <v>28164052</v>
      </c>
      <c r="J195" s="328">
        <f t="shared" si="254"/>
        <v>20391934</v>
      </c>
      <c r="K195" s="328">
        <f t="shared" si="254"/>
        <v>280000</v>
      </c>
      <c r="L195" s="328">
        <f t="shared" si="254"/>
        <v>0</v>
      </c>
      <c r="M195" s="328">
        <f t="shared" si="254"/>
        <v>6987114</v>
      </c>
      <c r="N195" s="328">
        <f t="shared" si="254"/>
        <v>407839</v>
      </c>
      <c r="O195" s="328">
        <f t="shared" si="254"/>
        <v>97165</v>
      </c>
      <c r="P195" s="329">
        <f t="shared" si="254"/>
        <v>40.116400000000006</v>
      </c>
      <c r="Q195" s="329">
        <f t="shared" si="254"/>
        <v>35.640800000000006</v>
      </c>
      <c r="R195" s="330">
        <f t="shared" si="254"/>
        <v>4.4755999999999991</v>
      </c>
      <c r="S195" s="331">
        <f t="shared" si="254"/>
        <v>0</v>
      </c>
      <c r="T195" s="331">
        <f t="shared" si="254"/>
        <v>0</v>
      </c>
      <c r="U195" s="331">
        <f t="shared" si="254"/>
        <v>0</v>
      </c>
      <c r="V195" s="331">
        <f t="shared" si="254"/>
        <v>0</v>
      </c>
      <c r="W195" s="331">
        <f t="shared" si="254"/>
        <v>0</v>
      </c>
      <c r="X195" s="331">
        <f t="shared" si="254"/>
        <v>0</v>
      </c>
      <c r="Y195" s="331">
        <f t="shared" si="254"/>
        <v>0</v>
      </c>
      <c r="Z195" s="331">
        <f t="shared" si="254"/>
        <v>0</v>
      </c>
      <c r="AA195" s="331">
        <f t="shared" si="254"/>
        <v>0</v>
      </c>
      <c r="AB195" s="331">
        <f t="shared" si="254"/>
        <v>0</v>
      </c>
      <c r="AC195" s="331">
        <f t="shared" si="254"/>
        <v>0</v>
      </c>
      <c r="AD195" s="331">
        <f t="shared" si="254"/>
        <v>0</v>
      </c>
      <c r="AE195" s="331">
        <f t="shared" si="254"/>
        <v>0</v>
      </c>
      <c r="AF195" s="331">
        <f t="shared" si="254"/>
        <v>0</v>
      </c>
      <c r="AG195" s="369">
        <f t="shared" si="254"/>
        <v>0</v>
      </c>
      <c r="AH195" s="369">
        <f t="shared" si="254"/>
        <v>0</v>
      </c>
      <c r="AI195" s="369">
        <f t="shared" si="254"/>
        <v>0</v>
      </c>
      <c r="AJ195" s="369">
        <f t="shared" si="254"/>
        <v>0</v>
      </c>
      <c r="AK195" s="369">
        <f t="shared" si="254"/>
        <v>0</v>
      </c>
      <c r="AL195" s="369">
        <f t="shared" si="254"/>
        <v>0</v>
      </c>
      <c r="AM195" s="369">
        <f t="shared" si="254"/>
        <v>0</v>
      </c>
      <c r="AN195" s="366">
        <f t="shared" si="254"/>
        <v>0</v>
      </c>
      <c r="AO195" s="327">
        <f t="shared" si="254"/>
        <v>28164052</v>
      </c>
      <c r="AP195" s="331">
        <f t="shared" si="254"/>
        <v>20391934</v>
      </c>
      <c r="AQ195" s="331">
        <f t="shared" si="254"/>
        <v>280000</v>
      </c>
      <c r="AR195" s="331">
        <f t="shared" si="254"/>
        <v>0</v>
      </c>
      <c r="AS195" s="331">
        <f t="shared" si="254"/>
        <v>6987114</v>
      </c>
      <c r="AT195" s="331">
        <f t="shared" si="254"/>
        <v>407839</v>
      </c>
      <c r="AU195" s="331">
        <f t="shared" si="254"/>
        <v>97165</v>
      </c>
      <c r="AV195" s="369">
        <f t="shared" si="254"/>
        <v>40.116400000000006</v>
      </c>
      <c r="AW195" s="369">
        <f t="shared" si="254"/>
        <v>35.640800000000006</v>
      </c>
      <c r="AX195" s="402">
        <f t="shared" si="254"/>
        <v>4.4755999999999991</v>
      </c>
    </row>
    <row r="196" spans="4:50" ht="13.5" customHeight="1" thickBot="1" x14ac:dyDescent="0.25">
      <c r="D196" s="16"/>
      <c r="E196" s="12"/>
      <c r="F196" s="16"/>
      <c r="G196" s="36"/>
      <c r="H196" s="265">
        <v>3233</v>
      </c>
      <c r="I196" s="333">
        <f t="shared" ref="I196:AX196" si="255">SUMIF($F$12:$F$428,"=3233",I$12:I$428)</f>
        <v>6128785</v>
      </c>
      <c r="J196" s="334">
        <f t="shared" si="255"/>
        <v>4346382</v>
      </c>
      <c r="K196" s="334">
        <f t="shared" si="255"/>
        <v>115000</v>
      </c>
      <c r="L196" s="334">
        <f t="shared" si="255"/>
        <v>0</v>
      </c>
      <c r="M196" s="334">
        <f t="shared" si="255"/>
        <v>1507947</v>
      </c>
      <c r="N196" s="334">
        <f t="shared" si="255"/>
        <v>86928</v>
      </c>
      <c r="O196" s="334">
        <f t="shared" si="255"/>
        <v>72528</v>
      </c>
      <c r="P196" s="335">
        <f t="shared" si="255"/>
        <v>10.559999999999999</v>
      </c>
      <c r="Q196" s="335">
        <f t="shared" si="255"/>
        <v>6.1099999999999994</v>
      </c>
      <c r="R196" s="336">
        <f t="shared" si="255"/>
        <v>4.45</v>
      </c>
      <c r="S196" s="337">
        <f t="shared" si="255"/>
        <v>0</v>
      </c>
      <c r="T196" s="337">
        <f t="shared" si="255"/>
        <v>0</v>
      </c>
      <c r="U196" s="337">
        <f t="shared" si="255"/>
        <v>0</v>
      </c>
      <c r="V196" s="337">
        <f t="shared" si="255"/>
        <v>0</v>
      </c>
      <c r="W196" s="337">
        <f t="shared" si="255"/>
        <v>0</v>
      </c>
      <c r="X196" s="337">
        <f t="shared" si="255"/>
        <v>0</v>
      </c>
      <c r="Y196" s="337">
        <f t="shared" si="255"/>
        <v>0</v>
      </c>
      <c r="Z196" s="337">
        <f t="shared" si="255"/>
        <v>0</v>
      </c>
      <c r="AA196" s="337">
        <f t="shared" si="255"/>
        <v>0</v>
      </c>
      <c r="AB196" s="337">
        <f t="shared" si="255"/>
        <v>0</v>
      </c>
      <c r="AC196" s="337">
        <f t="shared" si="255"/>
        <v>0</v>
      </c>
      <c r="AD196" s="337">
        <f t="shared" si="255"/>
        <v>0</v>
      </c>
      <c r="AE196" s="337">
        <f t="shared" si="255"/>
        <v>0</v>
      </c>
      <c r="AF196" s="337">
        <f t="shared" si="255"/>
        <v>0</v>
      </c>
      <c r="AG196" s="370">
        <f t="shared" si="255"/>
        <v>0</v>
      </c>
      <c r="AH196" s="370">
        <f t="shared" si="255"/>
        <v>0</v>
      </c>
      <c r="AI196" s="370">
        <f t="shared" si="255"/>
        <v>0</v>
      </c>
      <c r="AJ196" s="370">
        <f t="shared" si="255"/>
        <v>0</v>
      </c>
      <c r="AK196" s="370">
        <f t="shared" si="255"/>
        <v>0</v>
      </c>
      <c r="AL196" s="370">
        <f t="shared" si="255"/>
        <v>0</v>
      </c>
      <c r="AM196" s="370">
        <f t="shared" si="255"/>
        <v>0</v>
      </c>
      <c r="AN196" s="367">
        <f t="shared" si="255"/>
        <v>0</v>
      </c>
      <c r="AO196" s="333">
        <f t="shared" si="255"/>
        <v>6128785</v>
      </c>
      <c r="AP196" s="337">
        <f t="shared" si="255"/>
        <v>4346382</v>
      </c>
      <c r="AQ196" s="337">
        <f t="shared" si="255"/>
        <v>115000</v>
      </c>
      <c r="AR196" s="337">
        <f t="shared" si="255"/>
        <v>0</v>
      </c>
      <c r="AS196" s="337">
        <f t="shared" si="255"/>
        <v>1507947</v>
      </c>
      <c r="AT196" s="337">
        <f t="shared" si="255"/>
        <v>86928</v>
      </c>
      <c r="AU196" s="337">
        <f t="shared" si="255"/>
        <v>72528</v>
      </c>
      <c r="AV196" s="370">
        <f t="shared" si="255"/>
        <v>10.559999999999999</v>
      </c>
      <c r="AW196" s="370">
        <f t="shared" si="255"/>
        <v>6.1099999999999994</v>
      </c>
      <c r="AX196" s="403">
        <f t="shared" si="255"/>
        <v>4.45</v>
      </c>
    </row>
    <row r="197" spans="4:50" ht="12.75" customHeight="1" x14ac:dyDescent="0.2">
      <c r="D197" s="12"/>
      <c r="E197" s="12"/>
      <c r="F197" s="12"/>
      <c r="G197" s="36"/>
      <c r="H197" s="12"/>
      <c r="I197" s="26"/>
      <c r="J197" s="26"/>
      <c r="K197" s="26"/>
      <c r="L197" s="26"/>
      <c r="M197" s="26"/>
      <c r="N197" s="26"/>
      <c r="O197" s="26"/>
      <c r="P197" s="7"/>
      <c r="Q197" s="7"/>
      <c r="R197" s="7"/>
    </row>
    <row r="199" spans="4:50" x14ac:dyDescent="0.2">
      <c r="I199" s="738"/>
      <c r="J199" s="738"/>
      <c r="K199" s="738"/>
      <c r="L199" s="738"/>
      <c r="M199" s="738"/>
      <c r="N199" s="738"/>
      <c r="O199" s="738"/>
      <c r="P199" s="738"/>
      <c r="Q199" s="738"/>
      <c r="R199" s="738"/>
      <c r="S199" s="738"/>
    </row>
    <row r="201" spans="4:50" x14ac:dyDescent="0.2">
      <c r="P201" s="15"/>
      <c r="Q201" s="15"/>
      <c r="R201" s="15"/>
    </row>
  </sheetData>
  <mergeCells count="24">
    <mergeCell ref="Z7:Z10"/>
    <mergeCell ref="AO8:AO10"/>
    <mergeCell ref="AP8:AU9"/>
    <mergeCell ref="AV8:AV10"/>
    <mergeCell ref="AG8:AH9"/>
    <mergeCell ref="AI8:AI9"/>
    <mergeCell ref="AJ8:AK9"/>
    <mergeCell ref="AL8:AN9"/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116"/>
  <sheetViews>
    <sheetView workbookViewId="0">
      <pane xSplit="8" ySplit="11" topLeftCell="AK90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RowHeight="12.75" x14ac:dyDescent="0.2"/>
  <cols>
    <col min="1" max="1" width="5" style="738" customWidth="1"/>
    <col min="2" max="2" width="7.140625" style="738" bestFit="1" customWidth="1"/>
    <col min="3" max="3" width="8.7109375" style="738" bestFit="1" customWidth="1"/>
    <col min="4" max="4" width="7.85546875" style="738" bestFit="1" customWidth="1"/>
    <col min="5" max="5" width="28.85546875" style="738" customWidth="1"/>
    <col min="6" max="6" width="4.42578125" style="738" bestFit="1" customWidth="1"/>
    <col min="7" max="7" width="10.28515625" style="78" bestFit="1" customWidth="1"/>
    <col min="8" max="8" width="8" style="738" customWidth="1"/>
    <col min="9" max="12" width="11" style="15" customWidth="1"/>
    <col min="13" max="13" width="11.7109375" style="15" customWidth="1"/>
    <col min="14" max="14" width="11.85546875" style="15" customWidth="1"/>
    <col min="15" max="15" width="12" style="15" customWidth="1"/>
    <col min="16" max="16" width="11.28515625" style="14" customWidth="1"/>
    <col min="17" max="17" width="8.42578125" style="14" customWidth="1"/>
    <col min="18" max="18" width="8.28515625" style="14" customWidth="1"/>
    <col min="19" max="19" width="9.140625" style="15" customWidth="1"/>
    <col min="20" max="20" width="9.140625" style="738" customWidth="1"/>
    <col min="21" max="21" width="10.140625" style="738" customWidth="1"/>
    <col min="22" max="25" width="9.140625" style="738" customWidth="1"/>
    <col min="26" max="26" width="10.140625" style="738" customWidth="1"/>
    <col min="27" max="32" width="9.140625" style="738" customWidth="1"/>
    <col min="33" max="40" width="9.140625" style="14" customWidth="1"/>
    <col min="41" max="41" width="11" style="738" customWidth="1"/>
    <col min="42" max="42" width="10" style="738" customWidth="1"/>
    <col min="43" max="43" width="9.140625" style="738" customWidth="1"/>
    <col min="44" max="44" width="11" style="738" customWidth="1"/>
    <col min="45" max="45" width="9.5703125" style="738" customWidth="1"/>
    <col min="46" max="46" width="9.140625" style="738" customWidth="1"/>
    <col min="47" max="47" width="9.140625" style="738"/>
    <col min="48" max="48" width="11.5703125" style="14" customWidth="1"/>
    <col min="49" max="50" width="9.140625" style="14"/>
    <col min="51" max="222" width="9.140625" style="738"/>
    <col min="223" max="223" width="7" style="738" customWidth="1"/>
    <col min="224" max="224" width="30.140625" style="738" customWidth="1"/>
    <col min="225" max="225" width="6.28515625" style="738" customWidth="1"/>
    <col min="226" max="226" width="31.42578125" style="738" customWidth="1"/>
    <col min="227" max="227" width="10.5703125" style="738" customWidth="1"/>
    <col min="228" max="228" width="10.42578125" style="738" customWidth="1"/>
    <col min="229" max="229" width="9.5703125" style="738" customWidth="1"/>
    <col min="230" max="230" width="8.42578125" style="738" customWidth="1"/>
    <col min="231" max="231" width="9" style="738" customWidth="1"/>
    <col min="232" max="232" width="10.42578125" style="738" customWidth="1"/>
    <col min="233" max="234" width="9.140625" style="738"/>
    <col min="235" max="235" width="10.28515625" style="738" customWidth="1"/>
    <col min="236" max="478" width="9.140625" style="738"/>
    <col min="479" max="479" width="7" style="738" customWidth="1"/>
    <col min="480" max="480" width="30.140625" style="738" customWidth="1"/>
    <col min="481" max="481" width="6.28515625" style="738" customWidth="1"/>
    <col min="482" max="482" width="31.42578125" style="738" customWidth="1"/>
    <col min="483" max="483" width="10.5703125" style="738" customWidth="1"/>
    <col min="484" max="484" width="10.42578125" style="738" customWidth="1"/>
    <col min="485" max="485" width="9.5703125" style="738" customWidth="1"/>
    <col min="486" max="486" width="8.42578125" style="738" customWidth="1"/>
    <col min="487" max="487" width="9" style="738" customWidth="1"/>
    <col min="488" max="488" width="10.42578125" style="738" customWidth="1"/>
    <col min="489" max="490" width="9.140625" style="738"/>
    <col min="491" max="491" width="10.28515625" style="738" customWidth="1"/>
    <col min="492" max="734" width="9.140625" style="738"/>
    <col min="735" max="735" width="7" style="738" customWidth="1"/>
    <col min="736" max="736" width="30.140625" style="738" customWidth="1"/>
    <col min="737" max="737" width="6.28515625" style="738" customWidth="1"/>
    <col min="738" max="738" width="31.42578125" style="738" customWidth="1"/>
    <col min="739" max="739" width="10.5703125" style="738" customWidth="1"/>
    <col min="740" max="740" width="10.42578125" style="738" customWidth="1"/>
    <col min="741" max="741" width="9.5703125" style="738" customWidth="1"/>
    <col min="742" max="742" width="8.42578125" style="738" customWidth="1"/>
    <col min="743" max="743" width="9" style="738" customWidth="1"/>
    <col min="744" max="744" width="10.42578125" style="738" customWidth="1"/>
    <col min="745" max="746" width="9.140625" style="738"/>
    <col min="747" max="747" width="10.28515625" style="738" customWidth="1"/>
    <col min="748" max="990" width="9.140625" style="738"/>
    <col min="991" max="991" width="7" style="738" customWidth="1"/>
    <col min="992" max="992" width="30.140625" style="738" customWidth="1"/>
    <col min="993" max="993" width="6.28515625" style="738" customWidth="1"/>
    <col min="994" max="994" width="31.42578125" style="738" customWidth="1"/>
    <col min="995" max="995" width="10.5703125" style="738" customWidth="1"/>
    <col min="996" max="996" width="10.42578125" style="738" customWidth="1"/>
    <col min="997" max="997" width="9.5703125" style="738" customWidth="1"/>
    <col min="998" max="998" width="8.42578125" style="738" customWidth="1"/>
    <col min="999" max="999" width="9" style="738" customWidth="1"/>
    <col min="1000" max="1000" width="10.42578125" style="738" customWidth="1"/>
    <col min="1001" max="1002" width="9.140625" style="738"/>
    <col min="1003" max="1003" width="10.28515625" style="738" customWidth="1"/>
    <col min="1004" max="1246" width="9.140625" style="738"/>
    <col min="1247" max="1247" width="7" style="738" customWidth="1"/>
    <col min="1248" max="1248" width="30.140625" style="738" customWidth="1"/>
    <col min="1249" max="1249" width="6.28515625" style="738" customWidth="1"/>
    <col min="1250" max="1250" width="31.42578125" style="738" customWidth="1"/>
    <col min="1251" max="1251" width="10.5703125" style="738" customWidth="1"/>
    <col min="1252" max="1252" width="10.42578125" style="738" customWidth="1"/>
    <col min="1253" max="1253" width="9.5703125" style="738" customWidth="1"/>
    <col min="1254" max="1254" width="8.42578125" style="738" customWidth="1"/>
    <col min="1255" max="1255" width="9" style="738" customWidth="1"/>
    <col min="1256" max="1256" width="10.42578125" style="738" customWidth="1"/>
    <col min="1257" max="1258" width="9.140625" style="738"/>
    <col min="1259" max="1259" width="10.28515625" style="738" customWidth="1"/>
    <col min="1260" max="1502" width="9.140625" style="738"/>
    <col min="1503" max="1503" width="7" style="738" customWidth="1"/>
    <col min="1504" max="1504" width="30.140625" style="738" customWidth="1"/>
    <col min="1505" max="1505" width="6.28515625" style="738" customWidth="1"/>
    <col min="1506" max="1506" width="31.42578125" style="738" customWidth="1"/>
    <col min="1507" max="1507" width="10.5703125" style="738" customWidth="1"/>
    <col min="1508" max="1508" width="10.42578125" style="738" customWidth="1"/>
    <col min="1509" max="1509" width="9.5703125" style="738" customWidth="1"/>
    <col min="1510" max="1510" width="8.42578125" style="738" customWidth="1"/>
    <col min="1511" max="1511" width="9" style="738" customWidth="1"/>
    <col min="1512" max="1512" width="10.42578125" style="738" customWidth="1"/>
    <col min="1513" max="1514" width="9.140625" style="738"/>
    <col min="1515" max="1515" width="10.28515625" style="738" customWidth="1"/>
    <col min="1516" max="1758" width="9.140625" style="738"/>
    <col min="1759" max="1759" width="7" style="738" customWidth="1"/>
    <col min="1760" max="1760" width="30.140625" style="738" customWidth="1"/>
    <col min="1761" max="1761" width="6.28515625" style="738" customWidth="1"/>
    <col min="1762" max="1762" width="31.42578125" style="738" customWidth="1"/>
    <col min="1763" max="1763" width="10.5703125" style="738" customWidth="1"/>
    <col min="1764" max="1764" width="10.42578125" style="738" customWidth="1"/>
    <col min="1765" max="1765" width="9.5703125" style="738" customWidth="1"/>
    <col min="1766" max="1766" width="8.42578125" style="738" customWidth="1"/>
    <col min="1767" max="1767" width="9" style="738" customWidth="1"/>
    <col min="1768" max="1768" width="10.42578125" style="738" customWidth="1"/>
    <col min="1769" max="1770" width="9.140625" style="738"/>
    <col min="1771" max="1771" width="10.28515625" style="738" customWidth="1"/>
    <col min="1772" max="2014" width="9.140625" style="738"/>
    <col min="2015" max="2015" width="7" style="738" customWidth="1"/>
    <col min="2016" max="2016" width="30.140625" style="738" customWidth="1"/>
    <col min="2017" max="2017" width="6.28515625" style="738" customWidth="1"/>
    <col min="2018" max="2018" width="31.42578125" style="738" customWidth="1"/>
    <col min="2019" max="2019" width="10.5703125" style="738" customWidth="1"/>
    <col min="2020" max="2020" width="10.42578125" style="738" customWidth="1"/>
    <col min="2021" max="2021" width="9.5703125" style="738" customWidth="1"/>
    <col min="2022" max="2022" width="8.42578125" style="738" customWidth="1"/>
    <col min="2023" max="2023" width="9" style="738" customWidth="1"/>
    <col min="2024" max="2024" width="10.42578125" style="738" customWidth="1"/>
    <col min="2025" max="2026" width="9.140625" style="738"/>
    <col min="2027" max="2027" width="10.28515625" style="738" customWidth="1"/>
    <col min="2028" max="2270" width="9.140625" style="738"/>
    <col min="2271" max="2271" width="7" style="738" customWidth="1"/>
    <col min="2272" max="2272" width="30.140625" style="738" customWidth="1"/>
    <col min="2273" max="2273" width="6.28515625" style="738" customWidth="1"/>
    <col min="2274" max="2274" width="31.42578125" style="738" customWidth="1"/>
    <col min="2275" max="2275" width="10.5703125" style="738" customWidth="1"/>
    <col min="2276" max="2276" width="10.42578125" style="738" customWidth="1"/>
    <col min="2277" max="2277" width="9.5703125" style="738" customWidth="1"/>
    <col min="2278" max="2278" width="8.42578125" style="738" customWidth="1"/>
    <col min="2279" max="2279" width="9" style="738" customWidth="1"/>
    <col min="2280" max="2280" width="10.42578125" style="738" customWidth="1"/>
    <col min="2281" max="2282" width="9.140625" style="738"/>
    <col min="2283" max="2283" width="10.28515625" style="738" customWidth="1"/>
    <col min="2284" max="2526" width="9.140625" style="738"/>
    <col min="2527" max="2527" width="7" style="738" customWidth="1"/>
    <col min="2528" max="2528" width="30.140625" style="738" customWidth="1"/>
    <col min="2529" max="2529" width="6.28515625" style="738" customWidth="1"/>
    <col min="2530" max="2530" width="31.42578125" style="738" customWidth="1"/>
    <col min="2531" max="2531" width="10.5703125" style="738" customWidth="1"/>
    <col min="2532" max="2532" width="10.42578125" style="738" customWidth="1"/>
    <col min="2533" max="2533" width="9.5703125" style="738" customWidth="1"/>
    <col min="2534" max="2534" width="8.42578125" style="738" customWidth="1"/>
    <col min="2535" max="2535" width="9" style="738" customWidth="1"/>
    <col min="2536" max="2536" width="10.42578125" style="738" customWidth="1"/>
    <col min="2537" max="2538" width="9.140625" style="738"/>
    <col min="2539" max="2539" width="10.28515625" style="738" customWidth="1"/>
    <col min="2540" max="2782" width="9.140625" style="738"/>
    <col min="2783" max="2783" width="7" style="738" customWidth="1"/>
    <col min="2784" max="2784" width="30.140625" style="738" customWidth="1"/>
    <col min="2785" max="2785" width="6.28515625" style="738" customWidth="1"/>
    <col min="2786" max="2786" width="31.42578125" style="738" customWidth="1"/>
    <col min="2787" max="2787" width="10.5703125" style="738" customWidth="1"/>
    <col min="2788" max="2788" width="10.42578125" style="738" customWidth="1"/>
    <col min="2789" max="2789" width="9.5703125" style="738" customWidth="1"/>
    <col min="2790" max="2790" width="8.42578125" style="738" customWidth="1"/>
    <col min="2791" max="2791" width="9" style="738" customWidth="1"/>
    <col min="2792" max="2792" width="10.42578125" style="738" customWidth="1"/>
    <col min="2793" max="2794" width="9.140625" style="738"/>
    <col min="2795" max="2795" width="10.28515625" style="738" customWidth="1"/>
    <col min="2796" max="3038" width="9.140625" style="738"/>
    <col min="3039" max="3039" width="7" style="738" customWidth="1"/>
    <col min="3040" max="3040" width="30.140625" style="738" customWidth="1"/>
    <col min="3041" max="3041" width="6.28515625" style="738" customWidth="1"/>
    <col min="3042" max="3042" width="31.42578125" style="738" customWidth="1"/>
    <col min="3043" max="3043" width="10.5703125" style="738" customWidth="1"/>
    <col min="3044" max="3044" width="10.42578125" style="738" customWidth="1"/>
    <col min="3045" max="3045" width="9.5703125" style="738" customWidth="1"/>
    <col min="3046" max="3046" width="8.42578125" style="738" customWidth="1"/>
    <col min="3047" max="3047" width="9" style="738" customWidth="1"/>
    <col min="3048" max="3048" width="10.42578125" style="738" customWidth="1"/>
    <col min="3049" max="3050" width="9.140625" style="738"/>
    <col min="3051" max="3051" width="10.28515625" style="738" customWidth="1"/>
    <col min="3052" max="3294" width="9.140625" style="738"/>
    <col min="3295" max="3295" width="7" style="738" customWidth="1"/>
    <col min="3296" max="3296" width="30.140625" style="738" customWidth="1"/>
    <col min="3297" max="3297" width="6.28515625" style="738" customWidth="1"/>
    <col min="3298" max="3298" width="31.42578125" style="738" customWidth="1"/>
    <col min="3299" max="3299" width="10.5703125" style="738" customWidth="1"/>
    <col min="3300" max="3300" width="10.42578125" style="738" customWidth="1"/>
    <col min="3301" max="3301" width="9.5703125" style="738" customWidth="1"/>
    <col min="3302" max="3302" width="8.42578125" style="738" customWidth="1"/>
    <col min="3303" max="3303" width="9" style="738" customWidth="1"/>
    <col min="3304" max="3304" width="10.42578125" style="738" customWidth="1"/>
    <col min="3305" max="3306" width="9.140625" style="738"/>
    <col min="3307" max="3307" width="10.28515625" style="738" customWidth="1"/>
    <col min="3308" max="3550" width="9.140625" style="738"/>
    <col min="3551" max="3551" width="7" style="738" customWidth="1"/>
    <col min="3552" max="3552" width="30.140625" style="738" customWidth="1"/>
    <col min="3553" max="3553" width="6.28515625" style="738" customWidth="1"/>
    <col min="3554" max="3554" width="31.42578125" style="738" customWidth="1"/>
    <col min="3555" max="3555" width="10.5703125" style="738" customWidth="1"/>
    <col min="3556" max="3556" width="10.42578125" style="738" customWidth="1"/>
    <col min="3557" max="3557" width="9.5703125" style="738" customWidth="1"/>
    <col min="3558" max="3558" width="8.42578125" style="738" customWidth="1"/>
    <col min="3559" max="3559" width="9" style="738" customWidth="1"/>
    <col min="3560" max="3560" width="10.42578125" style="738" customWidth="1"/>
    <col min="3561" max="3562" width="9.140625" style="738"/>
    <col min="3563" max="3563" width="10.28515625" style="738" customWidth="1"/>
    <col min="3564" max="3806" width="9.140625" style="738"/>
    <col min="3807" max="3807" width="7" style="738" customWidth="1"/>
    <col min="3808" max="3808" width="30.140625" style="738" customWidth="1"/>
    <col min="3809" max="3809" width="6.28515625" style="738" customWidth="1"/>
    <col min="3810" max="3810" width="31.42578125" style="738" customWidth="1"/>
    <col min="3811" max="3811" width="10.5703125" style="738" customWidth="1"/>
    <col min="3812" max="3812" width="10.42578125" style="738" customWidth="1"/>
    <col min="3813" max="3813" width="9.5703125" style="738" customWidth="1"/>
    <col min="3814" max="3814" width="8.42578125" style="738" customWidth="1"/>
    <col min="3815" max="3815" width="9" style="738" customWidth="1"/>
    <col min="3816" max="3816" width="10.42578125" style="738" customWidth="1"/>
    <col min="3817" max="3818" width="9.140625" style="738"/>
    <col min="3819" max="3819" width="10.28515625" style="738" customWidth="1"/>
    <col min="3820" max="4062" width="9.140625" style="738"/>
    <col min="4063" max="4063" width="7" style="738" customWidth="1"/>
    <col min="4064" max="4064" width="30.140625" style="738" customWidth="1"/>
    <col min="4065" max="4065" width="6.28515625" style="738" customWidth="1"/>
    <col min="4066" max="4066" width="31.42578125" style="738" customWidth="1"/>
    <col min="4067" max="4067" width="10.5703125" style="738" customWidth="1"/>
    <col min="4068" max="4068" width="10.42578125" style="738" customWidth="1"/>
    <col min="4069" max="4069" width="9.5703125" style="738" customWidth="1"/>
    <col min="4070" max="4070" width="8.42578125" style="738" customWidth="1"/>
    <col min="4071" max="4071" width="9" style="738" customWidth="1"/>
    <col min="4072" max="4072" width="10.42578125" style="738" customWidth="1"/>
    <col min="4073" max="4074" width="9.140625" style="738"/>
    <col min="4075" max="4075" width="10.28515625" style="738" customWidth="1"/>
    <col min="4076" max="4318" width="9.140625" style="738"/>
    <col min="4319" max="4319" width="7" style="738" customWidth="1"/>
    <col min="4320" max="4320" width="30.140625" style="738" customWidth="1"/>
    <col min="4321" max="4321" width="6.28515625" style="738" customWidth="1"/>
    <col min="4322" max="4322" width="31.42578125" style="738" customWidth="1"/>
    <col min="4323" max="4323" width="10.5703125" style="738" customWidth="1"/>
    <col min="4324" max="4324" width="10.42578125" style="738" customWidth="1"/>
    <col min="4325" max="4325" width="9.5703125" style="738" customWidth="1"/>
    <col min="4326" max="4326" width="8.42578125" style="738" customWidth="1"/>
    <col min="4327" max="4327" width="9" style="738" customWidth="1"/>
    <col min="4328" max="4328" width="10.42578125" style="738" customWidth="1"/>
    <col min="4329" max="4330" width="9.140625" style="738"/>
    <col min="4331" max="4331" width="10.28515625" style="738" customWidth="1"/>
    <col min="4332" max="4574" width="9.140625" style="738"/>
    <col min="4575" max="4575" width="7" style="738" customWidth="1"/>
    <col min="4576" max="4576" width="30.140625" style="738" customWidth="1"/>
    <col min="4577" max="4577" width="6.28515625" style="738" customWidth="1"/>
    <col min="4578" max="4578" width="31.42578125" style="738" customWidth="1"/>
    <col min="4579" max="4579" width="10.5703125" style="738" customWidth="1"/>
    <col min="4580" max="4580" width="10.42578125" style="738" customWidth="1"/>
    <col min="4581" max="4581" width="9.5703125" style="738" customWidth="1"/>
    <col min="4582" max="4582" width="8.42578125" style="738" customWidth="1"/>
    <col min="4583" max="4583" width="9" style="738" customWidth="1"/>
    <col min="4584" max="4584" width="10.42578125" style="738" customWidth="1"/>
    <col min="4585" max="4586" width="9.140625" style="738"/>
    <col min="4587" max="4587" width="10.28515625" style="738" customWidth="1"/>
    <col min="4588" max="4830" width="9.140625" style="738"/>
    <col min="4831" max="4831" width="7" style="738" customWidth="1"/>
    <col min="4832" max="4832" width="30.140625" style="738" customWidth="1"/>
    <col min="4833" max="4833" width="6.28515625" style="738" customWidth="1"/>
    <col min="4834" max="4834" width="31.42578125" style="738" customWidth="1"/>
    <col min="4835" max="4835" width="10.5703125" style="738" customWidth="1"/>
    <col min="4836" max="4836" width="10.42578125" style="738" customWidth="1"/>
    <col min="4837" max="4837" width="9.5703125" style="738" customWidth="1"/>
    <col min="4838" max="4838" width="8.42578125" style="738" customWidth="1"/>
    <col min="4839" max="4839" width="9" style="738" customWidth="1"/>
    <col min="4840" max="4840" width="10.42578125" style="738" customWidth="1"/>
    <col min="4841" max="4842" width="9.140625" style="738"/>
    <col min="4843" max="4843" width="10.28515625" style="738" customWidth="1"/>
    <col min="4844" max="5086" width="9.140625" style="738"/>
    <col min="5087" max="5087" width="7" style="738" customWidth="1"/>
    <col min="5088" max="5088" width="30.140625" style="738" customWidth="1"/>
    <col min="5089" max="5089" width="6.28515625" style="738" customWidth="1"/>
    <col min="5090" max="5090" width="31.42578125" style="738" customWidth="1"/>
    <col min="5091" max="5091" width="10.5703125" style="738" customWidth="1"/>
    <col min="5092" max="5092" width="10.42578125" style="738" customWidth="1"/>
    <col min="5093" max="5093" width="9.5703125" style="738" customWidth="1"/>
    <col min="5094" max="5094" width="8.42578125" style="738" customWidth="1"/>
    <col min="5095" max="5095" width="9" style="738" customWidth="1"/>
    <col min="5096" max="5096" width="10.42578125" style="738" customWidth="1"/>
    <col min="5097" max="5098" width="9.140625" style="738"/>
    <col min="5099" max="5099" width="10.28515625" style="738" customWidth="1"/>
    <col min="5100" max="5342" width="9.140625" style="738"/>
    <col min="5343" max="5343" width="7" style="738" customWidth="1"/>
    <col min="5344" max="5344" width="30.140625" style="738" customWidth="1"/>
    <col min="5345" max="5345" width="6.28515625" style="738" customWidth="1"/>
    <col min="5346" max="5346" width="31.42578125" style="738" customWidth="1"/>
    <col min="5347" max="5347" width="10.5703125" style="738" customWidth="1"/>
    <col min="5348" max="5348" width="10.42578125" style="738" customWidth="1"/>
    <col min="5349" max="5349" width="9.5703125" style="738" customWidth="1"/>
    <col min="5350" max="5350" width="8.42578125" style="738" customWidth="1"/>
    <col min="5351" max="5351" width="9" style="738" customWidth="1"/>
    <col min="5352" max="5352" width="10.42578125" style="738" customWidth="1"/>
    <col min="5353" max="5354" width="9.140625" style="738"/>
    <col min="5355" max="5355" width="10.28515625" style="738" customWidth="1"/>
    <col min="5356" max="5598" width="9.140625" style="738"/>
    <col min="5599" max="5599" width="7" style="738" customWidth="1"/>
    <col min="5600" max="5600" width="30.140625" style="738" customWidth="1"/>
    <col min="5601" max="5601" width="6.28515625" style="738" customWidth="1"/>
    <col min="5602" max="5602" width="31.42578125" style="738" customWidth="1"/>
    <col min="5603" max="5603" width="10.5703125" style="738" customWidth="1"/>
    <col min="5604" max="5604" width="10.42578125" style="738" customWidth="1"/>
    <col min="5605" max="5605" width="9.5703125" style="738" customWidth="1"/>
    <col min="5606" max="5606" width="8.42578125" style="738" customWidth="1"/>
    <col min="5607" max="5607" width="9" style="738" customWidth="1"/>
    <col min="5608" max="5608" width="10.42578125" style="738" customWidth="1"/>
    <col min="5609" max="5610" width="9.140625" style="738"/>
    <col min="5611" max="5611" width="10.28515625" style="738" customWidth="1"/>
    <col min="5612" max="5854" width="9.140625" style="738"/>
    <col min="5855" max="5855" width="7" style="738" customWidth="1"/>
    <col min="5856" max="5856" width="30.140625" style="738" customWidth="1"/>
    <col min="5857" max="5857" width="6.28515625" style="738" customWidth="1"/>
    <col min="5858" max="5858" width="31.42578125" style="738" customWidth="1"/>
    <col min="5859" max="5859" width="10.5703125" style="738" customWidth="1"/>
    <col min="5860" max="5860" width="10.42578125" style="738" customWidth="1"/>
    <col min="5861" max="5861" width="9.5703125" style="738" customWidth="1"/>
    <col min="5862" max="5862" width="8.42578125" style="738" customWidth="1"/>
    <col min="5863" max="5863" width="9" style="738" customWidth="1"/>
    <col min="5864" max="5864" width="10.42578125" style="738" customWidth="1"/>
    <col min="5865" max="5866" width="9.140625" style="738"/>
    <col min="5867" max="5867" width="10.28515625" style="738" customWidth="1"/>
    <col min="5868" max="6110" width="9.140625" style="738"/>
    <col min="6111" max="6111" width="7" style="738" customWidth="1"/>
    <col min="6112" max="6112" width="30.140625" style="738" customWidth="1"/>
    <col min="6113" max="6113" width="6.28515625" style="738" customWidth="1"/>
    <col min="6114" max="6114" width="31.42578125" style="738" customWidth="1"/>
    <col min="6115" max="6115" width="10.5703125" style="738" customWidth="1"/>
    <col min="6116" max="6116" width="10.42578125" style="738" customWidth="1"/>
    <col min="6117" max="6117" width="9.5703125" style="738" customWidth="1"/>
    <col min="6118" max="6118" width="8.42578125" style="738" customWidth="1"/>
    <col min="6119" max="6119" width="9" style="738" customWidth="1"/>
    <col min="6120" max="6120" width="10.42578125" style="738" customWidth="1"/>
    <col min="6121" max="6122" width="9.140625" style="738"/>
    <col min="6123" max="6123" width="10.28515625" style="738" customWidth="1"/>
    <col min="6124" max="6366" width="9.140625" style="738"/>
    <col min="6367" max="6367" width="7" style="738" customWidth="1"/>
    <col min="6368" max="6368" width="30.140625" style="738" customWidth="1"/>
    <col min="6369" max="6369" width="6.28515625" style="738" customWidth="1"/>
    <col min="6370" max="6370" width="31.42578125" style="738" customWidth="1"/>
    <col min="6371" max="6371" width="10.5703125" style="738" customWidth="1"/>
    <col min="6372" max="6372" width="10.42578125" style="738" customWidth="1"/>
    <col min="6373" max="6373" width="9.5703125" style="738" customWidth="1"/>
    <col min="6374" max="6374" width="8.42578125" style="738" customWidth="1"/>
    <col min="6375" max="6375" width="9" style="738" customWidth="1"/>
    <col min="6376" max="6376" width="10.42578125" style="738" customWidth="1"/>
    <col min="6377" max="6378" width="9.140625" style="738"/>
    <col min="6379" max="6379" width="10.28515625" style="738" customWidth="1"/>
    <col min="6380" max="6622" width="9.140625" style="738"/>
    <col min="6623" max="6623" width="7" style="738" customWidth="1"/>
    <col min="6624" max="6624" width="30.140625" style="738" customWidth="1"/>
    <col min="6625" max="6625" width="6.28515625" style="738" customWidth="1"/>
    <col min="6626" max="6626" width="31.42578125" style="738" customWidth="1"/>
    <col min="6627" max="6627" width="10.5703125" style="738" customWidth="1"/>
    <col min="6628" max="6628" width="10.42578125" style="738" customWidth="1"/>
    <col min="6629" max="6629" width="9.5703125" style="738" customWidth="1"/>
    <col min="6630" max="6630" width="8.42578125" style="738" customWidth="1"/>
    <col min="6631" max="6631" width="9" style="738" customWidth="1"/>
    <col min="6632" max="6632" width="10.42578125" style="738" customWidth="1"/>
    <col min="6633" max="6634" width="9.140625" style="738"/>
    <col min="6635" max="6635" width="10.28515625" style="738" customWidth="1"/>
    <col min="6636" max="6878" width="9.140625" style="738"/>
    <col min="6879" max="6879" width="7" style="738" customWidth="1"/>
    <col min="6880" max="6880" width="30.140625" style="738" customWidth="1"/>
    <col min="6881" max="6881" width="6.28515625" style="738" customWidth="1"/>
    <col min="6882" max="6882" width="31.42578125" style="738" customWidth="1"/>
    <col min="6883" max="6883" width="10.5703125" style="738" customWidth="1"/>
    <col min="6884" max="6884" width="10.42578125" style="738" customWidth="1"/>
    <col min="6885" max="6885" width="9.5703125" style="738" customWidth="1"/>
    <col min="6886" max="6886" width="8.42578125" style="738" customWidth="1"/>
    <col min="6887" max="6887" width="9" style="738" customWidth="1"/>
    <col min="6888" max="6888" width="10.42578125" style="738" customWidth="1"/>
    <col min="6889" max="6890" width="9.140625" style="738"/>
    <col min="6891" max="6891" width="10.28515625" style="738" customWidth="1"/>
    <col min="6892" max="7134" width="9.140625" style="738"/>
    <col min="7135" max="7135" width="7" style="738" customWidth="1"/>
    <col min="7136" max="7136" width="30.140625" style="738" customWidth="1"/>
    <col min="7137" max="7137" width="6.28515625" style="738" customWidth="1"/>
    <col min="7138" max="7138" width="31.42578125" style="738" customWidth="1"/>
    <col min="7139" max="7139" width="10.5703125" style="738" customWidth="1"/>
    <col min="7140" max="7140" width="10.42578125" style="738" customWidth="1"/>
    <col min="7141" max="7141" width="9.5703125" style="738" customWidth="1"/>
    <col min="7142" max="7142" width="8.42578125" style="738" customWidth="1"/>
    <col min="7143" max="7143" width="9" style="738" customWidth="1"/>
    <col min="7144" max="7144" width="10.42578125" style="738" customWidth="1"/>
    <col min="7145" max="7146" width="9.140625" style="738"/>
    <col min="7147" max="7147" width="10.28515625" style="738" customWidth="1"/>
    <col min="7148" max="7390" width="9.140625" style="738"/>
    <col min="7391" max="7391" width="7" style="738" customWidth="1"/>
    <col min="7392" max="7392" width="30.140625" style="738" customWidth="1"/>
    <col min="7393" max="7393" width="6.28515625" style="738" customWidth="1"/>
    <col min="7394" max="7394" width="31.42578125" style="738" customWidth="1"/>
    <col min="7395" max="7395" width="10.5703125" style="738" customWidth="1"/>
    <col min="7396" max="7396" width="10.42578125" style="738" customWidth="1"/>
    <col min="7397" max="7397" width="9.5703125" style="738" customWidth="1"/>
    <col min="7398" max="7398" width="8.42578125" style="738" customWidth="1"/>
    <col min="7399" max="7399" width="9" style="738" customWidth="1"/>
    <col min="7400" max="7400" width="10.42578125" style="738" customWidth="1"/>
    <col min="7401" max="7402" width="9.140625" style="738"/>
    <col min="7403" max="7403" width="10.28515625" style="738" customWidth="1"/>
    <col min="7404" max="7646" width="9.140625" style="738"/>
    <col min="7647" max="7647" width="7" style="738" customWidth="1"/>
    <col min="7648" max="7648" width="30.140625" style="738" customWidth="1"/>
    <col min="7649" max="7649" width="6.28515625" style="738" customWidth="1"/>
    <col min="7650" max="7650" width="31.42578125" style="738" customWidth="1"/>
    <col min="7651" max="7651" width="10.5703125" style="738" customWidth="1"/>
    <col min="7652" max="7652" width="10.42578125" style="738" customWidth="1"/>
    <col min="7653" max="7653" width="9.5703125" style="738" customWidth="1"/>
    <col min="7654" max="7654" width="8.42578125" style="738" customWidth="1"/>
    <col min="7655" max="7655" width="9" style="738" customWidth="1"/>
    <col min="7656" max="7656" width="10.42578125" style="738" customWidth="1"/>
    <col min="7657" max="7658" width="9.140625" style="738"/>
    <col min="7659" max="7659" width="10.28515625" style="738" customWidth="1"/>
    <col min="7660" max="7902" width="9.140625" style="738"/>
    <col min="7903" max="7903" width="7" style="738" customWidth="1"/>
    <col min="7904" max="7904" width="30.140625" style="738" customWidth="1"/>
    <col min="7905" max="7905" width="6.28515625" style="738" customWidth="1"/>
    <col min="7906" max="7906" width="31.42578125" style="738" customWidth="1"/>
    <col min="7907" max="7907" width="10.5703125" style="738" customWidth="1"/>
    <col min="7908" max="7908" width="10.42578125" style="738" customWidth="1"/>
    <col min="7909" max="7909" width="9.5703125" style="738" customWidth="1"/>
    <col min="7910" max="7910" width="8.42578125" style="738" customWidth="1"/>
    <col min="7911" max="7911" width="9" style="738" customWidth="1"/>
    <col min="7912" max="7912" width="10.42578125" style="738" customWidth="1"/>
    <col min="7913" max="7914" width="9.140625" style="738"/>
    <col min="7915" max="7915" width="10.28515625" style="738" customWidth="1"/>
    <col min="7916" max="8158" width="9.140625" style="738"/>
    <col min="8159" max="8159" width="7" style="738" customWidth="1"/>
    <col min="8160" max="8160" width="30.140625" style="738" customWidth="1"/>
    <col min="8161" max="8161" width="6.28515625" style="738" customWidth="1"/>
    <col min="8162" max="8162" width="31.42578125" style="738" customWidth="1"/>
    <col min="8163" max="8163" width="10.5703125" style="738" customWidth="1"/>
    <col min="8164" max="8164" width="10.42578125" style="738" customWidth="1"/>
    <col min="8165" max="8165" width="9.5703125" style="738" customWidth="1"/>
    <col min="8166" max="8166" width="8.42578125" style="738" customWidth="1"/>
    <col min="8167" max="8167" width="9" style="738" customWidth="1"/>
    <col min="8168" max="8168" width="10.42578125" style="738" customWidth="1"/>
    <col min="8169" max="8170" width="9.140625" style="738"/>
    <col min="8171" max="8171" width="10.28515625" style="738" customWidth="1"/>
    <col min="8172" max="8414" width="9.140625" style="738"/>
    <col min="8415" max="8415" width="7" style="738" customWidth="1"/>
    <col min="8416" max="8416" width="30.140625" style="738" customWidth="1"/>
    <col min="8417" max="8417" width="6.28515625" style="738" customWidth="1"/>
    <col min="8418" max="8418" width="31.42578125" style="738" customWidth="1"/>
    <col min="8419" max="8419" width="10.5703125" style="738" customWidth="1"/>
    <col min="8420" max="8420" width="10.42578125" style="738" customWidth="1"/>
    <col min="8421" max="8421" width="9.5703125" style="738" customWidth="1"/>
    <col min="8422" max="8422" width="8.42578125" style="738" customWidth="1"/>
    <col min="8423" max="8423" width="9" style="738" customWidth="1"/>
    <col min="8424" max="8424" width="10.42578125" style="738" customWidth="1"/>
    <col min="8425" max="8426" width="9.140625" style="738"/>
    <col min="8427" max="8427" width="10.28515625" style="738" customWidth="1"/>
    <col min="8428" max="8670" width="9.140625" style="738"/>
    <col min="8671" max="8671" width="7" style="738" customWidth="1"/>
    <col min="8672" max="8672" width="30.140625" style="738" customWidth="1"/>
    <col min="8673" max="8673" width="6.28515625" style="738" customWidth="1"/>
    <col min="8674" max="8674" width="31.42578125" style="738" customWidth="1"/>
    <col min="8675" max="8675" width="10.5703125" style="738" customWidth="1"/>
    <col min="8676" max="8676" width="10.42578125" style="738" customWidth="1"/>
    <col min="8677" max="8677" width="9.5703125" style="738" customWidth="1"/>
    <col min="8678" max="8678" width="8.42578125" style="738" customWidth="1"/>
    <col min="8679" max="8679" width="9" style="738" customWidth="1"/>
    <col min="8680" max="8680" width="10.42578125" style="738" customWidth="1"/>
    <col min="8681" max="8682" width="9.140625" style="738"/>
    <col min="8683" max="8683" width="10.28515625" style="738" customWidth="1"/>
    <col min="8684" max="8926" width="9.140625" style="738"/>
    <col min="8927" max="8927" width="7" style="738" customWidth="1"/>
    <col min="8928" max="8928" width="30.140625" style="738" customWidth="1"/>
    <col min="8929" max="8929" width="6.28515625" style="738" customWidth="1"/>
    <col min="8930" max="8930" width="31.42578125" style="738" customWidth="1"/>
    <col min="8931" max="8931" width="10.5703125" style="738" customWidth="1"/>
    <col min="8932" max="8932" width="10.42578125" style="738" customWidth="1"/>
    <col min="8933" max="8933" width="9.5703125" style="738" customWidth="1"/>
    <col min="8934" max="8934" width="8.42578125" style="738" customWidth="1"/>
    <col min="8935" max="8935" width="9" style="738" customWidth="1"/>
    <col min="8936" max="8936" width="10.42578125" style="738" customWidth="1"/>
    <col min="8937" max="8938" width="9.140625" style="738"/>
    <col min="8939" max="8939" width="10.28515625" style="738" customWidth="1"/>
    <col min="8940" max="9182" width="9.140625" style="738"/>
    <col min="9183" max="9183" width="7" style="738" customWidth="1"/>
    <col min="9184" max="9184" width="30.140625" style="738" customWidth="1"/>
    <col min="9185" max="9185" width="6.28515625" style="738" customWidth="1"/>
    <col min="9186" max="9186" width="31.42578125" style="738" customWidth="1"/>
    <col min="9187" max="9187" width="10.5703125" style="738" customWidth="1"/>
    <col min="9188" max="9188" width="10.42578125" style="738" customWidth="1"/>
    <col min="9189" max="9189" width="9.5703125" style="738" customWidth="1"/>
    <col min="9190" max="9190" width="8.42578125" style="738" customWidth="1"/>
    <col min="9191" max="9191" width="9" style="738" customWidth="1"/>
    <col min="9192" max="9192" width="10.42578125" style="738" customWidth="1"/>
    <col min="9193" max="9194" width="9.140625" style="738"/>
    <col min="9195" max="9195" width="10.28515625" style="738" customWidth="1"/>
    <col min="9196" max="9438" width="9.140625" style="738"/>
    <col min="9439" max="9439" width="7" style="738" customWidth="1"/>
    <col min="9440" max="9440" width="30.140625" style="738" customWidth="1"/>
    <col min="9441" max="9441" width="6.28515625" style="738" customWidth="1"/>
    <col min="9442" max="9442" width="31.42578125" style="738" customWidth="1"/>
    <col min="9443" max="9443" width="10.5703125" style="738" customWidth="1"/>
    <col min="9444" max="9444" width="10.42578125" style="738" customWidth="1"/>
    <col min="9445" max="9445" width="9.5703125" style="738" customWidth="1"/>
    <col min="9446" max="9446" width="8.42578125" style="738" customWidth="1"/>
    <col min="9447" max="9447" width="9" style="738" customWidth="1"/>
    <col min="9448" max="9448" width="10.42578125" style="738" customWidth="1"/>
    <col min="9449" max="9450" width="9.140625" style="738"/>
    <col min="9451" max="9451" width="10.28515625" style="738" customWidth="1"/>
    <col min="9452" max="9694" width="9.140625" style="738"/>
    <col min="9695" max="9695" width="7" style="738" customWidth="1"/>
    <col min="9696" max="9696" width="30.140625" style="738" customWidth="1"/>
    <col min="9697" max="9697" width="6.28515625" style="738" customWidth="1"/>
    <col min="9698" max="9698" width="31.42578125" style="738" customWidth="1"/>
    <col min="9699" max="9699" width="10.5703125" style="738" customWidth="1"/>
    <col min="9700" max="9700" width="10.42578125" style="738" customWidth="1"/>
    <col min="9701" max="9701" width="9.5703125" style="738" customWidth="1"/>
    <col min="9702" max="9702" width="8.42578125" style="738" customWidth="1"/>
    <col min="9703" max="9703" width="9" style="738" customWidth="1"/>
    <col min="9704" max="9704" width="10.42578125" style="738" customWidth="1"/>
    <col min="9705" max="9706" width="9.140625" style="738"/>
    <col min="9707" max="9707" width="10.28515625" style="738" customWidth="1"/>
    <col min="9708" max="9950" width="9.140625" style="738"/>
    <col min="9951" max="9951" width="7" style="738" customWidth="1"/>
    <col min="9952" max="9952" width="30.140625" style="738" customWidth="1"/>
    <col min="9953" max="9953" width="6.28515625" style="738" customWidth="1"/>
    <col min="9954" max="9954" width="31.42578125" style="738" customWidth="1"/>
    <col min="9955" max="9955" width="10.5703125" style="738" customWidth="1"/>
    <col min="9956" max="9956" width="10.42578125" style="738" customWidth="1"/>
    <col min="9957" max="9957" width="9.5703125" style="738" customWidth="1"/>
    <col min="9958" max="9958" width="8.42578125" style="738" customWidth="1"/>
    <col min="9959" max="9959" width="9" style="738" customWidth="1"/>
    <col min="9960" max="9960" width="10.42578125" style="738" customWidth="1"/>
    <col min="9961" max="9962" width="9.140625" style="738"/>
    <col min="9963" max="9963" width="10.28515625" style="738" customWidth="1"/>
    <col min="9964" max="10206" width="9.140625" style="738"/>
    <col min="10207" max="10207" width="7" style="738" customWidth="1"/>
    <col min="10208" max="10208" width="30.140625" style="738" customWidth="1"/>
    <col min="10209" max="10209" width="6.28515625" style="738" customWidth="1"/>
    <col min="10210" max="10210" width="31.42578125" style="738" customWidth="1"/>
    <col min="10211" max="10211" width="10.5703125" style="738" customWidth="1"/>
    <col min="10212" max="10212" width="10.42578125" style="738" customWidth="1"/>
    <col min="10213" max="10213" width="9.5703125" style="738" customWidth="1"/>
    <col min="10214" max="10214" width="8.42578125" style="738" customWidth="1"/>
    <col min="10215" max="10215" width="9" style="738" customWidth="1"/>
    <col min="10216" max="10216" width="10.42578125" style="738" customWidth="1"/>
    <col min="10217" max="10218" width="9.140625" style="738"/>
    <col min="10219" max="10219" width="10.28515625" style="738" customWidth="1"/>
    <col min="10220" max="10462" width="9.140625" style="738"/>
    <col min="10463" max="10463" width="7" style="738" customWidth="1"/>
    <col min="10464" max="10464" width="30.140625" style="738" customWidth="1"/>
    <col min="10465" max="10465" width="6.28515625" style="738" customWidth="1"/>
    <col min="10466" max="10466" width="31.42578125" style="738" customWidth="1"/>
    <col min="10467" max="10467" width="10.5703125" style="738" customWidth="1"/>
    <col min="10468" max="10468" width="10.42578125" style="738" customWidth="1"/>
    <col min="10469" max="10469" width="9.5703125" style="738" customWidth="1"/>
    <col min="10470" max="10470" width="8.42578125" style="738" customWidth="1"/>
    <col min="10471" max="10471" width="9" style="738" customWidth="1"/>
    <col min="10472" max="10472" width="10.42578125" style="738" customWidth="1"/>
    <col min="10473" max="10474" width="9.140625" style="738"/>
    <col min="10475" max="10475" width="10.28515625" style="738" customWidth="1"/>
    <col min="10476" max="10718" width="9.140625" style="738"/>
    <col min="10719" max="10719" width="7" style="738" customWidth="1"/>
    <col min="10720" max="10720" width="30.140625" style="738" customWidth="1"/>
    <col min="10721" max="10721" width="6.28515625" style="738" customWidth="1"/>
    <col min="10722" max="10722" width="31.42578125" style="738" customWidth="1"/>
    <col min="10723" max="10723" width="10.5703125" style="738" customWidth="1"/>
    <col min="10724" max="10724" width="10.42578125" style="738" customWidth="1"/>
    <col min="10725" max="10725" width="9.5703125" style="738" customWidth="1"/>
    <col min="10726" max="10726" width="8.42578125" style="738" customWidth="1"/>
    <col min="10727" max="10727" width="9" style="738" customWidth="1"/>
    <col min="10728" max="10728" width="10.42578125" style="738" customWidth="1"/>
    <col min="10729" max="10730" width="9.140625" style="738"/>
    <col min="10731" max="10731" width="10.28515625" style="738" customWidth="1"/>
    <col min="10732" max="10974" width="9.140625" style="738"/>
    <col min="10975" max="10975" width="7" style="738" customWidth="1"/>
    <col min="10976" max="10976" width="30.140625" style="738" customWidth="1"/>
    <col min="10977" max="10977" width="6.28515625" style="738" customWidth="1"/>
    <col min="10978" max="10978" width="31.42578125" style="738" customWidth="1"/>
    <col min="10979" max="10979" width="10.5703125" style="738" customWidth="1"/>
    <col min="10980" max="10980" width="10.42578125" style="738" customWidth="1"/>
    <col min="10981" max="10981" width="9.5703125" style="738" customWidth="1"/>
    <col min="10982" max="10982" width="8.42578125" style="738" customWidth="1"/>
    <col min="10983" max="10983" width="9" style="738" customWidth="1"/>
    <col min="10984" max="10984" width="10.42578125" style="738" customWidth="1"/>
    <col min="10985" max="10986" width="9.140625" style="738"/>
    <col min="10987" max="10987" width="10.28515625" style="738" customWidth="1"/>
    <col min="10988" max="11230" width="9.140625" style="738"/>
    <col min="11231" max="11231" width="7" style="738" customWidth="1"/>
    <col min="11232" max="11232" width="30.140625" style="738" customWidth="1"/>
    <col min="11233" max="11233" width="6.28515625" style="738" customWidth="1"/>
    <col min="11234" max="11234" width="31.42578125" style="738" customWidth="1"/>
    <col min="11235" max="11235" width="10.5703125" style="738" customWidth="1"/>
    <col min="11236" max="11236" width="10.42578125" style="738" customWidth="1"/>
    <col min="11237" max="11237" width="9.5703125" style="738" customWidth="1"/>
    <col min="11238" max="11238" width="8.42578125" style="738" customWidth="1"/>
    <col min="11239" max="11239" width="9" style="738" customWidth="1"/>
    <col min="11240" max="11240" width="10.42578125" style="738" customWidth="1"/>
    <col min="11241" max="11242" width="9.140625" style="738"/>
    <col min="11243" max="11243" width="10.28515625" style="738" customWidth="1"/>
    <col min="11244" max="11486" width="9.140625" style="738"/>
    <col min="11487" max="11487" width="7" style="738" customWidth="1"/>
    <col min="11488" max="11488" width="30.140625" style="738" customWidth="1"/>
    <col min="11489" max="11489" width="6.28515625" style="738" customWidth="1"/>
    <col min="11490" max="11490" width="31.42578125" style="738" customWidth="1"/>
    <col min="11491" max="11491" width="10.5703125" style="738" customWidth="1"/>
    <col min="11492" max="11492" width="10.42578125" style="738" customWidth="1"/>
    <col min="11493" max="11493" width="9.5703125" style="738" customWidth="1"/>
    <col min="11494" max="11494" width="8.42578125" style="738" customWidth="1"/>
    <col min="11495" max="11495" width="9" style="738" customWidth="1"/>
    <col min="11496" max="11496" width="10.42578125" style="738" customWidth="1"/>
    <col min="11497" max="11498" width="9.140625" style="738"/>
    <col min="11499" max="11499" width="10.28515625" style="738" customWidth="1"/>
    <col min="11500" max="11742" width="9.140625" style="738"/>
    <col min="11743" max="11743" width="7" style="738" customWidth="1"/>
    <col min="11744" max="11744" width="30.140625" style="738" customWidth="1"/>
    <col min="11745" max="11745" width="6.28515625" style="738" customWidth="1"/>
    <col min="11746" max="11746" width="31.42578125" style="738" customWidth="1"/>
    <col min="11747" max="11747" width="10.5703125" style="738" customWidth="1"/>
    <col min="11748" max="11748" width="10.42578125" style="738" customWidth="1"/>
    <col min="11749" max="11749" width="9.5703125" style="738" customWidth="1"/>
    <col min="11750" max="11750" width="8.42578125" style="738" customWidth="1"/>
    <col min="11751" max="11751" width="9" style="738" customWidth="1"/>
    <col min="11752" max="11752" width="10.42578125" style="738" customWidth="1"/>
    <col min="11753" max="11754" width="9.140625" style="738"/>
    <col min="11755" max="11755" width="10.28515625" style="738" customWidth="1"/>
    <col min="11756" max="11998" width="9.140625" style="738"/>
    <col min="11999" max="11999" width="7" style="738" customWidth="1"/>
    <col min="12000" max="12000" width="30.140625" style="738" customWidth="1"/>
    <col min="12001" max="12001" width="6.28515625" style="738" customWidth="1"/>
    <col min="12002" max="12002" width="31.42578125" style="738" customWidth="1"/>
    <col min="12003" max="12003" width="10.5703125" style="738" customWidth="1"/>
    <col min="12004" max="12004" width="10.42578125" style="738" customWidth="1"/>
    <col min="12005" max="12005" width="9.5703125" style="738" customWidth="1"/>
    <col min="12006" max="12006" width="8.42578125" style="738" customWidth="1"/>
    <col min="12007" max="12007" width="9" style="738" customWidth="1"/>
    <col min="12008" max="12008" width="10.42578125" style="738" customWidth="1"/>
    <col min="12009" max="12010" width="9.140625" style="738"/>
    <col min="12011" max="12011" width="10.28515625" style="738" customWidth="1"/>
    <col min="12012" max="12254" width="9.140625" style="738"/>
    <col min="12255" max="12255" width="7" style="738" customWidth="1"/>
    <col min="12256" max="12256" width="30.140625" style="738" customWidth="1"/>
    <col min="12257" max="12257" width="6.28515625" style="738" customWidth="1"/>
    <col min="12258" max="12258" width="31.42578125" style="738" customWidth="1"/>
    <col min="12259" max="12259" width="10.5703125" style="738" customWidth="1"/>
    <col min="12260" max="12260" width="10.42578125" style="738" customWidth="1"/>
    <col min="12261" max="12261" width="9.5703125" style="738" customWidth="1"/>
    <col min="12262" max="12262" width="8.42578125" style="738" customWidth="1"/>
    <col min="12263" max="12263" width="9" style="738" customWidth="1"/>
    <col min="12264" max="12264" width="10.42578125" style="738" customWidth="1"/>
    <col min="12265" max="12266" width="9.140625" style="738"/>
    <col min="12267" max="12267" width="10.28515625" style="738" customWidth="1"/>
    <col min="12268" max="12510" width="9.140625" style="738"/>
    <col min="12511" max="12511" width="7" style="738" customWidth="1"/>
    <col min="12512" max="12512" width="30.140625" style="738" customWidth="1"/>
    <col min="12513" max="12513" width="6.28515625" style="738" customWidth="1"/>
    <col min="12514" max="12514" width="31.42578125" style="738" customWidth="1"/>
    <col min="12515" max="12515" width="10.5703125" style="738" customWidth="1"/>
    <col min="12516" max="12516" width="10.42578125" style="738" customWidth="1"/>
    <col min="12517" max="12517" width="9.5703125" style="738" customWidth="1"/>
    <col min="12518" max="12518" width="8.42578125" style="738" customWidth="1"/>
    <col min="12519" max="12519" width="9" style="738" customWidth="1"/>
    <col min="12520" max="12520" width="10.42578125" style="738" customWidth="1"/>
    <col min="12521" max="12522" width="9.140625" style="738"/>
    <col min="12523" max="12523" width="10.28515625" style="738" customWidth="1"/>
    <col min="12524" max="12766" width="9.140625" style="738"/>
    <col min="12767" max="12767" width="7" style="738" customWidth="1"/>
    <col min="12768" max="12768" width="30.140625" style="738" customWidth="1"/>
    <col min="12769" max="12769" width="6.28515625" style="738" customWidth="1"/>
    <col min="12770" max="12770" width="31.42578125" style="738" customWidth="1"/>
    <col min="12771" max="12771" width="10.5703125" style="738" customWidth="1"/>
    <col min="12772" max="12772" width="10.42578125" style="738" customWidth="1"/>
    <col min="12773" max="12773" width="9.5703125" style="738" customWidth="1"/>
    <col min="12774" max="12774" width="8.42578125" style="738" customWidth="1"/>
    <col min="12775" max="12775" width="9" style="738" customWidth="1"/>
    <col min="12776" max="12776" width="10.42578125" style="738" customWidth="1"/>
    <col min="12777" max="12778" width="9.140625" style="738"/>
    <col min="12779" max="12779" width="10.28515625" style="738" customWidth="1"/>
    <col min="12780" max="13022" width="9.140625" style="738"/>
    <col min="13023" max="13023" width="7" style="738" customWidth="1"/>
    <col min="13024" max="13024" width="30.140625" style="738" customWidth="1"/>
    <col min="13025" max="13025" width="6.28515625" style="738" customWidth="1"/>
    <col min="13026" max="13026" width="31.42578125" style="738" customWidth="1"/>
    <col min="13027" max="13027" width="10.5703125" style="738" customWidth="1"/>
    <col min="13028" max="13028" width="10.42578125" style="738" customWidth="1"/>
    <col min="13029" max="13029" width="9.5703125" style="738" customWidth="1"/>
    <col min="13030" max="13030" width="8.42578125" style="738" customWidth="1"/>
    <col min="13031" max="13031" width="9" style="738" customWidth="1"/>
    <col min="13032" max="13032" width="10.42578125" style="738" customWidth="1"/>
    <col min="13033" max="13034" width="9.140625" style="738"/>
    <col min="13035" max="13035" width="10.28515625" style="738" customWidth="1"/>
    <col min="13036" max="13278" width="9.140625" style="738"/>
    <col min="13279" max="13279" width="7" style="738" customWidth="1"/>
    <col min="13280" max="13280" width="30.140625" style="738" customWidth="1"/>
    <col min="13281" max="13281" width="6.28515625" style="738" customWidth="1"/>
    <col min="13282" max="13282" width="31.42578125" style="738" customWidth="1"/>
    <col min="13283" max="13283" width="10.5703125" style="738" customWidth="1"/>
    <col min="13284" max="13284" width="10.42578125" style="738" customWidth="1"/>
    <col min="13285" max="13285" width="9.5703125" style="738" customWidth="1"/>
    <col min="13286" max="13286" width="8.42578125" style="738" customWidth="1"/>
    <col min="13287" max="13287" width="9" style="738" customWidth="1"/>
    <col min="13288" max="13288" width="10.42578125" style="738" customWidth="1"/>
    <col min="13289" max="13290" width="9.140625" style="738"/>
    <col min="13291" max="13291" width="10.28515625" style="738" customWidth="1"/>
    <col min="13292" max="13534" width="9.140625" style="738"/>
    <col min="13535" max="13535" width="7" style="738" customWidth="1"/>
    <col min="13536" max="13536" width="30.140625" style="738" customWidth="1"/>
    <col min="13537" max="13537" width="6.28515625" style="738" customWidth="1"/>
    <col min="13538" max="13538" width="31.42578125" style="738" customWidth="1"/>
    <col min="13539" max="13539" width="10.5703125" style="738" customWidth="1"/>
    <col min="13540" max="13540" width="10.42578125" style="738" customWidth="1"/>
    <col min="13541" max="13541" width="9.5703125" style="738" customWidth="1"/>
    <col min="13542" max="13542" width="8.42578125" style="738" customWidth="1"/>
    <col min="13543" max="13543" width="9" style="738" customWidth="1"/>
    <col min="13544" max="13544" width="10.42578125" style="738" customWidth="1"/>
    <col min="13545" max="13546" width="9.140625" style="738"/>
    <col min="13547" max="13547" width="10.28515625" style="738" customWidth="1"/>
    <col min="13548" max="13790" width="9.140625" style="738"/>
    <col min="13791" max="13791" width="7" style="738" customWidth="1"/>
    <col min="13792" max="13792" width="30.140625" style="738" customWidth="1"/>
    <col min="13793" max="13793" width="6.28515625" style="738" customWidth="1"/>
    <col min="13794" max="13794" width="31.42578125" style="738" customWidth="1"/>
    <col min="13795" max="13795" width="10.5703125" style="738" customWidth="1"/>
    <col min="13796" max="13796" width="10.42578125" style="738" customWidth="1"/>
    <col min="13797" max="13797" width="9.5703125" style="738" customWidth="1"/>
    <col min="13798" max="13798" width="8.42578125" style="738" customWidth="1"/>
    <col min="13799" max="13799" width="9" style="738" customWidth="1"/>
    <col min="13800" max="13800" width="10.42578125" style="738" customWidth="1"/>
    <col min="13801" max="13802" width="9.140625" style="738"/>
    <col min="13803" max="13803" width="10.28515625" style="738" customWidth="1"/>
    <col min="13804" max="14046" width="9.140625" style="738"/>
    <col min="14047" max="14047" width="7" style="738" customWidth="1"/>
    <col min="14048" max="14048" width="30.140625" style="738" customWidth="1"/>
    <col min="14049" max="14049" width="6.28515625" style="738" customWidth="1"/>
    <col min="14050" max="14050" width="31.42578125" style="738" customWidth="1"/>
    <col min="14051" max="14051" width="10.5703125" style="738" customWidth="1"/>
    <col min="14052" max="14052" width="10.42578125" style="738" customWidth="1"/>
    <col min="14053" max="14053" width="9.5703125" style="738" customWidth="1"/>
    <col min="14054" max="14054" width="8.42578125" style="738" customWidth="1"/>
    <col min="14055" max="14055" width="9" style="738" customWidth="1"/>
    <col min="14056" max="14056" width="10.42578125" style="738" customWidth="1"/>
    <col min="14057" max="14058" width="9.140625" style="738"/>
    <col min="14059" max="14059" width="10.28515625" style="738" customWidth="1"/>
    <col min="14060" max="14302" width="9.140625" style="738"/>
    <col min="14303" max="14303" width="7" style="738" customWidth="1"/>
    <col min="14304" max="14304" width="30.140625" style="738" customWidth="1"/>
    <col min="14305" max="14305" width="6.28515625" style="738" customWidth="1"/>
    <col min="14306" max="14306" width="31.42578125" style="738" customWidth="1"/>
    <col min="14307" max="14307" width="10.5703125" style="738" customWidth="1"/>
    <col min="14308" max="14308" width="10.42578125" style="738" customWidth="1"/>
    <col min="14309" max="14309" width="9.5703125" style="738" customWidth="1"/>
    <col min="14310" max="14310" width="8.42578125" style="738" customWidth="1"/>
    <col min="14311" max="14311" width="9" style="738" customWidth="1"/>
    <col min="14312" max="14312" width="10.42578125" style="738" customWidth="1"/>
    <col min="14313" max="14314" width="9.140625" style="738"/>
    <col min="14315" max="14315" width="10.28515625" style="738" customWidth="1"/>
    <col min="14316" max="14558" width="9.140625" style="738"/>
    <col min="14559" max="14559" width="7" style="738" customWidth="1"/>
    <col min="14560" max="14560" width="30.140625" style="738" customWidth="1"/>
    <col min="14561" max="14561" width="6.28515625" style="738" customWidth="1"/>
    <col min="14562" max="14562" width="31.42578125" style="738" customWidth="1"/>
    <col min="14563" max="14563" width="10.5703125" style="738" customWidth="1"/>
    <col min="14564" max="14564" width="10.42578125" style="738" customWidth="1"/>
    <col min="14565" max="14565" width="9.5703125" style="738" customWidth="1"/>
    <col min="14566" max="14566" width="8.42578125" style="738" customWidth="1"/>
    <col min="14567" max="14567" width="9" style="738" customWidth="1"/>
    <col min="14568" max="14568" width="10.42578125" style="738" customWidth="1"/>
    <col min="14569" max="14570" width="9.140625" style="738"/>
    <col min="14571" max="14571" width="10.28515625" style="738" customWidth="1"/>
    <col min="14572" max="14814" width="9.140625" style="738"/>
    <col min="14815" max="14815" width="7" style="738" customWidth="1"/>
    <col min="14816" max="14816" width="30.140625" style="738" customWidth="1"/>
    <col min="14817" max="14817" width="6.28515625" style="738" customWidth="1"/>
    <col min="14818" max="14818" width="31.42578125" style="738" customWidth="1"/>
    <col min="14819" max="14819" width="10.5703125" style="738" customWidth="1"/>
    <col min="14820" max="14820" width="10.42578125" style="738" customWidth="1"/>
    <col min="14821" max="14821" width="9.5703125" style="738" customWidth="1"/>
    <col min="14822" max="14822" width="8.42578125" style="738" customWidth="1"/>
    <col min="14823" max="14823" width="9" style="738" customWidth="1"/>
    <col min="14824" max="14824" width="10.42578125" style="738" customWidth="1"/>
    <col min="14825" max="14826" width="9.140625" style="738"/>
    <col min="14827" max="14827" width="10.28515625" style="738" customWidth="1"/>
    <col min="14828" max="15070" width="9.140625" style="738"/>
    <col min="15071" max="15071" width="7" style="738" customWidth="1"/>
    <col min="15072" max="15072" width="30.140625" style="738" customWidth="1"/>
    <col min="15073" max="15073" width="6.28515625" style="738" customWidth="1"/>
    <col min="15074" max="15074" width="31.42578125" style="738" customWidth="1"/>
    <col min="15075" max="15075" width="10.5703125" style="738" customWidth="1"/>
    <col min="15076" max="15076" width="10.42578125" style="738" customWidth="1"/>
    <col min="15077" max="15077" width="9.5703125" style="738" customWidth="1"/>
    <col min="15078" max="15078" width="8.42578125" style="738" customWidth="1"/>
    <col min="15079" max="15079" width="9" style="738" customWidth="1"/>
    <col min="15080" max="15080" width="10.42578125" style="738" customWidth="1"/>
    <col min="15081" max="15082" width="9.140625" style="738"/>
    <col min="15083" max="15083" width="10.28515625" style="738" customWidth="1"/>
    <col min="15084" max="15326" width="9.140625" style="738"/>
    <col min="15327" max="15327" width="7" style="738" customWidth="1"/>
    <col min="15328" max="15328" width="30.140625" style="738" customWidth="1"/>
    <col min="15329" max="15329" width="6.28515625" style="738" customWidth="1"/>
    <col min="15330" max="15330" width="31.42578125" style="738" customWidth="1"/>
    <col min="15331" max="15331" width="10.5703125" style="738" customWidth="1"/>
    <col min="15332" max="15332" width="10.42578125" style="738" customWidth="1"/>
    <col min="15333" max="15333" width="9.5703125" style="738" customWidth="1"/>
    <col min="15334" max="15334" width="8.42578125" style="738" customWidth="1"/>
    <col min="15335" max="15335" width="9" style="738" customWidth="1"/>
    <col min="15336" max="15336" width="10.42578125" style="738" customWidth="1"/>
    <col min="15337" max="15338" width="9.140625" style="738"/>
    <col min="15339" max="15339" width="10.28515625" style="738" customWidth="1"/>
    <col min="15340" max="15582" width="9.140625" style="738"/>
    <col min="15583" max="15583" width="7" style="738" customWidth="1"/>
    <col min="15584" max="15584" width="30.140625" style="738" customWidth="1"/>
    <col min="15585" max="15585" width="6.28515625" style="738" customWidth="1"/>
    <col min="15586" max="15586" width="31.42578125" style="738" customWidth="1"/>
    <col min="15587" max="15587" width="10.5703125" style="738" customWidth="1"/>
    <col min="15588" max="15588" width="10.42578125" style="738" customWidth="1"/>
    <col min="15589" max="15589" width="9.5703125" style="738" customWidth="1"/>
    <col min="15590" max="15590" width="8.42578125" style="738" customWidth="1"/>
    <col min="15591" max="15591" width="9" style="738" customWidth="1"/>
    <col min="15592" max="15592" width="10.42578125" style="738" customWidth="1"/>
    <col min="15593" max="15594" width="9.140625" style="738"/>
    <col min="15595" max="15595" width="10.28515625" style="738" customWidth="1"/>
    <col min="15596" max="15838" width="9.140625" style="738"/>
    <col min="15839" max="15839" width="7" style="738" customWidth="1"/>
    <col min="15840" max="15840" width="30.140625" style="738" customWidth="1"/>
    <col min="15841" max="15841" width="6.28515625" style="738" customWidth="1"/>
    <col min="15842" max="15842" width="31.42578125" style="738" customWidth="1"/>
    <col min="15843" max="15843" width="10.5703125" style="738" customWidth="1"/>
    <col min="15844" max="15844" width="10.42578125" style="738" customWidth="1"/>
    <col min="15845" max="15845" width="9.5703125" style="738" customWidth="1"/>
    <col min="15846" max="15846" width="8.42578125" style="738" customWidth="1"/>
    <col min="15847" max="15847" width="9" style="738" customWidth="1"/>
    <col min="15848" max="15848" width="10.42578125" style="738" customWidth="1"/>
    <col min="15849" max="15850" width="9.140625" style="738"/>
    <col min="15851" max="15851" width="10.28515625" style="738" customWidth="1"/>
    <col min="15852" max="16094" width="9.140625" style="738"/>
    <col min="16095" max="16095" width="7" style="738" customWidth="1"/>
    <col min="16096" max="16096" width="30.140625" style="738" customWidth="1"/>
    <col min="16097" max="16097" width="6.28515625" style="738" customWidth="1"/>
    <col min="16098" max="16098" width="31.42578125" style="738" customWidth="1"/>
    <col min="16099" max="16099" width="10.5703125" style="738" customWidth="1"/>
    <col min="16100" max="16100" width="10.42578125" style="738" customWidth="1"/>
    <col min="16101" max="16101" width="9.5703125" style="738" customWidth="1"/>
    <col min="16102" max="16102" width="8.42578125" style="738" customWidth="1"/>
    <col min="16103" max="16103" width="9" style="738" customWidth="1"/>
    <col min="16104" max="16104" width="10.42578125" style="738" customWidth="1"/>
    <col min="16105" max="16106" width="9.140625" style="738"/>
    <col min="16107" max="16107" width="10.28515625" style="738" customWidth="1"/>
    <col min="16108" max="16384" width="9.140625" style="738"/>
  </cols>
  <sheetData>
    <row r="1" spans="1:50" ht="15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5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.75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.75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5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customHeight="1" thickBot="1" x14ac:dyDescent="0.3">
      <c r="A7" s="203"/>
      <c r="B7" s="460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.75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3.5" thickBot="1" x14ac:dyDescent="0.25">
      <c r="A9" s="462" t="s">
        <v>837</v>
      </c>
      <c r="D9" s="462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51.75" customHeight="1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7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6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9" t="s">
        <v>313</v>
      </c>
      <c r="AL11" s="747" t="s">
        <v>312</v>
      </c>
      <c r="AM11" s="413" t="s">
        <v>313</v>
      </c>
      <c r="AN11" s="414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x14ac:dyDescent="0.2">
      <c r="A12" s="705">
        <v>1</v>
      </c>
      <c r="B12" s="706">
        <v>3440</v>
      </c>
      <c r="C12" s="706">
        <v>600078078</v>
      </c>
      <c r="D12" s="706">
        <v>72743441</v>
      </c>
      <c r="E12" s="707" t="s">
        <v>86</v>
      </c>
      <c r="F12" s="706">
        <v>3111</v>
      </c>
      <c r="G12" s="708" t="s">
        <v>317</v>
      </c>
      <c r="H12" s="709" t="s">
        <v>283</v>
      </c>
      <c r="I12" s="473">
        <v>10241699</v>
      </c>
      <c r="J12" s="474">
        <v>7327010</v>
      </c>
      <c r="K12" s="474">
        <v>140000</v>
      </c>
      <c r="L12" s="474">
        <v>0</v>
      </c>
      <c r="M12" s="474">
        <v>2523849</v>
      </c>
      <c r="N12" s="474">
        <v>146540</v>
      </c>
      <c r="O12" s="474">
        <v>104300</v>
      </c>
      <c r="P12" s="476">
        <v>17.034499999999998</v>
      </c>
      <c r="Q12" s="477">
        <v>12.4</v>
      </c>
      <c r="R12" s="478">
        <v>4.6344999999999983</v>
      </c>
      <c r="S12" s="547">
        <f>W12*-1</f>
        <v>0</v>
      </c>
      <c r="T12" s="485">
        <v>0</v>
      </c>
      <c r="U12" s="485">
        <v>-14728</v>
      </c>
      <c r="V12" s="485">
        <f>SUM(S12:U12)</f>
        <v>-14728</v>
      </c>
      <c r="W12" s="485">
        <v>0</v>
      </c>
      <c r="X12" s="485">
        <v>0</v>
      </c>
      <c r="Y12" s="485">
        <f>SUM(W12:X12)</f>
        <v>0</v>
      </c>
      <c r="Z12" s="485">
        <f>V12+Y12</f>
        <v>-14728</v>
      </c>
      <c r="AA12" s="319">
        <f>ROUND((V12+W12)*33.8%,0)</f>
        <v>-4978</v>
      </c>
      <c r="AB12" s="261">
        <f>ROUND(V12*2%,0)</f>
        <v>-295</v>
      </c>
      <c r="AC12" s="485">
        <v>0</v>
      </c>
      <c r="AD12" s="485">
        <v>20001</v>
      </c>
      <c r="AE12" s="485">
        <f>SUM(AC12:AD12)</f>
        <v>20001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524">
        <f>SUM(AL12:AM12)</f>
        <v>0</v>
      </c>
      <c r="AO12" s="525">
        <f>I12+AF12</f>
        <v>10241699</v>
      </c>
      <c r="AP12" s="480">
        <f>J12+V12</f>
        <v>7312282</v>
      </c>
      <c r="AQ12" s="480">
        <f>K12+Y12</f>
        <v>140000</v>
      </c>
      <c r="AR12" s="480">
        <f>L12</f>
        <v>0</v>
      </c>
      <c r="AS12" s="480">
        <f t="shared" ref="AS12:AT14" si="0">M12+AA12</f>
        <v>2518871</v>
      </c>
      <c r="AT12" s="480">
        <f t="shared" si="0"/>
        <v>146245</v>
      </c>
      <c r="AU12" s="480">
        <f>O12+AE12</f>
        <v>124301</v>
      </c>
      <c r="AV12" s="482">
        <f>P12+AN12</f>
        <v>17.034499999999998</v>
      </c>
      <c r="AW12" s="482">
        <f t="shared" ref="AW12:AX14" si="1">Q12+AL12</f>
        <v>12.4</v>
      </c>
      <c r="AX12" s="483">
        <f t="shared" si="1"/>
        <v>4.6344999999999983</v>
      </c>
    </row>
    <row r="13" spans="1:50" x14ac:dyDescent="0.2">
      <c r="A13" s="710">
        <v>1</v>
      </c>
      <c r="B13" s="711">
        <v>3440</v>
      </c>
      <c r="C13" s="711">
        <v>600078078</v>
      </c>
      <c r="D13" s="711">
        <v>72743441</v>
      </c>
      <c r="E13" s="712" t="s">
        <v>86</v>
      </c>
      <c r="F13" s="711">
        <v>3111</v>
      </c>
      <c r="G13" s="713" t="s">
        <v>318</v>
      </c>
      <c r="H13" s="714" t="s">
        <v>284</v>
      </c>
      <c r="I13" s="495">
        <v>250017</v>
      </c>
      <c r="J13" s="496">
        <v>183002</v>
      </c>
      <c r="K13" s="475">
        <v>0</v>
      </c>
      <c r="L13" s="475">
        <v>0</v>
      </c>
      <c r="M13" s="319">
        <v>61855</v>
      </c>
      <c r="N13" s="319">
        <v>3660</v>
      </c>
      <c r="O13" s="496">
        <v>1500</v>
      </c>
      <c r="P13" s="497">
        <v>0.59</v>
      </c>
      <c r="Q13" s="412">
        <v>0.59</v>
      </c>
      <c r="R13" s="498">
        <v>0</v>
      </c>
      <c r="S13" s="499">
        <f>W13*-1</f>
        <v>0</v>
      </c>
      <c r="T13" s="486">
        <v>0</v>
      </c>
      <c r="U13" s="486">
        <v>0</v>
      </c>
      <c r="V13" s="486">
        <f>SUM(S13:U13)</f>
        <v>0</v>
      </c>
      <c r="W13" s="486">
        <v>0</v>
      </c>
      <c r="X13" s="486">
        <v>0</v>
      </c>
      <c r="Y13" s="486">
        <f>SUM(W13:X13)</f>
        <v>0</v>
      </c>
      <c r="Z13" s="486">
        <f>V13+Y13</f>
        <v>0</v>
      </c>
      <c r="AA13" s="319">
        <f>ROUND((V13+W13)*33.8%,0)</f>
        <v>0</v>
      </c>
      <c r="AB13" s="178">
        <f>ROUND(V13*2%,0)</f>
        <v>0</v>
      </c>
      <c r="AC13" s="486">
        <v>0</v>
      </c>
      <c r="AD13" s="486">
        <v>0</v>
      </c>
      <c r="AE13" s="486">
        <f t="shared" ref="AE13:AE76" si="2">SUM(AC13:AD13)</f>
        <v>0</v>
      </c>
      <c r="AF13" s="486">
        <f t="shared" ref="AF13:AF76" si="3">Z13+AA13+AB13+AE13</f>
        <v>0</v>
      </c>
      <c r="AG13" s="501">
        <v>0</v>
      </c>
      <c r="AH13" s="501">
        <v>0</v>
      </c>
      <c r="AI13" s="501">
        <v>0</v>
      </c>
      <c r="AJ13" s="501">
        <v>0</v>
      </c>
      <c r="AK13" s="501">
        <v>0</v>
      </c>
      <c r="AL13" s="501">
        <f>AG13+AI13+AJ13</f>
        <v>0</v>
      </c>
      <c r="AM13" s="501">
        <f>AH13+AK13</f>
        <v>0</v>
      </c>
      <c r="AN13" s="529">
        <f t="shared" ref="AN13" si="4">SUM(AL13:AM13)</f>
        <v>0</v>
      </c>
      <c r="AO13" s="530">
        <f>I13+AF13</f>
        <v>250017</v>
      </c>
      <c r="AP13" s="486">
        <f>J13+V13</f>
        <v>183002</v>
      </c>
      <c r="AQ13" s="486">
        <f>K13+Y13</f>
        <v>0</v>
      </c>
      <c r="AR13" s="486">
        <f>L13</f>
        <v>0</v>
      </c>
      <c r="AS13" s="486">
        <f t="shared" si="0"/>
        <v>61855</v>
      </c>
      <c r="AT13" s="486">
        <f t="shared" si="0"/>
        <v>3660</v>
      </c>
      <c r="AU13" s="486">
        <f>O13+AE13</f>
        <v>1500</v>
      </c>
      <c r="AV13" s="501">
        <f>P13+AN13</f>
        <v>0.59</v>
      </c>
      <c r="AW13" s="501">
        <f t="shared" si="1"/>
        <v>0.59</v>
      </c>
      <c r="AX13" s="502">
        <f t="shared" si="1"/>
        <v>0</v>
      </c>
    </row>
    <row r="14" spans="1:50" x14ac:dyDescent="0.2">
      <c r="A14" s="710">
        <v>1</v>
      </c>
      <c r="B14" s="711">
        <v>3440</v>
      </c>
      <c r="C14" s="711">
        <v>600078078</v>
      </c>
      <c r="D14" s="711">
        <v>72743441</v>
      </c>
      <c r="E14" s="712" t="s">
        <v>86</v>
      </c>
      <c r="F14" s="711">
        <v>3141</v>
      </c>
      <c r="G14" s="713" t="s">
        <v>321</v>
      </c>
      <c r="H14" s="714" t="s">
        <v>284</v>
      </c>
      <c r="I14" s="495">
        <v>1840830</v>
      </c>
      <c r="J14" s="496">
        <v>1289733</v>
      </c>
      <c r="K14" s="475">
        <v>60000</v>
      </c>
      <c r="L14" s="475">
        <v>0</v>
      </c>
      <c r="M14" s="319">
        <v>456210</v>
      </c>
      <c r="N14" s="319">
        <v>25795</v>
      </c>
      <c r="O14" s="496">
        <v>9092</v>
      </c>
      <c r="P14" s="497">
        <v>4.4399999999999995</v>
      </c>
      <c r="Q14" s="412">
        <v>0</v>
      </c>
      <c r="R14" s="498">
        <v>4.4399999999999995</v>
      </c>
      <c r="S14" s="499">
        <f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si="2"/>
        <v>0</v>
      </c>
      <c r="AF14" s="486">
        <f t="shared" si="3"/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29">
        <f t="shared" ref="AN14:AN77" si="5">SUM(AL14:AM14)</f>
        <v>0</v>
      </c>
      <c r="AO14" s="530">
        <f>I14+AF14</f>
        <v>1840830</v>
      </c>
      <c r="AP14" s="486">
        <f>J14+V14</f>
        <v>1289733</v>
      </c>
      <c r="AQ14" s="486">
        <f>K14+Y14</f>
        <v>60000</v>
      </c>
      <c r="AR14" s="486">
        <f>L14</f>
        <v>0</v>
      </c>
      <c r="AS14" s="486">
        <f t="shared" si="0"/>
        <v>456210</v>
      </c>
      <c r="AT14" s="486">
        <f t="shared" si="0"/>
        <v>25795</v>
      </c>
      <c r="AU14" s="486">
        <f>O14+AE14</f>
        <v>9092</v>
      </c>
      <c r="AV14" s="501">
        <f>P14+AN14</f>
        <v>4.4399999999999995</v>
      </c>
      <c r="AW14" s="501">
        <f t="shared" si="1"/>
        <v>0</v>
      </c>
      <c r="AX14" s="502">
        <f t="shared" si="1"/>
        <v>4.4399999999999995</v>
      </c>
    </row>
    <row r="15" spans="1:50" x14ac:dyDescent="0.2">
      <c r="A15" s="282">
        <v>1</v>
      </c>
      <c r="B15" s="27">
        <v>3440</v>
      </c>
      <c r="C15" s="27">
        <v>600078078</v>
      </c>
      <c r="D15" s="27">
        <v>72743441</v>
      </c>
      <c r="E15" s="292" t="s">
        <v>87</v>
      </c>
      <c r="F15" s="27"/>
      <c r="G15" s="281"/>
      <c r="H15" s="377"/>
      <c r="I15" s="6">
        <v>12332546</v>
      </c>
      <c r="J15" s="10">
        <v>8799745</v>
      </c>
      <c r="K15" s="10">
        <v>200000</v>
      </c>
      <c r="L15" s="10">
        <v>0</v>
      </c>
      <c r="M15" s="10">
        <v>3041914</v>
      </c>
      <c r="N15" s="10">
        <v>175995</v>
      </c>
      <c r="O15" s="10">
        <v>114892</v>
      </c>
      <c r="P15" s="11">
        <v>22.064499999999995</v>
      </c>
      <c r="Q15" s="11">
        <v>12.99</v>
      </c>
      <c r="R15" s="75">
        <v>9.0744999999999969</v>
      </c>
      <c r="S15" s="271">
        <f t="shared" ref="S15:AX15" si="6">SUM(S12:S14)</f>
        <v>0</v>
      </c>
      <c r="T15" s="10">
        <f t="shared" si="6"/>
        <v>0</v>
      </c>
      <c r="U15" s="10">
        <f t="shared" si="6"/>
        <v>-14728</v>
      </c>
      <c r="V15" s="10">
        <f t="shared" si="6"/>
        <v>-14728</v>
      </c>
      <c r="W15" s="10">
        <f t="shared" si="6"/>
        <v>0</v>
      </c>
      <c r="X15" s="10">
        <f t="shared" si="6"/>
        <v>0</v>
      </c>
      <c r="Y15" s="10">
        <f t="shared" si="6"/>
        <v>0</v>
      </c>
      <c r="Z15" s="10">
        <f t="shared" si="6"/>
        <v>-14728</v>
      </c>
      <c r="AA15" s="10">
        <f t="shared" si="6"/>
        <v>-4978</v>
      </c>
      <c r="AB15" s="10">
        <f t="shared" si="6"/>
        <v>-295</v>
      </c>
      <c r="AC15" s="10">
        <f t="shared" si="6"/>
        <v>0</v>
      </c>
      <c r="AD15" s="10">
        <f t="shared" si="6"/>
        <v>20001</v>
      </c>
      <c r="AE15" s="10">
        <f t="shared" si="6"/>
        <v>20001</v>
      </c>
      <c r="AF15" s="10">
        <f t="shared" si="6"/>
        <v>0</v>
      </c>
      <c r="AG15" s="11">
        <f t="shared" si="6"/>
        <v>0</v>
      </c>
      <c r="AH15" s="11">
        <f t="shared" si="6"/>
        <v>0</v>
      </c>
      <c r="AI15" s="11">
        <f t="shared" si="6"/>
        <v>0</v>
      </c>
      <c r="AJ15" s="11">
        <f t="shared" si="6"/>
        <v>0</v>
      </c>
      <c r="AK15" s="11">
        <f t="shared" si="6"/>
        <v>0</v>
      </c>
      <c r="AL15" s="11">
        <f t="shared" si="6"/>
        <v>0</v>
      </c>
      <c r="AM15" s="11">
        <f t="shared" si="6"/>
        <v>0</v>
      </c>
      <c r="AN15" s="32">
        <f t="shared" si="6"/>
        <v>0</v>
      </c>
      <c r="AO15" s="6">
        <f t="shared" si="6"/>
        <v>12332546</v>
      </c>
      <c r="AP15" s="10">
        <f t="shared" si="6"/>
        <v>8785017</v>
      </c>
      <c r="AQ15" s="71">
        <f t="shared" si="6"/>
        <v>200000</v>
      </c>
      <c r="AR15" s="71">
        <f t="shared" si="6"/>
        <v>0</v>
      </c>
      <c r="AS15" s="10">
        <f t="shared" si="6"/>
        <v>3036936</v>
      </c>
      <c r="AT15" s="10">
        <f t="shared" si="6"/>
        <v>175700</v>
      </c>
      <c r="AU15" s="10">
        <f t="shared" si="6"/>
        <v>134893</v>
      </c>
      <c r="AV15" s="11">
        <f t="shared" si="6"/>
        <v>22.064499999999995</v>
      </c>
      <c r="AW15" s="11">
        <f t="shared" si="6"/>
        <v>12.99</v>
      </c>
      <c r="AX15" s="75">
        <f t="shared" si="6"/>
        <v>9.0744999999999969</v>
      </c>
    </row>
    <row r="16" spans="1:50" x14ac:dyDescent="0.2">
      <c r="A16" s="710">
        <v>2</v>
      </c>
      <c r="B16" s="711">
        <v>3458</v>
      </c>
      <c r="C16" s="711">
        <v>600029069</v>
      </c>
      <c r="D16" s="711">
        <v>75121557</v>
      </c>
      <c r="E16" s="712" t="s">
        <v>88</v>
      </c>
      <c r="F16" s="711">
        <v>3233</v>
      </c>
      <c r="G16" s="713" t="s">
        <v>324</v>
      </c>
      <c r="H16" s="714" t="s">
        <v>284</v>
      </c>
      <c r="I16" s="495">
        <v>3198215</v>
      </c>
      <c r="J16" s="496">
        <v>2234697</v>
      </c>
      <c r="K16" s="475">
        <v>100000</v>
      </c>
      <c r="L16" s="475">
        <v>0</v>
      </c>
      <c r="M16" s="319">
        <v>789128</v>
      </c>
      <c r="N16" s="319">
        <v>44694</v>
      </c>
      <c r="O16" s="496">
        <v>29696</v>
      </c>
      <c r="P16" s="497">
        <v>5.2299999999999995</v>
      </c>
      <c r="Q16" s="412">
        <v>3.3899999999999997</v>
      </c>
      <c r="R16" s="498">
        <v>1.84</v>
      </c>
      <c r="S16" s="499">
        <f>W16*-1</f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319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 t="shared" si="2"/>
        <v>0</v>
      </c>
      <c r="AF16" s="486">
        <f t="shared" si="3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>AG16+AI16+AJ16</f>
        <v>0</v>
      </c>
      <c r="AM16" s="501">
        <f>AH16+AK16</f>
        <v>0</v>
      </c>
      <c r="AN16" s="529">
        <f t="shared" si="5"/>
        <v>0</v>
      </c>
      <c r="AO16" s="530">
        <f>I16+AF16</f>
        <v>3198215</v>
      </c>
      <c r="AP16" s="486">
        <f>J16+V16</f>
        <v>2234697</v>
      </c>
      <c r="AQ16" s="486">
        <f>K16+Y16</f>
        <v>100000</v>
      </c>
      <c r="AR16" s="486">
        <f>L16</f>
        <v>0</v>
      </c>
      <c r="AS16" s="486">
        <f>M16+AA16</f>
        <v>789128</v>
      </c>
      <c r="AT16" s="486">
        <f>N16+AB16</f>
        <v>44694</v>
      </c>
      <c r="AU16" s="486">
        <f>O16+AE16</f>
        <v>29696</v>
      </c>
      <c r="AV16" s="501">
        <f>P16+AN16</f>
        <v>5.2299999999999995</v>
      </c>
      <c r="AW16" s="501">
        <f>Q16+AL16</f>
        <v>3.3899999999999997</v>
      </c>
      <c r="AX16" s="502">
        <f>R16+AM16</f>
        <v>1.84</v>
      </c>
    </row>
    <row r="17" spans="1:50" x14ac:dyDescent="0.2">
      <c r="A17" s="282">
        <v>2</v>
      </c>
      <c r="B17" s="27">
        <v>3458</v>
      </c>
      <c r="C17" s="27">
        <v>600029069</v>
      </c>
      <c r="D17" s="27">
        <v>75121557</v>
      </c>
      <c r="E17" s="292" t="s">
        <v>89</v>
      </c>
      <c r="F17" s="27"/>
      <c r="G17" s="281"/>
      <c r="H17" s="377"/>
      <c r="I17" s="6">
        <v>3198215</v>
      </c>
      <c r="J17" s="10">
        <v>2234697</v>
      </c>
      <c r="K17" s="10">
        <v>100000</v>
      </c>
      <c r="L17" s="10">
        <v>0</v>
      </c>
      <c r="M17" s="10">
        <v>789128</v>
      </c>
      <c r="N17" s="10">
        <v>44694</v>
      </c>
      <c r="O17" s="10">
        <v>29696</v>
      </c>
      <c r="P17" s="11">
        <v>5.2299999999999995</v>
      </c>
      <c r="Q17" s="11">
        <v>3.3899999999999997</v>
      </c>
      <c r="R17" s="75">
        <v>1.84</v>
      </c>
      <c r="S17" s="271">
        <f t="shared" ref="S17:AX17" si="7">SUM(S16)</f>
        <v>0</v>
      </c>
      <c r="T17" s="10">
        <f t="shared" si="7"/>
        <v>0</v>
      </c>
      <c r="U17" s="10">
        <f t="shared" si="7"/>
        <v>0</v>
      </c>
      <c r="V17" s="10">
        <f t="shared" si="7"/>
        <v>0</v>
      </c>
      <c r="W17" s="10">
        <f t="shared" si="7"/>
        <v>0</v>
      </c>
      <c r="X17" s="10">
        <f t="shared" si="7"/>
        <v>0</v>
      </c>
      <c r="Y17" s="10">
        <f t="shared" si="7"/>
        <v>0</v>
      </c>
      <c r="Z17" s="10">
        <f t="shared" si="7"/>
        <v>0</v>
      </c>
      <c r="AA17" s="10">
        <f t="shared" si="7"/>
        <v>0</v>
      </c>
      <c r="AB17" s="10">
        <f t="shared" si="7"/>
        <v>0</v>
      </c>
      <c r="AC17" s="10">
        <f t="shared" si="7"/>
        <v>0</v>
      </c>
      <c r="AD17" s="10">
        <f t="shared" si="7"/>
        <v>0</v>
      </c>
      <c r="AE17" s="10">
        <f t="shared" si="7"/>
        <v>0</v>
      </c>
      <c r="AF17" s="10">
        <f t="shared" si="7"/>
        <v>0</v>
      </c>
      <c r="AG17" s="11">
        <f t="shared" si="7"/>
        <v>0</v>
      </c>
      <c r="AH17" s="11">
        <f t="shared" si="7"/>
        <v>0</v>
      </c>
      <c r="AI17" s="11">
        <f t="shared" si="7"/>
        <v>0</v>
      </c>
      <c r="AJ17" s="11">
        <f t="shared" si="7"/>
        <v>0</v>
      </c>
      <c r="AK17" s="11">
        <f t="shared" si="7"/>
        <v>0</v>
      </c>
      <c r="AL17" s="11">
        <f t="shared" si="7"/>
        <v>0</v>
      </c>
      <c r="AM17" s="11">
        <f t="shared" si="7"/>
        <v>0</v>
      </c>
      <c r="AN17" s="32">
        <f t="shared" si="7"/>
        <v>0</v>
      </c>
      <c r="AO17" s="6">
        <f t="shared" si="7"/>
        <v>3198215</v>
      </c>
      <c r="AP17" s="10">
        <f t="shared" si="7"/>
        <v>2234697</v>
      </c>
      <c r="AQ17" s="71">
        <f t="shared" si="7"/>
        <v>100000</v>
      </c>
      <c r="AR17" s="71">
        <f t="shared" si="7"/>
        <v>0</v>
      </c>
      <c r="AS17" s="10">
        <f t="shared" si="7"/>
        <v>789128</v>
      </c>
      <c r="AT17" s="10">
        <f t="shared" si="7"/>
        <v>44694</v>
      </c>
      <c r="AU17" s="10">
        <f t="shared" si="7"/>
        <v>29696</v>
      </c>
      <c r="AV17" s="11">
        <f t="shared" si="7"/>
        <v>5.2299999999999995</v>
      </c>
      <c r="AW17" s="11">
        <f t="shared" si="7"/>
        <v>3.3899999999999997</v>
      </c>
      <c r="AX17" s="75">
        <f t="shared" si="7"/>
        <v>1.84</v>
      </c>
    </row>
    <row r="18" spans="1:50" x14ac:dyDescent="0.2">
      <c r="A18" s="710">
        <v>3</v>
      </c>
      <c r="B18" s="711">
        <v>3439</v>
      </c>
      <c r="C18" s="711">
        <v>600010473</v>
      </c>
      <c r="D18" s="711">
        <v>43256791</v>
      </c>
      <c r="E18" s="712" t="s">
        <v>809</v>
      </c>
      <c r="F18" s="711">
        <v>3113</v>
      </c>
      <c r="G18" s="713" t="s">
        <v>320</v>
      </c>
      <c r="H18" s="714" t="s">
        <v>283</v>
      </c>
      <c r="I18" s="495">
        <v>16850471</v>
      </c>
      <c r="J18" s="496">
        <v>11742641</v>
      </c>
      <c r="K18" s="496">
        <v>120528</v>
      </c>
      <c r="L18" s="496">
        <v>27528</v>
      </c>
      <c r="M18" s="496">
        <v>4000448</v>
      </c>
      <c r="N18" s="496">
        <v>234854</v>
      </c>
      <c r="O18" s="496">
        <v>752000</v>
      </c>
      <c r="P18" s="497">
        <v>24.289899999999999</v>
      </c>
      <c r="Q18" s="412">
        <v>19.456900000000001</v>
      </c>
      <c r="R18" s="498">
        <v>4.8330000000000002</v>
      </c>
      <c r="S18" s="499">
        <f t="shared" ref="S18:S22" si="8">W18*-1</f>
        <v>0</v>
      </c>
      <c r="T18" s="486">
        <v>0</v>
      </c>
      <c r="U18" s="486">
        <v>0</v>
      </c>
      <c r="V18" s="486">
        <f>SUM(S18:U18)</f>
        <v>0</v>
      </c>
      <c r="W18" s="486">
        <v>0</v>
      </c>
      <c r="X18" s="486">
        <v>0</v>
      </c>
      <c r="Y18" s="486">
        <f>SUM(W18:X18)</f>
        <v>0</v>
      </c>
      <c r="Z18" s="486">
        <f>V18+Y18</f>
        <v>0</v>
      </c>
      <c r="AA18" s="319">
        <f>ROUND((V18+W18)*33.8%,0)</f>
        <v>0</v>
      </c>
      <c r="AB18" s="178">
        <f>ROUND(V18*2%,0)</f>
        <v>0</v>
      </c>
      <c r="AC18" s="486">
        <v>0</v>
      </c>
      <c r="AD18" s="486">
        <v>0</v>
      </c>
      <c r="AE18" s="486">
        <f t="shared" si="2"/>
        <v>0</v>
      </c>
      <c r="AF18" s="486">
        <f t="shared" si="3"/>
        <v>0</v>
      </c>
      <c r="AG18" s="501">
        <v>0</v>
      </c>
      <c r="AH18" s="501">
        <v>0</v>
      </c>
      <c r="AI18" s="501">
        <v>0</v>
      </c>
      <c r="AJ18" s="501">
        <v>0</v>
      </c>
      <c r="AK18" s="501">
        <v>0</v>
      </c>
      <c r="AL18" s="501">
        <f t="shared" ref="AL18:AL22" si="9">AG18+AI18+AJ18</f>
        <v>0</v>
      </c>
      <c r="AM18" s="501">
        <f t="shared" ref="AM18:AM22" si="10">AH18+AK18</f>
        <v>0</v>
      </c>
      <c r="AN18" s="529">
        <f t="shared" si="5"/>
        <v>0</v>
      </c>
      <c r="AO18" s="530">
        <f>I18+AF18</f>
        <v>16850471</v>
      </c>
      <c r="AP18" s="486">
        <f>J18+V18</f>
        <v>11742641</v>
      </c>
      <c r="AQ18" s="486">
        <f>K18+Y18</f>
        <v>120528</v>
      </c>
      <c r="AR18" s="486">
        <f>L18</f>
        <v>27528</v>
      </c>
      <c r="AS18" s="486">
        <f t="shared" ref="AS18:AT22" si="11">M18+AA18</f>
        <v>4000448</v>
      </c>
      <c r="AT18" s="486">
        <f t="shared" si="11"/>
        <v>234854</v>
      </c>
      <c r="AU18" s="486">
        <f>O18+AE18</f>
        <v>752000</v>
      </c>
      <c r="AV18" s="501">
        <f>P18+AN18</f>
        <v>24.289899999999999</v>
      </c>
      <c r="AW18" s="501">
        <f t="shared" ref="AW18:AX22" si="12">Q18+AL18</f>
        <v>19.456900000000001</v>
      </c>
      <c r="AX18" s="502">
        <f t="shared" si="12"/>
        <v>4.8330000000000002</v>
      </c>
    </row>
    <row r="19" spans="1:50" x14ac:dyDescent="0.2">
      <c r="A19" s="710">
        <v>3</v>
      </c>
      <c r="B19" s="711">
        <v>3439</v>
      </c>
      <c r="C19" s="711">
        <v>600010473</v>
      </c>
      <c r="D19" s="711">
        <v>43256791</v>
      </c>
      <c r="E19" s="712" t="s">
        <v>809</v>
      </c>
      <c r="F19" s="711">
        <v>3113</v>
      </c>
      <c r="G19" s="713" t="s">
        <v>318</v>
      </c>
      <c r="H19" s="714" t="s">
        <v>284</v>
      </c>
      <c r="I19" s="495">
        <v>5203924</v>
      </c>
      <c r="J19" s="496">
        <v>3800791</v>
      </c>
      <c r="K19" s="475">
        <v>0</v>
      </c>
      <c r="L19" s="475">
        <v>0</v>
      </c>
      <c r="M19" s="319">
        <v>1284667</v>
      </c>
      <c r="N19" s="319">
        <v>76016</v>
      </c>
      <c r="O19" s="496">
        <v>42450</v>
      </c>
      <c r="P19" s="497">
        <v>10.53</v>
      </c>
      <c r="Q19" s="412">
        <v>10.53</v>
      </c>
      <c r="R19" s="498">
        <v>0</v>
      </c>
      <c r="S19" s="499">
        <f t="shared" si="8"/>
        <v>0</v>
      </c>
      <c r="T19" s="486">
        <v>0</v>
      </c>
      <c r="U19" s="486">
        <v>0</v>
      </c>
      <c r="V19" s="486">
        <f>SUM(S19:U19)</f>
        <v>0</v>
      </c>
      <c r="W19" s="486">
        <v>0</v>
      </c>
      <c r="X19" s="486">
        <v>0</v>
      </c>
      <c r="Y19" s="486">
        <f>SUM(W19:X19)</f>
        <v>0</v>
      </c>
      <c r="Z19" s="486">
        <f>V19+Y19</f>
        <v>0</v>
      </c>
      <c r="AA19" s="319">
        <f>ROUND((V19+W19)*33.8%,0)</f>
        <v>0</v>
      </c>
      <c r="AB19" s="178">
        <f>ROUND(V19*2%,0)</f>
        <v>0</v>
      </c>
      <c r="AC19" s="486">
        <v>0</v>
      </c>
      <c r="AD19" s="486">
        <v>0</v>
      </c>
      <c r="AE19" s="486">
        <f t="shared" si="2"/>
        <v>0</v>
      </c>
      <c r="AF19" s="486">
        <f t="shared" si="3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si="9"/>
        <v>0</v>
      </c>
      <c r="AM19" s="501">
        <f t="shared" si="10"/>
        <v>0</v>
      </c>
      <c r="AN19" s="529">
        <f t="shared" si="5"/>
        <v>0</v>
      </c>
      <c r="AO19" s="530">
        <f>I19+AF19</f>
        <v>5203924</v>
      </c>
      <c r="AP19" s="486">
        <f>J19+V19</f>
        <v>3800791</v>
      </c>
      <c r="AQ19" s="486">
        <f>K19+Y19</f>
        <v>0</v>
      </c>
      <c r="AR19" s="486">
        <f>L19</f>
        <v>0</v>
      </c>
      <c r="AS19" s="486">
        <f t="shared" si="11"/>
        <v>1284667</v>
      </c>
      <c r="AT19" s="486">
        <f t="shared" si="11"/>
        <v>76016</v>
      </c>
      <c r="AU19" s="486">
        <f>O19+AE19</f>
        <v>42450</v>
      </c>
      <c r="AV19" s="501">
        <f>P19+AN19</f>
        <v>10.53</v>
      </c>
      <c r="AW19" s="501">
        <f t="shared" si="12"/>
        <v>10.53</v>
      </c>
      <c r="AX19" s="502">
        <f t="shared" si="12"/>
        <v>0</v>
      </c>
    </row>
    <row r="20" spans="1:50" x14ac:dyDescent="0.2">
      <c r="A20" s="710">
        <v>3</v>
      </c>
      <c r="B20" s="711">
        <v>3439</v>
      </c>
      <c r="C20" s="711">
        <v>600010473</v>
      </c>
      <c r="D20" s="711">
        <v>43256791</v>
      </c>
      <c r="E20" s="712" t="s">
        <v>809</v>
      </c>
      <c r="F20" s="711">
        <v>3143</v>
      </c>
      <c r="G20" s="713" t="s">
        <v>634</v>
      </c>
      <c r="H20" s="701" t="s">
        <v>283</v>
      </c>
      <c r="I20" s="495">
        <v>1459743</v>
      </c>
      <c r="J20" s="496">
        <v>1065069</v>
      </c>
      <c r="K20" s="475">
        <v>10000</v>
      </c>
      <c r="L20" s="475">
        <v>0</v>
      </c>
      <c r="M20" s="319">
        <v>363373</v>
      </c>
      <c r="N20" s="319">
        <v>21301</v>
      </c>
      <c r="O20" s="496">
        <v>0</v>
      </c>
      <c r="P20" s="497">
        <v>2.4</v>
      </c>
      <c r="Q20" s="412">
        <v>2.4</v>
      </c>
      <c r="R20" s="498">
        <v>0</v>
      </c>
      <c r="S20" s="499">
        <f t="shared" si="8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2"/>
        <v>0</v>
      </c>
      <c r="AF20" s="486">
        <f t="shared" si="3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9"/>
        <v>0</v>
      </c>
      <c r="AM20" s="501">
        <f t="shared" si="10"/>
        <v>0</v>
      </c>
      <c r="AN20" s="529">
        <f t="shared" si="5"/>
        <v>0</v>
      </c>
      <c r="AO20" s="530">
        <f>I20+AF20</f>
        <v>1459743</v>
      </c>
      <c r="AP20" s="486">
        <f>J20+V20</f>
        <v>1065069</v>
      </c>
      <c r="AQ20" s="486">
        <f>K20+Y20</f>
        <v>10000</v>
      </c>
      <c r="AR20" s="486">
        <f>L20</f>
        <v>0</v>
      </c>
      <c r="AS20" s="486">
        <f t="shared" si="11"/>
        <v>363373</v>
      </c>
      <c r="AT20" s="486">
        <f t="shared" si="11"/>
        <v>21301</v>
      </c>
      <c r="AU20" s="486">
        <f>O20+AE20</f>
        <v>0</v>
      </c>
      <c r="AV20" s="501">
        <f>P20+AN20</f>
        <v>2.4</v>
      </c>
      <c r="AW20" s="501">
        <f t="shared" si="12"/>
        <v>2.4</v>
      </c>
      <c r="AX20" s="502">
        <f t="shared" si="12"/>
        <v>0</v>
      </c>
    </row>
    <row r="21" spans="1:50" x14ac:dyDescent="0.2">
      <c r="A21" s="710">
        <v>3</v>
      </c>
      <c r="B21" s="711">
        <v>3439</v>
      </c>
      <c r="C21" s="711">
        <v>600010473</v>
      </c>
      <c r="D21" s="711">
        <v>43256791</v>
      </c>
      <c r="E21" s="712" t="s">
        <v>809</v>
      </c>
      <c r="F21" s="711">
        <v>3143</v>
      </c>
      <c r="G21" s="713" t="s">
        <v>635</v>
      </c>
      <c r="H21" s="701" t="s">
        <v>284</v>
      </c>
      <c r="I21" s="495">
        <v>48452</v>
      </c>
      <c r="J21" s="496">
        <v>34155</v>
      </c>
      <c r="K21" s="475">
        <v>0</v>
      </c>
      <c r="L21" s="475">
        <v>0</v>
      </c>
      <c r="M21" s="319">
        <v>11544</v>
      </c>
      <c r="N21" s="319">
        <v>683</v>
      </c>
      <c r="O21" s="496">
        <v>2070</v>
      </c>
      <c r="P21" s="497">
        <v>0.14000000000000001</v>
      </c>
      <c r="Q21" s="412">
        <v>0</v>
      </c>
      <c r="R21" s="498">
        <v>0.14000000000000001</v>
      </c>
      <c r="S21" s="499">
        <f t="shared" si="8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2"/>
        <v>0</v>
      </c>
      <c r="AF21" s="486">
        <f t="shared" si="3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9"/>
        <v>0</v>
      </c>
      <c r="AM21" s="501">
        <f t="shared" si="10"/>
        <v>0</v>
      </c>
      <c r="AN21" s="529">
        <f t="shared" si="5"/>
        <v>0</v>
      </c>
      <c r="AO21" s="530">
        <f>I21+AF21</f>
        <v>48452</v>
      </c>
      <c r="AP21" s="486">
        <f>J21+V21</f>
        <v>34155</v>
      </c>
      <c r="AQ21" s="486">
        <f>K21+Y21</f>
        <v>0</v>
      </c>
      <c r="AR21" s="486">
        <f>L21</f>
        <v>0</v>
      </c>
      <c r="AS21" s="486">
        <f t="shared" si="11"/>
        <v>11544</v>
      </c>
      <c r="AT21" s="486">
        <f t="shared" si="11"/>
        <v>683</v>
      </c>
      <c r="AU21" s="486">
        <f>O21+AE21</f>
        <v>2070</v>
      </c>
      <c r="AV21" s="501">
        <f>P21+AN21</f>
        <v>0.14000000000000001</v>
      </c>
      <c r="AW21" s="501">
        <f t="shared" si="12"/>
        <v>0</v>
      </c>
      <c r="AX21" s="502">
        <f t="shared" si="12"/>
        <v>0.14000000000000001</v>
      </c>
    </row>
    <row r="22" spans="1:50" x14ac:dyDescent="0.2">
      <c r="A22" s="710">
        <v>3</v>
      </c>
      <c r="B22" s="711">
        <v>3439</v>
      </c>
      <c r="C22" s="711">
        <v>600010473</v>
      </c>
      <c r="D22" s="711">
        <v>43256791</v>
      </c>
      <c r="E22" s="712" t="s">
        <v>809</v>
      </c>
      <c r="F22" s="711">
        <v>3143</v>
      </c>
      <c r="G22" s="713" t="s">
        <v>323</v>
      </c>
      <c r="H22" s="714" t="s">
        <v>284</v>
      </c>
      <c r="I22" s="495">
        <v>329622</v>
      </c>
      <c r="J22" s="496">
        <v>225490</v>
      </c>
      <c r="K22" s="475">
        <v>17000</v>
      </c>
      <c r="L22" s="475">
        <v>0</v>
      </c>
      <c r="M22" s="319">
        <v>81962</v>
      </c>
      <c r="N22" s="319">
        <v>4510</v>
      </c>
      <c r="O22" s="496">
        <v>660</v>
      </c>
      <c r="P22" s="497">
        <v>0.51</v>
      </c>
      <c r="Q22" s="412">
        <v>0.45999999999999996</v>
      </c>
      <c r="R22" s="498">
        <v>0.05</v>
      </c>
      <c r="S22" s="499">
        <f t="shared" si="8"/>
        <v>0</v>
      </c>
      <c r="T22" s="486">
        <v>0</v>
      </c>
      <c r="U22" s="486">
        <v>0</v>
      </c>
      <c r="V22" s="486">
        <f>SUM(S22:U22)</f>
        <v>0</v>
      </c>
      <c r="W22" s="486">
        <v>0</v>
      </c>
      <c r="X22" s="486">
        <v>0</v>
      </c>
      <c r="Y22" s="486">
        <f>SUM(W22:X22)</f>
        <v>0</v>
      </c>
      <c r="Z22" s="486">
        <f>V22+Y22</f>
        <v>0</v>
      </c>
      <c r="AA22" s="319">
        <f>ROUND((V22+W22)*33.8%,0)</f>
        <v>0</v>
      </c>
      <c r="AB22" s="178">
        <f>ROUND(V22*2%,0)</f>
        <v>0</v>
      </c>
      <c r="AC22" s="486">
        <v>0</v>
      </c>
      <c r="AD22" s="486">
        <v>0</v>
      </c>
      <c r="AE22" s="486">
        <f t="shared" si="2"/>
        <v>0</v>
      </c>
      <c r="AF22" s="486">
        <f t="shared" si="3"/>
        <v>0</v>
      </c>
      <c r="AG22" s="501">
        <v>0</v>
      </c>
      <c r="AH22" s="501">
        <v>0</v>
      </c>
      <c r="AI22" s="501">
        <v>0</v>
      </c>
      <c r="AJ22" s="501">
        <v>0</v>
      </c>
      <c r="AK22" s="501">
        <v>0</v>
      </c>
      <c r="AL22" s="501">
        <f t="shared" si="9"/>
        <v>0</v>
      </c>
      <c r="AM22" s="501">
        <f t="shared" si="10"/>
        <v>0</v>
      </c>
      <c r="AN22" s="529">
        <f t="shared" si="5"/>
        <v>0</v>
      </c>
      <c r="AO22" s="530">
        <f>I22+AF22</f>
        <v>329622</v>
      </c>
      <c r="AP22" s="486">
        <f>J22+V22</f>
        <v>225490</v>
      </c>
      <c r="AQ22" s="486">
        <f>K22+Y22</f>
        <v>17000</v>
      </c>
      <c r="AR22" s="486">
        <f>L22</f>
        <v>0</v>
      </c>
      <c r="AS22" s="486">
        <f t="shared" si="11"/>
        <v>81962</v>
      </c>
      <c r="AT22" s="486">
        <f t="shared" si="11"/>
        <v>4510</v>
      </c>
      <c r="AU22" s="486">
        <f>O22+AE22</f>
        <v>660</v>
      </c>
      <c r="AV22" s="501">
        <f>P22+AN22</f>
        <v>0.51</v>
      </c>
      <c r="AW22" s="501">
        <f t="shared" si="12"/>
        <v>0.45999999999999996</v>
      </c>
      <c r="AX22" s="502">
        <f t="shared" si="12"/>
        <v>0.05</v>
      </c>
    </row>
    <row r="23" spans="1:50" x14ac:dyDescent="0.2">
      <c r="A23" s="282">
        <v>3</v>
      </c>
      <c r="B23" s="27">
        <v>3439</v>
      </c>
      <c r="C23" s="27">
        <v>600010473</v>
      </c>
      <c r="D23" s="27">
        <v>43256791</v>
      </c>
      <c r="E23" s="292" t="s">
        <v>90</v>
      </c>
      <c r="F23" s="27"/>
      <c r="G23" s="281"/>
      <c r="H23" s="377"/>
      <c r="I23" s="5">
        <v>23892212</v>
      </c>
      <c r="J23" s="8">
        <v>16868146</v>
      </c>
      <c r="K23" s="8">
        <v>147528</v>
      </c>
      <c r="L23" s="8">
        <v>27528</v>
      </c>
      <c r="M23" s="8">
        <v>5741994</v>
      </c>
      <c r="N23" s="8">
        <v>337364</v>
      </c>
      <c r="O23" s="8">
        <v>797180</v>
      </c>
      <c r="P23" s="9">
        <v>37.869899999999994</v>
      </c>
      <c r="Q23" s="9">
        <v>32.846899999999998</v>
      </c>
      <c r="R23" s="74">
        <v>5.0229999999999997</v>
      </c>
      <c r="S23" s="270">
        <f t="shared" ref="S23:AX23" si="13">SUM(S18:S22)</f>
        <v>0</v>
      </c>
      <c r="T23" s="8">
        <f t="shared" si="13"/>
        <v>0</v>
      </c>
      <c r="U23" s="8">
        <f t="shared" si="13"/>
        <v>0</v>
      </c>
      <c r="V23" s="8">
        <f t="shared" si="13"/>
        <v>0</v>
      </c>
      <c r="W23" s="8">
        <f t="shared" si="13"/>
        <v>0</v>
      </c>
      <c r="X23" s="8">
        <f t="shared" si="13"/>
        <v>0</v>
      </c>
      <c r="Y23" s="8">
        <f t="shared" si="13"/>
        <v>0</v>
      </c>
      <c r="Z23" s="8">
        <f t="shared" si="13"/>
        <v>0</v>
      </c>
      <c r="AA23" s="8">
        <f t="shared" si="13"/>
        <v>0</v>
      </c>
      <c r="AB23" s="8">
        <f t="shared" si="13"/>
        <v>0</v>
      </c>
      <c r="AC23" s="8">
        <f t="shared" si="13"/>
        <v>0</v>
      </c>
      <c r="AD23" s="8">
        <f t="shared" si="13"/>
        <v>0</v>
      </c>
      <c r="AE23" s="8">
        <f t="shared" si="13"/>
        <v>0</v>
      </c>
      <c r="AF23" s="8">
        <f t="shared" si="13"/>
        <v>0</v>
      </c>
      <c r="AG23" s="9">
        <f t="shared" si="13"/>
        <v>0</v>
      </c>
      <c r="AH23" s="9">
        <f t="shared" si="13"/>
        <v>0</v>
      </c>
      <c r="AI23" s="9">
        <f t="shared" si="13"/>
        <v>0</v>
      </c>
      <c r="AJ23" s="9">
        <f t="shared" si="13"/>
        <v>0</v>
      </c>
      <c r="AK23" s="9">
        <f t="shared" si="13"/>
        <v>0</v>
      </c>
      <c r="AL23" s="9">
        <f t="shared" si="13"/>
        <v>0</v>
      </c>
      <c r="AM23" s="9">
        <f t="shared" si="13"/>
        <v>0</v>
      </c>
      <c r="AN23" s="33">
        <f t="shared" si="13"/>
        <v>0</v>
      </c>
      <c r="AO23" s="5">
        <f t="shared" si="13"/>
        <v>23892212</v>
      </c>
      <c r="AP23" s="8">
        <f t="shared" si="13"/>
        <v>16868146</v>
      </c>
      <c r="AQ23" s="38">
        <f t="shared" si="13"/>
        <v>147528</v>
      </c>
      <c r="AR23" s="38">
        <f t="shared" si="13"/>
        <v>27528</v>
      </c>
      <c r="AS23" s="8">
        <f t="shared" si="13"/>
        <v>5741994</v>
      </c>
      <c r="AT23" s="8">
        <f t="shared" si="13"/>
        <v>337364</v>
      </c>
      <c r="AU23" s="8">
        <f t="shared" si="13"/>
        <v>797180</v>
      </c>
      <c r="AV23" s="9">
        <f t="shared" si="13"/>
        <v>37.869899999999994</v>
      </c>
      <c r="AW23" s="9">
        <f t="shared" si="13"/>
        <v>32.846899999999998</v>
      </c>
      <c r="AX23" s="74">
        <f t="shared" si="13"/>
        <v>5.0229999999999997</v>
      </c>
    </row>
    <row r="24" spans="1:50" x14ac:dyDescent="0.2">
      <c r="A24" s="710">
        <v>4</v>
      </c>
      <c r="B24" s="711">
        <v>3438</v>
      </c>
      <c r="C24" s="711">
        <v>600078493</v>
      </c>
      <c r="D24" s="711">
        <v>43257089</v>
      </c>
      <c r="E24" s="712" t="s">
        <v>91</v>
      </c>
      <c r="F24" s="711">
        <v>3113</v>
      </c>
      <c r="G24" s="713" t="s">
        <v>320</v>
      </c>
      <c r="H24" s="714" t="s">
        <v>283</v>
      </c>
      <c r="I24" s="495">
        <v>24754135</v>
      </c>
      <c r="J24" s="496">
        <v>17454143</v>
      </c>
      <c r="K24" s="496">
        <v>264329</v>
      </c>
      <c r="L24" s="496">
        <v>204329</v>
      </c>
      <c r="M24" s="496">
        <v>5919780</v>
      </c>
      <c r="N24" s="496">
        <v>349083</v>
      </c>
      <c r="O24" s="496">
        <v>766800</v>
      </c>
      <c r="P24" s="497">
        <v>33.805999999999997</v>
      </c>
      <c r="Q24" s="412">
        <v>26.223400000000002</v>
      </c>
      <c r="R24" s="498">
        <v>7.5825999999999993</v>
      </c>
      <c r="S24" s="499">
        <f t="shared" ref="S24:S27" si="14">W24*-1</f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2"/>
        <v>0</v>
      </c>
      <c r="AF24" s="486">
        <f t="shared" si="3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ref="AL24:AL27" si="15">AG24+AI24+AJ24</f>
        <v>0</v>
      </c>
      <c r="AM24" s="501">
        <f t="shared" ref="AM24:AM27" si="16">AH24+AK24</f>
        <v>0</v>
      </c>
      <c r="AN24" s="529">
        <f t="shared" si="5"/>
        <v>0</v>
      </c>
      <c r="AO24" s="530">
        <f>I24+AF24</f>
        <v>24754135</v>
      </c>
      <c r="AP24" s="486">
        <f>J24+V24</f>
        <v>17454143</v>
      </c>
      <c r="AQ24" s="486">
        <f>K24+Y24</f>
        <v>264329</v>
      </c>
      <c r="AR24" s="486">
        <f>L24</f>
        <v>204329</v>
      </c>
      <c r="AS24" s="486">
        <f t="shared" ref="AS24:AT27" si="17">M24+AA24</f>
        <v>5919780</v>
      </c>
      <c r="AT24" s="486">
        <f t="shared" si="17"/>
        <v>349083</v>
      </c>
      <c r="AU24" s="486">
        <f>O24+AE24</f>
        <v>766800</v>
      </c>
      <c r="AV24" s="501">
        <f>P24+AN24</f>
        <v>33.805999999999997</v>
      </c>
      <c r="AW24" s="501">
        <f t="shared" ref="AW24:AX27" si="18">Q24+AL24</f>
        <v>26.223400000000002</v>
      </c>
      <c r="AX24" s="502">
        <f t="shared" si="18"/>
        <v>7.5825999999999993</v>
      </c>
    </row>
    <row r="25" spans="1:50" x14ac:dyDescent="0.2">
      <c r="A25" s="710">
        <v>4</v>
      </c>
      <c r="B25" s="711">
        <v>3438</v>
      </c>
      <c r="C25" s="711">
        <v>600078493</v>
      </c>
      <c r="D25" s="711">
        <v>43257089</v>
      </c>
      <c r="E25" s="712" t="s">
        <v>91</v>
      </c>
      <c r="F25" s="711">
        <v>3113</v>
      </c>
      <c r="G25" s="713" t="s">
        <v>318</v>
      </c>
      <c r="H25" s="714" t="s">
        <v>284</v>
      </c>
      <c r="I25" s="495">
        <v>2052733</v>
      </c>
      <c r="J25" s="496">
        <v>1510665</v>
      </c>
      <c r="K25" s="475">
        <v>0</v>
      </c>
      <c r="L25" s="475">
        <v>0</v>
      </c>
      <c r="M25" s="319">
        <v>510604</v>
      </c>
      <c r="N25" s="319">
        <v>30214</v>
      </c>
      <c r="O25" s="496">
        <v>1250</v>
      </c>
      <c r="P25" s="497">
        <v>4.3600000000000003</v>
      </c>
      <c r="Q25" s="412">
        <v>4.3600000000000003</v>
      </c>
      <c r="R25" s="498">
        <v>0</v>
      </c>
      <c r="S25" s="499">
        <f t="shared" si="14"/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486">
        <v>0</v>
      </c>
      <c r="Y25" s="486">
        <f>SUM(W25:X25)</f>
        <v>0</v>
      </c>
      <c r="Z25" s="486">
        <f>V25+Y25</f>
        <v>0</v>
      </c>
      <c r="AA25" s="319">
        <f>ROUND((V25+W25)*33.8%,0)</f>
        <v>0</v>
      </c>
      <c r="AB25" s="178">
        <f>ROUND(V25*2%,0)</f>
        <v>0</v>
      </c>
      <c r="AC25" s="486">
        <v>34750</v>
      </c>
      <c r="AD25" s="486">
        <v>0</v>
      </c>
      <c r="AE25" s="486">
        <f t="shared" si="2"/>
        <v>34750</v>
      </c>
      <c r="AF25" s="486">
        <f t="shared" si="3"/>
        <v>34750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15"/>
        <v>0</v>
      </c>
      <c r="AM25" s="501">
        <f t="shared" si="16"/>
        <v>0</v>
      </c>
      <c r="AN25" s="529">
        <f t="shared" si="5"/>
        <v>0</v>
      </c>
      <c r="AO25" s="530">
        <f>I25+AF25</f>
        <v>2087483</v>
      </c>
      <c r="AP25" s="486">
        <f>J25+V25</f>
        <v>1510665</v>
      </c>
      <c r="AQ25" s="486">
        <f>K25+Y25</f>
        <v>0</v>
      </c>
      <c r="AR25" s="486">
        <f>L25</f>
        <v>0</v>
      </c>
      <c r="AS25" s="486">
        <f t="shared" si="17"/>
        <v>510604</v>
      </c>
      <c r="AT25" s="486">
        <f t="shared" si="17"/>
        <v>30214</v>
      </c>
      <c r="AU25" s="486">
        <f>O25+AE25</f>
        <v>36000</v>
      </c>
      <c r="AV25" s="501">
        <f>P25+AN25</f>
        <v>4.3600000000000003</v>
      </c>
      <c r="AW25" s="501">
        <f t="shared" si="18"/>
        <v>4.3600000000000003</v>
      </c>
      <c r="AX25" s="502">
        <f t="shared" si="18"/>
        <v>0</v>
      </c>
    </row>
    <row r="26" spans="1:50" x14ac:dyDescent="0.2">
      <c r="A26" s="710">
        <v>4</v>
      </c>
      <c r="B26" s="711">
        <v>3438</v>
      </c>
      <c r="C26" s="711">
        <v>600078493</v>
      </c>
      <c r="D26" s="711">
        <v>43257089</v>
      </c>
      <c r="E26" s="712" t="s">
        <v>91</v>
      </c>
      <c r="F26" s="711">
        <v>3143</v>
      </c>
      <c r="G26" s="713" t="s">
        <v>634</v>
      </c>
      <c r="H26" s="701" t="s">
        <v>283</v>
      </c>
      <c r="I26" s="495">
        <v>1663541</v>
      </c>
      <c r="J26" s="496">
        <v>1224993</v>
      </c>
      <c r="K26" s="475">
        <v>0</v>
      </c>
      <c r="L26" s="475">
        <v>0</v>
      </c>
      <c r="M26" s="319">
        <v>414048</v>
      </c>
      <c r="N26" s="319">
        <v>24500</v>
      </c>
      <c r="O26" s="496">
        <v>0</v>
      </c>
      <c r="P26" s="497">
        <v>2.6606999999999998</v>
      </c>
      <c r="Q26" s="412">
        <v>2.6606999999999998</v>
      </c>
      <c r="R26" s="498">
        <v>0</v>
      </c>
      <c r="S26" s="499">
        <f t="shared" si="14"/>
        <v>0</v>
      </c>
      <c r="T26" s="486">
        <v>0</v>
      </c>
      <c r="U26" s="486">
        <v>0</v>
      </c>
      <c r="V26" s="486">
        <f>SUM(S26:U26)</f>
        <v>0</v>
      </c>
      <c r="W26" s="486">
        <v>0</v>
      </c>
      <c r="X26" s="486">
        <v>0</v>
      </c>
      <c r="Y26" s="486">
        <f>SUM(W26:X26)</f>
        <v>0</v>
      </c>
      <c r="Z26" s="486">
        <f>V26+Y26</f>
        <v>0</v>
      </c>
      <c r="AA26" s="319">
        <f>ROUND((V26+W26)*33.8%,0)</f>
        <v>0</v>
      </c>
      <c r="AB26" s="178">
        <f>ROUND(V26*2%,0)</f>
        <v>0</v>
      </c>
      <c r="AC26" s="486">
        <v>0</v>
      </c>
      <c r="AD26" s="486">
        <v>0</v>
      </c>
      <c r="AE26" s="486">
        <f t="shared" si="2"/>
        <v>0</v>
      </c>
      <c r="AF26" s="486">
        <f t="shared" si="3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15"/>
        <v>0</v>
      </c>
      <c r="AM26" s="501">
        <f t="shared" si="16"/>
        <v>0</v>
      </c>
      <c r="AN26" s="529">
        <f t="shared" si="5"/>
        <v>0</v>
      </c>
      <c r="AO26" s="530">
        <f>I26+AF26</f>
        <v>1663541</v>
      </c>
      <c r="AP26" s="486">
        <f>J26+V26</f>
        <v>1224993</v>
      </c>
      <c r="AQ26" s="486">
        <f>K26+Y26</f>
        <v>0</v>
      </c>
      <c r="AR26" s="486">
        <f>L26</f>
        <v>0</v>
      </c>
      <c r="AS26" s="486">
        <f t="shared" si="17"/>
        <v>414048</v>
      </c>
      <c r="AT26" s="486">
        <f t="shared" si="17"/>
        <v>24500</v>
      </c>
      <c r="AU26" s="486">
        <f>O26+AE26</f>
        <v>0</v>
      </c>
      <c r="AV26" s="501">
        <f>P26+AN26</f>
        <v>2.6606999999999998</v>
      </c>
      <c r="AW26" s="501">
        <f t="shared" si="18"/>
        <v>2.6606999999999998</v>
      </c>
      <c r="AX26" s="502">
        <f t="shared" si="18"/>
        <v>0</v>
      </c>
    </row>
    <row r="27" spans="1:50" x14ac:dyDescent="0.2">
      <c r="A27" s="710">
        <v>4</v>
      </c>
      <c r="B27" s="711">
        <v>3438</v>
      </c>
      <c r="C27" s="711">
        <v>600078493</v>
      </c>
      <c r="D27" s="711">
        <v>43257089</v>
      </c>
      <c r="E27" s="712" t="s">
        <v>91</v>
      </c>
      <c r="F27" s="711">
        <v>3143</v>
      </c>
      <c r="G27" s="713" t="s">
        <v>635</v>
      </c>
      <c r="H27" s="701" t="s">
        <v>284</v>
      </c>
      <c r="I27" s="495">
        <v>45644</v>
      </c>
      <c r="J27" s="496">
        <v>32175</v>
      </c>
      <c r="K27" s="475">
        <v>0</v>
      </c>
      <c r="L27" s="475">
        <v>0</v>
      </c>
      <c r="M27" s="319">
        <v>10875</v>
      </c>
      <c r="N27" s="319">
        <v>644</v>
      </c>
      <c r="O27" s="496">
        <v>1950</v>
      </c>
      <c r="P27" s="497">
        <v>0.14000000000000001</v>
      </c>
      <c r="Q27" s="412">
        <v>0</v>
      </c>
      <c r="R27" s="498">
        <v>0.14000000000000001</v>
      </c>
      <c r="S27" s="499">
        <f t="shared" si="14"/>
        <v>0</v>
      </c>
      <c r="T27" s="486">
        <v>0</v>
      </c>
      <c r="U27" s="486">
        <v>0</v>
      </c>
      <c r="V27" s="486">
        <f>SUM(S27:U27)</f>
        <v>0</v>
      </c>
      <c r="W27" s="486">
        <v>0</v>
      </c>
      <c r="X27" s="486">
        <v>0</v>
      </c>
      <c r="Y27" s="486">
        <f>SUM(W27:X27)</f>
        <v>0</v>
      </c>
      <c r="Z27" s="486">
        <f>V27+Y27</f>
        <v>0</v>
      </c>
      <c r="AA27" s="319">
        <f>ROUND((V27+W27)*33.8%,0)</f>
        <v>0</v>
      </c>
      <c r="AB27" s="178">
        <f>ROUND(V27*2%,0)</f>
        <v>0</v>
      </c>
      <c r="AC27" s="486">
        <v>0</v>
      </c>
      <c r="AD27" s="486">
        <v>0</v>
      </c>
      <c r="AE27" s="486">
        <f t="shared" si="2"/>
        <v>0</v>
      </c>
      <c r="AF27" s="486">
        <f t="shared" si="3"/>
        <v>0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 t="shared" si="15"/>
        <v>0</v>
      </c>
      <c r="AM27" s="501">
        <f t="shared" si="16"/>
        <v>0</v>
      </c>
      <c r="AN27" s="529">
        <f t="shared" si="5"/>
        <v>0</v>
      </c>
      <c r="AO27" s="530">
        <f>I27+AF27</f>
        <v>45644</v>
      </c>
      <c r="AP27" s="486">
        <f>J27+V27</f>
        <v>32175</v>
      </c>
      <c r="AQ27" s="486">
        <f>K27+Y27</f>
        <v>0</v>
      </c>
      <c r="AR27" s="486">
        <f>L27</f>
        <v>0</v>
      </c>
      <c r="AS27" s="486">
        <f t="shared" si="17"/>
        <v>10875</v>
      </c>
      <c r="AT27" s="486">
        <f t="shared" si="17"/>
        <v>644</v>
      </c>
      <c r="AU27" s="486">
        <f>O27+AE27</f>
        <v>1950</v>
      </c>
      <c r="AV27" s="501">
        <f>P27+AN27</f>
        <v>0.14000000000000001</v>
      </c>
      <c r="AW27" s="501">
        <f t="shared" si="18"/>
        <v>0</v>
      </c>
      <c r="AX27" s="502">
        <f t="shared" si="18"/>
        <v>0.14000000000000001</v>
      </c>
    </row>
    <row r="28" spans="1:50" x14ac:dyDescent="0.2">
      <c r="A28" s="282">
        <v>4</v>
      </c>
      <c r="B28" s="27">
        <v>3438</v>
      </c>
      <c r="C28" s="27">
        <v>600078493</v>
      </c>
      <c r="D28" s="27">
        <v>43257089</v>
      </c>
      <c r="E28" s="292" t="s">
        <v>92</v>
      </c>
      <c r="F28" s="27"/>
      <c r="G28" s="281"/>
      <c r="H28" s="377"/>
      <c r="I28" s="5">
        <v>28516053</v>
      </c>
      <c r="J28" s="8">
        <v>20221976</v>
      </c>
      <c r="K28" s="8">
        <v>264329</v>
      </c>
      <c r="L28" s="8">
        <v>204329</v>
      </c>
      <c r="M28" s="8">
        <v>6855307</v>
      </c>
      <c r="N28" s="8">
        <v>404441</v>
      </c>
      <c r="O28" s="8">
        <v>770000</v>
      </c>
      <c r="P28" s="9">
        <v>40.966699999999996</v>
      </c>
      <c r="Q28" s="9">
        <v>33.244100000000003</v>
      </c>
      <c r="R28" s="74">
        <v>7.722599999999999</v>
      </c>
      <c r="S28" s="270">
        <f t="shared" ref="S28:AX28" si="19">SUM(S24:S27)</f>
        <v>0</v>
      </c>
      <c r="T28" s="8">
        <f t="shared" si="19"/>
        <v>0</v>
      </c>
      <c r="U28" s="8">
        <f t="shared" si="19"/>
        <v>0</v>
      </c>
      <c r="V28" s="8">
        <f t="shared" si="19"/>
        <v>0</v>
      </c>
      <c r="W28" s="8">
        <f t="shared" si="19"/>
        <v>0</v>
      </c>
      <c r="X28" s="8">
        <f t="shared" si="19"/>
        <v>0</v>
      </c>
      <c r="Y28" s="8">
        <f t="shared" si="19"/>
        <v>0</v>
      </c>
      <c r="Z28" s="8">
        <f t="shared" si="19"/>
        <v>0</v>
      </c>
      <c r="AA28" s="8">
        <f t="shared" si="19"/>
        <v>0</v>
      </c>
      <c r="AB28" s="8">
        <f t="shared" si="19"/>
        <v>0</v>
      </c>
      <c r="AC28" s="8">
        <f t="shared" si="19"/>
        <v>34750</v>
      </c>
      <c r="AD28" s="8">
        <f t="shared" si="19"/>
        <v>0</v>
      </c>
      <c r="AE28" s="8">
        <f t="shared" si="19"/>
        <v>34750</v>
      </c>
      <c r="AF28" s="8">
        <f t="shared" si="19"/>
        <v>34750</v>
      </c>
      <c r="AG28" s="9">
        <f t="shared" si="19"/>
        <v>0</v>
      </c>
      <c r="AH28" s="9">
        <f t="shared" si="19"/>
        <v>0</v>
      </c>
      <c r="AI28" s="9">
        <f t="shared" si="19"/>
        <v>0</v>
      </c>
      <c r="AJ28" s="9">
        <f t="shared" si="19"/>
        <v>0</v>
      </c>
      <c r="AK28" s="9">
        <f t="shared" si="19"/>
        <v>0</v>
      </c>
      <c r="AL28" s="9">
        <f t="shared" si="19"/>
        <v>0</v>
      </c>
      <c r="AM28" s="9">
        <f t="shared" si="19"/>
        <v>0</v>
      </c>
      <c r="AN28" s="33">
        <f t="shared" si="19"/>
        <v>0</v>
      </c>
      <c r="AO28" s="5">
        <f t="shared" si="19"/>
        <v>28550803</v>
      </c>
      <c r="AP28" s="8">
        <f t="shared" si="19"/>
        <v>20221976</v>
      </c>
      <c r="AQ28" s="38">
        <f t="shared" si="19"/>
        <v>264329</v>
      </c>
      <c r="AR28" s="38">
        <f t="shared" si="19"/>
        <v>204329</v>
      </c>
      <c r="AS28" s="8">
        <f t="shared" si="19"/>
        <v>6855307</v>
      </c>
      <c r="AT28" s="8">
        <f t="shared" si="19"/>
        <v>404441</v>
      </c>
      <c r="AU28" s="8">
        <f t="shared" si="19"/>
        <v>804750</v>
      </c>
      <c r="AV28" s="9">
        <f t="shared" si="19"/>
        <v>40.966699999999996</v>
      </c>
      <c r="AW28" s="9">
        <f t="shared" si="19"/>
        <v>33.244100000000003</v>
      </c>
      <c r="AX28" s="74">
        <f t="shared" si="19"/>
        <v>7.722599999999999</v>
      </c>
    </row>
    <row r="29" spans="1:50" s="3" customFormat="1" x14ac:dyDescent="0.2">
      <c r="A29" s="710">
        <v>5</v>
      </c>
      <c r="B29" s="711">
        <v>3459</v>
      </c>
      <c r="C29" s="711">
        <v>651040264</v>
      </c>
      <c r="D29" s="711">
        <v>75121531</v>
      </c>
      <c r="E29" s="712" t="s">
        <v>93</v>
      </c>
      <c r="F29" s="711">
        <v>3231</v>
      </c>
      <c r="G29" s="713" t="s">
        <v>322</v>
      </c>
      <c r="H29" s="701" t="s">
        <v>283</v>
      </c>
      <c r="I29" s="495">
        <v>12990220</v>
      </c>
      <c r="J29" s="496">
        <v>9297489</v>
      </c>
      <c r="K29" s="496">
        <v>240000</v>
      </c>
      <c r="L29" s="496">
        <v>0</v>
      </c>
      <c r="M29" s="496">
        <v>3223671</v>
      </c>
      <c r="N29" s="496">
        <v>185950</v>
      </c>
      <c r="O29" s="496">
        <v>43110</v>
      </c>
      <c r="P29" s="497">
        <v>18.182400000000001</v>
      </c>
      <c r="Q29" s="412">
        <v>16.273299999999999</v>
      </c>
      <c r="R29" s="498">
        <v>1.9090999999999998</v>
      </c>
      <c r="S29" s="499">
        <f>W29*-1</f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486">
        <v>0</v>
      </c>
      <c r="Y29" s="486">
        <f>SUM(W29:X29)</f>
        <v>0</v>
      </c>
      <c r="Z29" s="486">
        <f>V29+Y29</f>
        <v>0</v>
      </c>
      <c r="AA29" s="319">
        <f>ROUND((V29+W29)*33.8%,0)</f>
        <v>0</v>
      </c>
      <c r="AB29" s="178">
        <f>ROUND(V29*2%,0)</f>
        <v>0</v>
      </c>
      <c r="AC29" s="486">
        <v>0</v>
      </c>
      <c r="AD29" s="486">
        <v>0</v>
      </c>
      <c r="AE29" s="486">
        <f t="shared" si="2"/>
        <v>0</v>
      </c>
      <c r="AF29" s="486">
        <f t="shared" si="3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>AG29+AI29+AJ29</f>
        <v>0</v>
      </c>
      <c r="AM29" s="501">
        <f>AH29+AK29</f>
        <v>0</v>
      </c>
      <c r="AN29" s="529">
        <f t="shared" si="5"/>
        <v>0</v>
      </c>
      <c r="AO29" s="530">
        <f>I29+AF29</f>
        <v>12990220</v>
      </c>
      <c r="AP29" s="486">
        <f>J29+V29</f>
        <v>9297489</v>
      </c>
      <c r="AQ29" s="486">
        <f>K29+Y29</f>
        <v>240000</v>
      </c>
      <c r="AR29" s="486">
        <f>L29</f>
        <v>0</v>
      </c>
      <c r="AS29" s="486">
        <f>M29+AA29</f>
        <v>3223671</v>
      </c>
      <c r="AT29" s="486">
        <f>N29+AB29</f>
        <v>185950</v>
      </c>
      <c r="AU29" s="486">
        <f>O29+AE29</f>
        <v>43110</v>
      </c>
      <c r="AV29" s="501">
        <f>P29+AN29</f>
        <v>18.182400000000001</v>
      </c>
      <c r="AW29" s="501">
        <f>Q29+AL29</f>
        <v>16.273299999999999</v>
      </c>
      <c r="AX29" s="502">
        <f>R29+AM29</f>
        <v>1.9090999999999998</v>
      </c>
    </row>
    <row r="30" spans="1:50" s="3" customFormat="1" x14ac:dyDescent="0.2">
      <c r="A30" s="282">
        <v>5</v>
      </c>
      <c r="B30" s="27">
        <v>3459</v>
      </c>
      <c r="C30" s="27">
        <v>651040264</v>
      </c>
      <c r="D30" s="27">
        <v>75121531</v>
      </c>
      <c r="E30" s="292" t="s">
        <v>94</v>
      </c>
      <c r="F30" s="27"/>
      <c r="G30" s="281"/>
      <c r="H30" s="377"/>
      <c r="I30" s="6">
        <v>12990220</v>
      </c>
      <c r="J30" s="10">
        <v>9297489</v>
      </c>
      <c r="K30" s="10">
        <v>240000</v>
      </c>
      <c r="L30" s="10">
        <v>0</v>
      </c>
      <c r="M30" s="10">
        <v>3223671</v>
      </c>
      <c r="N30" s="10">
        <v>185950</v>
      </c>
      <c r="O30" s="10">
        <v>43110</v>
      </c>
      <c r="P30" s="11">
        <v>18.182400000000001</v>
      </c>
      <c r="Q30" s="11">
        <v>16.273299999999999</v>
      </c>
      <c r="R30" s="75">
        <v>1.9090999999999998</v>
      </c>
      <c r="S30" s="271">
        <f t="shared" ref="S30:AX30" si="20">SUM(S29)</f>
        <v>0</v>
      </c>
      <c r="T30" s="10">
        <f t="shared" si="20"/>
        <v>0</v>
      </c>
      <c r="U30" s="10">
        <f t="shared" si="20"/>
        <v>0</v>
      </c>
      <c r="V30" s="10">
        <f t="shared" si="20"/>
        <v>0</v>
      </c>
      <c r="W30" s="10">
        <f t="shared" si="20"/>
        <v>0</v>
      </c>
      <c r="X30" s="10">
        <f t="shared" si="20"/>
        <v>0</v>
      </c>
      <c r="Y30" s="10">
        <f t="shared" si="20"/>
        <v>0</v>
      </c>
      <c r="Z30" s="10">
        <f t="shared" si="20"/>
        <v>0</v>
      </c>
      <c r="AA30" s="10">
        <f t="shared" si="20"/>
        <v>0</v>
      </c>
      <c r="AB30" s="10">
        <f t="shared" si="20"/>
        <v>0</v>
      </c>
      <c r="AC30" s="10">
        <f t="shared" si="20"/>
        <v>0</v>
      </c>
      <c r="AD30" s="10">
        <f t="shared" si="20"/>
        <v>0</v>
      </c>
      <c r="AE30" s="10">
        <f t="shared" si="20"/>
        <v>0</v>
      </c>
      <c r="AF30" s="10">
        <f t="shared" si="20"/>
        <v>0</v>
      </c>
      <c r="AG30" s="11">
        <f t="shared" si="20"/>
        <v>0</v>
      </c>
      <c r="AH30" s="11">
        <f t="shared" si="20"/>
        <v>0</v>
      </c>
      <c r="AI30" s="11">
        <f t="shared" si="20"/>
        <v>0</v>
      </c>
      <c r="AJ30" s="11">
        <f t="shared" si="20"/>
        <v>0</v>
      </c>
      <c r="AK30" s="11">
        <f t="shared" si="20"/>
        <v>0</v>
      </c>
      <c r="AL30" s="11">
        <f t="shared" si="20"/>
        <v>0</v>
      </c>
      <c r="AM30" s="11">
        <f t="shared" si="20"/>
        <v>0</v>
      </c>
      <c r="AN30" s="32">
        <f t="shared" si="20"/>
        <v>0</v>
      </c>
      <c r="AO30" s="6">
        <f t="shared" si="20"/>
        <v>12990220</v>
      </c>
      <c r="AP30" s="10">
        <f t="shared" si="20"/>
        <v>9297489</v>
      </c>
      <c r="AQ30" s="71">
        <f t="shared" si="20"/>
        <v>240000</v>
      </c>
      <c r="AR30" s="71">
        <f t="shared" si="20"/>
        <v>0</v>
      </c>
      <c r="AS30" s="10">
        <f t="shared" si="20"/>
        <v>3223671</v>
      </c>
      <c r="AT30" s="10">
        <f t="shared" si="20"/>
        <v>185950</v>
      </c>
      <c r="AU30" s="10">
        <f t="shared" si="20"/>
        <v>43110</v>
      </c>
      <c r="AV30" s="11">
        <f t="shared" si="20"/>
        <v>18.182400000000001</v>
      </c>
      <c r="AW30" s="11">
        <f t="shared" si="20"/>
        <v>16.273299999999999</v>
      </c>
      <c r="AX30" s="75">
        <f t="shared" si="20"/>
        <v>1.9090999999999998</v>
      </c>
    </row>
    <row r="31" spans="1:50" s="3" customFormat="1" x14ac:dyDescent="0.2">
      <c r="A31" s="710">
        <v>6</v>
      </c>
      <c r="B31" s="711">
        <v>3401</v>
      </c>
      <c r="C31" s="711">
        <v>650023404</v>
      </c>
      <c r="D31" s="711">
        <v>70981477</v>
      </c>
      <c r="E31" s="712" t="s">
        <v>95</v>
      </c>
      <c r="F31" s="711">
        <v>3111</v>
      </c>
      <c r="G31" s="713" t="s">
        <v>317</v>
      </c>
      <c r="H31" s="714" t="s">
        <v>283</v>
      </c>
      <c r="I31" s="495">
        <v>1637247</v>
      </c>
      <c r="J31" s="496">
        <v>1191289</v>
      </c>
      <c r="K31" s="475">
        <v>2000</v>
      </c>
      <c r="L31" s="475">
        <v>0</v>
      </c>
      <c r="M31" s="319">
        <v>403332</v>
      </c>
      <c r="N31" s="319">
        <v>23826</v>
      </c>
      <c r="O31" s="496">
        <v>16800</v>
      </c>
      <c r="P31" s="497">
        <v>2.5108999999999999</v>
      </c>
      <c r="Q31" s="412">
        <v>2</v>
      </c>
      <c r="R31" s="498">
        <v>0.51090000000000002</v>
      </c>
      <c r="S31" s="499">
        <f t="shared" ref="S31:S35" si="21">W31*-1</f>
        <v>0</v>
      </c>
      <c r="T31" s="486">
        <v>0</v>
      </c>
      <c r="U31" s="486">
        <v>0</v>
      </c>
      <c r="V31" s="486">
        <f>SUM(S31:U31)</f>
        <v>0</v>
      </c>
      <c r="W31" s="486">
        <v>0</v>
      </c>
      <c r="X31" s="486">
        <v>0</v>
      </c>
      <c r="Y31" s="486">
        <f>SUM(W31:X31)</f>
        <v>0</v>
      </c>
      <c r="Z31" s="486">
        <f>V31+Y31</f>
        <v>0</v>
      </c>
      <c r="AA31" s="319">
        <f>ROUND((V31+W31)*33.8%,0)</f>
        <v>0</v>
      </c>
      <c r="AB31" s="178">
        <f>ROUND(V31*2%,0)</f>
        <v>0</v>
      </c>
      <c r="AC31" s="486">
        <v>0</v>
      </c>
      <c r="AD31" s="486">
        <v>0</v>
      </c>
      <c r="AE31" s="486">
        <f t="shared" si="2"/>
        <v>0</v>
      </c>
      <c r="AF31" s="486">
        <f t="shared" si="3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ref="AL31:AL35" si="22">AG31+AI31+AJ31</f>
        <v>0</v>
      </c>
      <c r="AM31" s="501">
        <f t="shared" ref="AM31:AM35" si="23">AH31+AK31</f>
        <v>0</v>
      </c>
      <c r="AN31" s="529">
        <f t="shared" si="5"/>
        <v>0</v>
      </c>
      <c r="AO31" s="530">
        <f>I31+AF31</f>
        <v>1637247</v>
      </c>
      <c r="AP31" s="486">
        <f>J31+V31</f>
        <v>1191289</v>
      </c>
      <c r="AQ31" s="486">
        <f>K31+Y31</f>
        <v>2000</v>
      </c>
      <c r="AR31" s="486">
        <f>L31</f>
        <v>0</v>
      </c>
      <c r="AS31" s="486">
        <f t="shared" ref="AS31:AT35" si="24">M31+AA31</f>
        <v>403332</v>
      </c>
      <c r="AT31" s="486">
        <f t="shared" si="24"/>
        <v>23826</v>
      </c>
      <c r="AU31" s="486">
        <f>O31+AE31</f>
        <v>16800</v>
      </c>
      <c r="AV31" s="501">
        <f>P31+AN31</f>
        <v>2.5108999999999999</v>
      </c>
      <c r="AW31" s="501">
        <f t="shared" ref="AW31:AX35" si="25">Q31+AL31</f>
        <v>2</v>
      </c>
      <c r="AX31" s="502">
        <f t="shared" si="25"/>
        <v>0.51090000000000002</v>
      </c>
    </row>
    <row r="32" spans="1:50" x14ac:dyDescent="0.2">
      <c r="A32" s="710">
        <v>6</v>
      </c>
      <c r="B32" s="711">
        <v>3401</v>
      </c>
      <c r="C32" s="711">
        <v>650023404</v>
      </c>
      <c r="D32" s="711">
        <v>70981477</v>
      </c>
      <c r="E32" s="712" t="s">
        <v>95</v>
      </c>
      <c r="F32" s="711">
        <v>3117</v>
      </c>
      <c r="G32" s="713" t="s">
        <v>320</v>
      </c>
      <c r="H32" s="714" t="s">
        <v>283</v>
      </c>
      <c r="I32" s="495">
        <v>2987390</v>
      </c>
      <c r="J32" s="496">
        <v>2120102</v>
      </c>
      <c r="K32" s="496">
        <v>12588</v>
      </c>
      <c r="L32" s="496">
        <v>4588</v>
      </c>
      <c r="M32" s="496">
        <v>719298</v>
      </c>
      <c r="N32" s="496">
        <v>42402</v>
      </c>
      <c r="O32" s="496">
        <v>93000</v>
      </c>
      <c r="P32" s="497">
        <v>4.2779999999999996</v>
      </c>
      <c r="Q32" s="412">
        <v>2.7076000000000002</v>
      </c>
      <c r="R32" s="498">
        <v>1.5703999999999996</v>
      </c>
      <c r="S32" s="499">
        <f t="shared" si="21"/>
        <v>0</v>
      </c>
      <c r="T32" s="486">
        <v>0</v>
      </c>
      <c r="U32" s="486">
        <v>-21224</v>
      </c>
      <c r="V32" s="486">
        <f>SUM(S32:U32)</f>
        <v>-21224</v>
      </c>
      <c r="W32" s="486">
        <v>0</v>
      </c>
      <c r="X32" s="486">
        <v>0</v>
      </c>
      <c r="Y32" s="486">
        <f>SUM(W32:X32)</f>
        <v>0</v>
      </c>
      <c r="Z32" s="486">
        <f>V32+Y32</f>
        <v>-21224</v>
      </c>
      <c r="AA32" s="319">
        <f>ROUND((V32+W32)*33.8%,0)</f>
        <v>-7174</v>
      </c>
      <c r="AB32" s="178">
        <f>ROUND(V32*2%,0)</f>
        <v>-424</v>
      </c>
      <c r="AC32" s="486">
        <v>0</v>
      </c>
      <c r="AD32" s="486">
        <v>28822</v>
      </c>
      <c r="AE32" s="486">
        <f t="shared" si="2"/>
        <v>28822</v>
      </c>
      <c r="AF32" s="486">
        <f t="shared" si="3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si="22"/>
        <v>0</v>
      </c>
      <c r="AM32" s="501">
        <f t="shared" si="23"/>
        <v>0</v>
      </c>
      <c r="AN32" s="529">
        <f t="shared" si="5"/>
        <v>0</v>
      </c>
      <c r="AO32" s="530">
        <f>I32+AF32</f>
        <v>2987390</v>
      </c>
      <c r="AP32" s="486">
        <f>J32+V32</f>
        <v>2098878</v>
      </c>
      <c r="AQ32" s="486">
        <f>K32+Y32</f>
        <v>12588</v>
      </c>
      <c r="AR32" s="486">
        <f>L32</f>
        <v>4588</v>
      </c>
      <c r="AS32" s="486">
        <f t="shared" si="24"/>
        <v>712124</v>
      </c>
      <c r="AT32" s="486">
        <f t="shared" si="24"/>
        <v>41978</v>
      </c>
      <c r="AU32" s="486">
        <f>O32+AE32</f>
        <v>121822</v>
      </c>
      <c r="AV32" s="501">
        <f>P32+AN32</f>
        <v>4.2779999999999996</v>
      </c>
      <c r="AW32" s="501">
        <f t="shared" si="25"/>
        <v>2.7076000000000002</v>
      </c>
      <c r="AX32" s="502">
        <f t="shared" si="25"/>
        <v>1.5703999999999996</v>
      </c>
    </row>
    <row r="33" spans="1:50" x14ac:dyDescent="0.2">
      <c r="A33" s="710">
        <v>6</v>
      </c>
      <c r="B33" s="711">
        <v>3401</v>
      </c>
      <c r="C33" s="711">
        <v>650023404</v>
      </c>
      <c r="D33" s="711">
        <v>70981477</v>
      </c>
      <c r="E33" s="712" t="s">
        <v>95</v>
      </c>
      <c r="F33" s="711">
        <v>3141</v>
      </c>
      <c r="G33" s="713" t="s">
        <v>321</v>
      </c>
      <c r="H33" s="714" t="s">
        <v>284</v>
      </c>
      <c r="I33" s="495">
        <v>722845</v>
      </c>
      <c r="J33" s="496">
        <v>529938</v>
      </c>
      <c r="K33" s="475">
        <v>0</v>
      </c>
      <c r="L33" s="475">
        <v>0</v>
      </c>
      <c r="M33" s="319">
        <v>179119</v>
      </c>
      <c r="N33" s="319">
        <v>10598</v>
      </c>
      <c r="O33" s="496">
        <v>3190</v>
      </c>
      <c r="P33" s="497">
        <v>1.8</v>
      </c>
      <c r="Q33" s="412">
        <v>0</v>
      </c>
      <c r="R33" s="498">
        <v>1.8</v>
      </c>
      <c r="S33" s="499">
        <f t="shared" si="21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2"/>
        <v>0</v>
      </c>
      <c r="AF33" s="486">
        <f t="shared" si="3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22"/>
        <v>0</v>
      </c>
      <c r="AM33" s="501">
        <f t="shared" si="23"/>
        <v>0</v>
      </c>
      <c r="AN33" s="529">
        <f t="shared" si="5"/>
        <v>0</v>
      </c>
      <c r="AO33" s="530">
        <f>I33+AF33</f>
        <v>722845</v>
      </c>
      <c r="AP33" s="486">
        <f>J33+V33</f>
        <v>529938</v>
      </c>
      <c r="AQ33" s="486">
        <f>K33+Y33</f>
        <v>0</v>
      </c>
      <c r="AR33" s="486">
        <f>L33</f>
        <v>0</v>
      </c>
      <c r="AS33" s="486">
        <f t="shared" si="24"/>
        <v>179119</v>
      </c>
      <c r="AT33" s="486">
        <f t="shared" si="24"/>
        <v>10598</v>
      </c>
      <c r="AU33" s="486">
        <f>O33+AE33</f>
        <v>3190</v>
      </c>
      <c r="AV33" s="501">
        <f>P33+AN33</f>
        <v>1.8</v>
      </c>
      <c r="AW33" s="501">
        <f t="shared" si="25"/>
        <v>0</v>
      </c>
      <c r="AX33" s="502">
        <f t="shared" si="25"/>
        <v>1.8</v>
      </c>
    </row>
    <row r="34" spans="1:50" x14ac:dyDescent="0.2">
      <c r="A34" s="710">
        <v>6</v>
      </c>
      <c r="B34" s="711">
        <v>3401</v>
      </c>
      <c r="C34" s="711">
        <v>650023404</v>
      </c>
      <c r="D34" s="711">
        <v>70981477</v>
      </c>
      <c r="E34" s="712" t="s">
        <v>95</v>
      </c>
      <c r="F34" s="711">
        <v>3143</v>
      </c>
      <c r="G34" s="713" t="s">
        <v>634</v>
      </c>
      <c r="H34" s="701" t="s">
        <v>283</v>
      </c>
      <c r="I34" s="495">
        <v>599292</v>
      </c>
      <c r="J34" s="496">
        <v>441305</v>
      </c>
      <c r="K34" s="475">
        <v>0</v>
      </c>
      <c r="L34" s="475">
        <v>0</v>
      </c>
      <c r="M34" s="319">
        <v>149161</v>
      </c>
      <c r="N34" s="319">
        <v>8826</v>
      </c>
      <c r="O34" s="496">
        <v>0</v>
      </c>
      <c r="P34" s="497">
        <v>0.86899999999999999</v>
      </c>
      <c r="Q34" s="412">
        <v>0.86899999999999999</v>
      </c>
      <c r="R34" s="498">
        <v>0</v>
      </c>
      <c r="S34" s="499">
        <f t="shared" si="21"/>
        <v>0</v>
      </c>
      <c r="T34" s="486">
        <v>0</v>
      </c>
      <c r="U34" s="486">
        <v>0</v>
      </c>
      <c r="V34" s="486">
        <f>SUM(S34:U34)</f>
        <v>0</v>
      </c>
      <c r="W34" s="486">
        <v>0</v>
      </c>
      <c r="X34" s="486">
        <v>0</v>
      </c>
      <c r="Y34" s="486">
        <f>SUM(W34:X34)</f>
        <v>0</v>
      </c>
      <c r="Z34" s="486">
        <f>V34+Y34</f>
        <v>0</v>
      </c>
      <c r="AA34" s="319">
        <f>ROUND((V34+W34)*33.8%,0)</f>
        <v>0</v>
      </c>
      <c r="AB34" s="178">
        <f>ROUND(V34*2%,0)</f>
        <v>0</v>
      </c>
      <c r="AC34" s="486">
        <v>0</v>
      </c>
      <c r="AD34" s="486">
        <v>0</v>
      </c>
      <c r="AE34" s="486">
        <f t="shared" si="2"/>
        <v>0</v>
      </c>
      <c r="AF34" s="486">
        <f t="shared" si="3"/>
        <v>0</v>
      </c>
      <c r="AG34" s="501">
        <v>0</v>
      </c>
      <c r="AH34" s="501">
        <v>0</v>
      </c>
      <c r="AI34" s="501">
        <v>0</v>
      </c>
      <c r="AJ34" s="501">
        <v>0</v>
      </c>
      <c r="AK34" s="501">
        <v>0</v>
      </c>
      <c r="AL34" s="501">
        <f t="shared" si="22"/>
        <v>0</v>
      </c>
      <c r="AM34" s="501">
        <f t="shared" si="23"/>
        <v>0</v>
      </c>
      <c r="AN34" s="529">
        <f t="shared" si="5"/>
        <v>0</v>
      </c>
      <c r="AO34" s="530">
        <f>I34+AF34</f>
        <v>599292</v>
      </c>
      <c r="AP34" s="486">
        <f>J34+V34</f>
        <v>441305</v>
      </c>
      <c r="AQ34" s="486">
        <f>K34+Y34</f>
        <v>0</v>
      </c>
      <c r="AR34" s="486">
        <f>L34</f>
        <v>0</v>
      </c>
      <c r="AS34" s="486">
        <f t="shared" si="24"/>
        <v>149161</v>
      </c>
      <c r="AT34" s="486">
        <f t="shared" si="24"/>
        <v>8826</v>
      </c>
      <c r="AU34" s="486">
        <f>O34+AE34</f>
        <v>0</v>
      </c>
      <c r="AV34" s="501">
        <f>P34+AN34</f>
        <v>0.86899999999999999</v>
      </c>
      <c r="AW34" s="501">
        <f t="shared" si="25"/>
        <v>0.86899999999999999</v>
      </c>
      <c r="AX34" s="502">
        <f t="shared" si="25"/>
        <v>0</v>
      </c>
    </row>
    <row r="35" spans="1:50" x14ac:dyDescent="0.2">
      <c r="A35" s="710">
        <v>6</v>
      </c>
      <c r="B35" s="711">
        <v>3401</v>
      </c>
      <c r="C35" s="711">
        <v>650023404</v>
      </c>
      <c r="D35" s="711">
        <v>70981477</v>
      </c>
      <c r="E35" s="712" t="s">
        <v>95</v>
      </c>
      <c r="F35" s="711">
        <v>3143</v>
      </c>
      <c r="G35" s="713" t="s">
        <v>635</v>
      </c>
      <c r="H35" s="701" t="s">
        <v>284</v>
      </c>
      <c r="I35" s="495">
        <v>20364</v>
      </c>
      <c r="J35" s="496">
        <v>14355</v>
      </c>
      <c r="K35" s="475">
        <v>0</v>
      </c>
      <c r="L35" s="475">
        <v>0</v>
      </c>
      <c r="M35" s="319">
        <v>4852</v>
      </c>
      <c r="N35" s="319">
        <v>287</v>
      </c>
      <c r="O35" s="496">
        <v>870</v>
      </c>
      <c r="P35" s="497">
        <v>0.06</v>
      </c>
      <c r="Q35" s="412">
        <v>0</v>
      </c>
      <c r="R35" s="498">
        <v>0.06</v>
      </c>
      <c r="S35" s="499">
        <f t="shared" si="21"/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2"/>
        <v>0</v>
      </c>
      <c r="AF35" s="486">
        <f t="shared" si="3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si="22"/>
        <v>0</v>
      </c>
      <c r="AM35" s="501">
        <f t="shared" si="23"/>
        <v>0</v>
      </c>
      <c r="AN35" s="529">
        <f t="shared" si="5"/>
        <v>0</v>
      </c>
      <c r="AO35" s="530">
        <f>I35+AF35</f>
        <v>20364</v>
      </c>
      <c r="AP35" s="486">
        <f>J35+V35</f>
        <v>14355</v>
      </c>
      <c r="AQ35" s="486">
        <f>K35+Y35</f>
        <v>0</v>
      </c>
      <c r="AR35" s="486">
        <f>L35</f>
        <v>0</v>
      </c>
      <c r="AS35" s="486">
        <f t="shared" si="24"/>
        <v>4852</v>
      </c>
      <c r="AT35" s="486">
        <f t="shared" si="24"/>
        <v>287</v>
      </c>
      <c r="AU35" s="486">
        <f>O35+AE35</f>
        <v>870</v>
      </c>
      <c r="AV35" s="501">
        <f>P35+AN35</f>
        <v>0.06</v>
      </c>
      <c r="AW35" s="501">
        <f t="shared" si="25"/>
        <v>0</v>
      </c>
      <c r="AX35" s="502">
        <f t="shared" si="25"/>
        <v>0.06</v>
      </c>
    </row>
    <row r="36" spans="1:50" x14ac:dyDescent="0.2">
      <c r="A36" s="282">
        <v>6</v>
      </c>
      <c r="B36" s="27">
        <v>3401</v>
      </c>
      <c r="C36" s="27">
        <v>650023404</v>
      </c>
      <c r="D36" s="27">
        <v>70981477</v>
      </c>
      <c r="E36" s="292" t="s">
        <v>96</v>
      </c>
      <c r="F36" s="27"/>
      <c r="G36" s="281"/>
      <c r="H36" s="377"/>
      <c r="I36" s="6">
        <v>5967138</v>
      </c>
      <c r="J36" s="10">
        <v>4296989</v>
      </c>
      <c r="K36" s="10">
        <v>14588</v>
      </c>
      <c r="L36" s="10">
        <v>4588</v>
      </c>
      <c r="M36" s="10">
        <v>1455762</v>
      </c>
      <c r="N36" s="10">
        <v>85939</v>
      </c>
      <c r="O36" s="10">
        <v>113860</v>
      </c>
      <c r="P36" s="11">
        <v>9.5179000000000009</v>
      </c>
      <c r="Q36" s="11">
        <v>5.5766</v>
      </c>
      <c r="R36" s="75">
        <v>3.9412999999999996</v>
      </c>
      <c r="S36" s="271">
        <f t="shared" ref="S36:AX36" si="26">SUM(S31:S35)</f>
        <v>0</v>
      </c>
      <c r="T36" s="10">
        <f t="shared" si="26"/>
        <v>0</v>
      </c>
      <c r="U36" s="10">
        <f t="shared" si="26"/>
        <v>-21224</v>
      </c>
      <c r="V36" s="10">
        <f t="shared" si="26"/>
        <v>-21224</v>
      </c>
      <c r="W36" s="10">
        <f t="shared" si="26"/>
        <v>0</v>
      </c>
      <c r="X36" s="10">
        <f t="shared" si="26"/>
        <v>0</v>
      </c>
      <c r="Y36" s="10">
        <f t="shared" si="26"/>
        <v>0</v>
      </c>
      <c r="Z36" s="10">
        <f t="shared" si="26"/>
        <v>-21224</v>
      </c>
      <c r="AA36" s="10">
        <f t="shared" si="26"/>
        <v>-7174</v>
      </c>
      <c r="AB36" s="10">
        <f t="shared" si="26"/>
        <v>-424</v>
      </c>
      <c r="AC36" s="10">
        <f t="shared" si="26"/>
        <v>0</v>
      </c>
      <c r="AD36" s="10">
        <f t="shared" si="26"/>
        <v>28822</v>
      </c>
      <c r="AE36" s="10">
        <f t="shared" si="26"/>
        <v>28822</v>
      </c>
      <c r="AF36" s="10">
        <f t="shared" si="26"/>
        <v>0</v>
      </c>
      <c r="AG36" s="11">
        <f t="shared" si="26"/>
        <v>0</v>
      </c>
      <c r="AH36" s="11">
        <f t="shared" si="26"/>
        <v>0</v>
      </c>
      <c r="AI36" s="11">
        <f t="shared" si="26"/>
        <v>0</v>
      </c>
      <c r="AJ36" s="11">
        <f t="shared" si="26"/>
        <v>0</v>
      </c>
      <c r="AK36" s="11">
        <f t="shared" si="26"/>
        <v>0</v>
      </c>
      <c r="AL36" s="11">
        <f t="shared" si="26"/>
        <v>0</v>
      </c>
      <c r="AM36" s="11">
        <f t="shared" si="26"/>
        <v>0</v>
      </c>
      <c r="AN36" s="32">
        <f t="shared" si="26"/>
        <v>0</v>
      </c>
      <c r="AO36" s="6">
        <f t="shared" si="26"/>
        <v>5967138</v>
      </c>
      <c r="AP36" s="10">
        <f t="shared" si="26"/>
        <v>4275765</v>
      </c>
      <c r="AQ36" s="71">
        <f t="shared" si="26"/>
        <v>14588</v>
      </c>
      <c r="AR36" s="71">
        <f t="shared" si="26"/>
        <v>4588</v>
      </c>
      <c r="AS36" s="10">
        <f t="shared" si="26"/>
        <v>1448588</v>
      </c>
      <c r="AT36" s="10">
        <f t="shared" si="26"/>
        <v>85515</v>
      </c>
      <c r="AU36" s="10">
        <f t="shared" si="26"/>
        <v>142682</v>
      </c>
      <c r="AV36" s="11">
        <f t="shared" si="26"/>
        <v>9.5179000000000009</v>
      </c>
      <c r="AW36" s="11">
        <f t="shared" si="26"/>
        <v>5.5766</v>
      </c>
      <c r="AX36" s="75">
        <f t="shared" si="26"/>
        <v>3.9412999999999996</v>
      </c>
    </row>
    <row r="37" spans="1:50" x14ac:dyDescent="0.2">
      <c r="A37" s="710">
        <v>7</v>
      </c>
      <c r="B37" s="711">
        <v>3404</v>
      </c>
      <c r="C37" s="711">
        <v>650023021</v>
      </c>
      <c r="D37" s="711">
        <v>70982597</v>
      </c>
      <c r="E37" s="712" t="s">
        <v>97</v>
      </c>
      <c r="F37" s="711">
        <v>3111</v>
      </c>
      <c r="G37" s="713" t="s">
        <v>317</v>
      </c>
      <c r="H37" s="714" t="s">
        <v>283</v>
      </c>
      <c r="I37" s="495">
        <v>5636572</v>
      </c>
      <c r="J37" s="496">
        <v>4113013</v>
      </c>
      <c r="K37" s="475">
        <v>0</v>
      </c>
      <c r="L37" s="475">
        <v>0</v>
      </c>
      <c r="M37" s="319">
        <v>1390199</v>
      </c>
      <c r="N37" s="319">
        <v>82260</v>
      </c>
      <c r="O37" s="496">
        <v>51100</v>
      </c>
      <c r="P37" s="497">
        <v>9.8137000000000008</v>
      </c>
      <c r="Q37" s="412">
        <v>7.97</v>
      </c>
      <c r="R37" s="498">
        <v>1.8436999999999999</v>
      </c>
      <c r="S37" s="499">
        <f t="shared" ref="S37:S42" si="27">W37*-1</f>
        <v>0</v>
      </c>
      <c r="T37" s="486">
        <v>0</v>
      </c>
      <c r="U37" s="486">
        <v>0</v>
      </c>
      <c r="V37" s="486">
        <f t="shared" ref="V37:V42" si="28">SUM(S37:U37)</f>
        <v>0</v>
      </c>
      <c r="W37" s="486">
        <v>0</v>
      </c>
      <c r="X37" s="486">
        <v>0</v>
      </c>
      <c r="Y37" s="486">
        <f t="shared" ref="Y37:Y42" si="29">SUM(W37:X37)</f>
        <v>0</v>
      </c>
      <c r="Z37" s="486">
        <f t="shared" ref="Z37:Z42" si="30">V37+Y37</f>
        <v>0</v>
      </c>
      <c r="AA37" s="319">
        <f t="shared" ref="AA37:AA42" si="31">ROUND((V37+W37)*33.8%,0)</f>
        <v>0</v>
      </c>
      <c r="AB37" s="178">
        <f t="shared" ref="AB37:AB42" si="32">ROUND(V37*2%,0)</f>
        <v>0</v>
      </c>
      <c r="AC37" s="486">
        <v>0</v>
      </c>
      <c r="AD37" s="486">
        <v>0</v>
      </c>
      <c r="AE37" s="486">
        <f t="shared" si="2"/>
        <v>0</v>
      </c>
      <c r="AF37" s="486">
        <f t="shared" si="3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ref="AL37:AL42" si="33">AG37+AI37+AJ37</f>
        <v>0</v>
      </c>
      <c r="AM37" s="501">
        <f t="shared" ref="AM37:AM42" si="34">AH37+AK37</f>
        <v>0</v>
      </c>
      <c r="AN37" s="529">
        <f t="shared" si="5"/>
        <v>0</v>
      </c>
      <c r="AO37" s="530">
        <f t="shared" ref="AO37:AO42" si="35">I37+AF37</f>
        <v>5636572</v>
      </c>
      <c r="AP37" s="486">
        <f t="shared" ref="AP37:AP42" si="36">J37+V37</f>
        <v>4113013</v>
      </c>
      <c r="AQ37" s="486">
        <f t="shared" ref="AQ37:AQ42" si="37">K37+Y37</f>
        <v>0</v>
      </c>
      <c r="AR37" s="486">
        <f t="shared" ref="AR37:AR42" si="38">L37</f>
        <v>0</v>
      </c>
      <c r="AS37" s="486">
        <f t="shared" ref="AS37:AT42" si="39">M37+AA37</f>
        <v>1390199</v>
      </c>
      <c r="AT37" s="486">
        <f t="shared" si="39"/>
        <v>82260</v>
      </c>
      <c r="AU37" s="486">
        <f t="shared" ref="AU37:AU42" si="40">O37+AE37</f>
        <v>51100</v>
      </c>
      <c r="AV37" s="501">
        <f t="shared" ref="AV37:AV42" si="41">P37+AN37</f>
        <v>9.8137000000000008</v>
      </c>
      <c r="AW37" s="501">
        <f t="shared" ref="AW37:AX42" si="42">Q37+AL37</f>
        <v>7.97</v>
      </c>
      <c r="AX37" s="502">
        <f t="shared" si="42"/>
        <v>1.8436999999999999</v>
      </c>
    </row>
    <row r="38" spans="1:50" x14ac:dyDescent="0.2">
      <c r="A38" s="710">
        <v>7</v>
      </c>
      <c r="B38" s="711">
        <v>3404</v>
      </c>
      <c r="C38" s="711">
        <v>650023021</v>
      </c>
      <c r="D38" s="711">
        <v>70982597</v>
      </c>
      <c r="E38" s="712" t="s">
        <v>97</v>
      </c>
      <c r="F38" s="711">
        <v>3113</v>
      </c>
      <c r="G38" s="713" t="s">
        <v>320</v>
      </c>
      <c r="H38" s="714" t="s">
        <v>283</v>
      </c>
      <c r="I38" s="495">
        <v>18529447</v>
      </c>
      <c r="J38" s="496">
        <v>13169489</v>
      </c>
      <c r="K38" s="496">
        <v>71852</v>
      </c>
      <c r="L38" s="496">
        <v>36852</v>
      </c>
      <c r="M38" s="496">
        <v>4463116</v>
      </c>
      <c r="N38" s="496">
        <v>263390</v>
      </c>
      <c r="O38" s="496">
        <v>561600</v>
      </c>
      <c r="P38" s="497">
        <v>26.430400000000006</v>
      </c>
      <c r="Q38" s="412">
        <v>19.525300000000001</v>
      </c>
      <c r="R38" s="498">
        <v>6.9051000000000045</v>
      </c>
      <c r="S38" s="499">
        <f t="shared" si="27"/>
        <v>0</v>
      </c>
      <c r="T38" s="486">
        <v>0</v>
      </c>
      <c r="U38" s="486">
        <v>0</v>
      </c>
      <c r="V38" s="486">
        <f t="shared" si="28"/>
        <v>0</v>
      </c>
      <c r="W38" s="486">
        <v>0</v>
      </c>
      <c r="X38" s="486">
        <v>0</v>
      </c>
      <c r="Y38" s="486">
        <f t="shared" si="29"/>
        <v>0</v>
      </c>
      <c r="Z38" s="486">
        <f t="shared" si="30"/>
        <v>0</v>
      </c>
      <c r="AA38" s="319">
        <f t="shared" si="31"/>
        <v>0</v>
      </c>
      <c r="AB38" s="178">
        <f t="shared" si="32"/>
        <v>0</v>
      </c>
      <c r="AC38" s="486">
        <v>0</v>
      </c>
      <c r="AD38" s="486">
        <v>0</v>
      </c>
      <c r="AE38" s="486">
        <f t="shared" si="2"/>
        <v>0</v>
      </c>
      <c r="AF38" s="486">
        <f t="shared" si="3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si="33"/>
        <v>0</v>
      </c>
      <c r="AM38" s="501">
        <f t="shared" si="34"/>
        <v>0</v>
      </c>
      <c r="AN38" s="529">
        <f t="shared" si="5"/>
        <v>0</v>
      </c>
      <c r="AO38" s="530">
        <f t="shared" si="35"/>
        <v>18529447</v>
      </c>
      <c r="AP38" s="486">
        <f t="shared" si="36"/>
        <v>13169489</v>
      </c>
      <c r="AQ38" s="486">
        <f t="shared" si="37"/>
        <v>71852</v>
      </c>
      <c r="AR38" s="486">
        <f t="shared" si="38"/>
        <v>36852</v>
      </c>
      <c r="AS38" s="486">
        <f t="shared" si="39"/>
        <v>4463116</v>
      </c>
      <c r="AT38" s="486">
        <f t="shared" si="39"/>
        <v>263390</v>
      </c>
      <c r="AU38" s="486">
        <f t="shared" si="40"/>
        <v>561600</v>
      </c>
      <c r="AV38" s="501">
        <f t="shared" si="41"/>
        <v>26.430400000000006</v>
      </c>
      <c r="AW38" s="501">
        <f t="shared" si="42"/>
        <v>19.525300000000001</v>
      </c>
      <c r="AX38" s="502">
        <f t="shared" si="42"/>
        <v>6.9051000000000045</v>
      </c>
    </row>
    <row r="39" spans="1:50" x14ac:dyDescent="0.2">
      <c r="A39" s="710">
        <v>7</v>
      </c>
      <c r="B39" s="711">
        <v>3404</v>
      </c>
      <c r="C39" s="711">
        <v>650023021</v>
      </c>
      <c r="D39" s="711">
        <v>70982597</v>
      </c>
      <c r="E39" s="712" t="s">
        <v>97</v>
      </c>
      <c r="F39" s="711">
        <v>3113</v>
      </c>
      <c r="G39" s="713" t="s">
        <v>318</v>
      </c>
      <c r="H39" s="714" t="s">
        <v>284</v>
      </c>
      <c r="I39" s="495">
        <v>2541183</v>
      </c>
      <c r="J39" s="496">
        <v>1862433</v>
      </c>
      <c r="K39" s="475">
        <v>0</v>
      </c>
      <c r="L39" s="475">
        <v>0</v>
      </c>
      <c r="M39" s="319">
        <v>629502</v>
      </c>
      <c r="N39" s="319">
        <v>37248</v>
      </c>
      <c r="O39" s="496">
        <v>12000</v>
      </c>
      <c r="P39" s="497">
        <v>5.4399999999999995</v>
      </c>
      <c r="Q39" s="412">
        <v>5.4399999999999995</v>
      </c>
      <c r="R39" s="498">
        <v>0</v>
      </c>
      <c r="S39" s="499">
        <f t="shared" si="27"/>
        <v>0</v>
      </c>
      <c r="T39" s="486">
        <v>0</v>
      </c>
      <c r="U39" s="486">
        <v>0</v>
      </c>
      <c r="V39" s="486">
        <f t="shared" si="28"/>
        <v>0</v>
      </c>
      <c r="W39" s="486">
        <v>0</v>
      </c>
      <c r="X39" s="486">
        <v>0</v>
      </c>
      <c r="Y39" s="486">
        <f t="shared" si="29"/>
        <v>0</v>
      </c>
      <c r="Z39" s="486">
        <f t="shared" si="30"/>
        <v>0</v>
      </c>
      <c r="AA39" s="319">
        <f t="shared" si="31"/>
        <v>0</v>
      </c>
      <c r="AB39" s="178">
        <f t="shared" si="32"/>
        <v>0</v>
      </c>
      <c r="AC39" s="486">
        <v>0</v>
      </c>
      <c r="AD39" s="486">
        <v>0</v>
      </c>
      <c r="AE39" s="486">
        <f t="shared" si="2"/>
        <v>0</v>
      </c>
      <c r="AF39" s="486">
        <f t="shared" si="3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si="33"/>
        <v>0</v>
      </c>
      <c r="AM39" s="501">
        <f t="shared" si="34"/>
        <v>0</v>
      </c>
      <c r="AN39" s="529">
        <f t="shared" si="5"/>
        <v>0</v>
      </c>
      <c r="AO39" s="530">
        <f t="shared" si="35"/>
        <v>2541183</v>
      </c>
      <c r="AP39" s="486">
        <f t="shared" si="36"/>
        <v>1862433</v>
      </c>
      <c r="AQ39" s="486">
        <f t="shared" si="37"/>
        <v>0</v>
      </c>
      <c r="AR39" s="486">
        <f t="shared" si="38"/>
        <v>0</v>
      </c>
      <c r="AS39" s="486">
        <f t="shared" si="39"/>
        <v>629502</v>
      </c>
      <c r="AT39" s="486">
        <f t="shared" si="39"/>
        <v>37248</v>
      </c>
      <c r="AU39" s="486">
        <f t="shared" si="40"/>
        <v>12000</v>
      </c>
      <c r="AV39" s="501">
        <f t="shared" si="41"/>
        <v>5.4399999999999995</v>
      </c>
      <c r="AW39" s="501">
        <f t="shared" si="42"/>
        <v>5.4399999999999995</v>
      </c>
      <c r="AX39" s="502">
        <f t="shared" si="42"/>
        <v>0</v>
      </c>
    </row>
    <row r="40" spans="1:50" x14ac:dyDescent="0.2">
      <c r="A40" s="710">
        <v>7</v>
      </c>
      <c r="B40" s="711">
        <v>3404</v>
      </c>
      <c r="C40" s="711">
        <v>650023021</v>
      </c>
      <c r="D40" s="711">
        <v>70982597</v>
      </c>
      <c r="E40" s="712" t="s">
        <v>97</v>
      </c>
      <c r="F40" s="711">
        <v>3141</v>
      </c>
      <c r="G40" s="713" t="s">
        <v>321</v>
      </c>
      <c r="H40" s="714" t="s">
        <v>284</v>
      </c>
      <c r="I40" s="495">
        <v>2349837</v>
      </c>
      <c r="J40" s="496">
        <v>1717623</v>
      </c>
      <c r="K40" s="475">
        <v>0</v>
      </c>
      <c r="L40" s="475">
        <v>0</v>
      </c>
      <c r="M40" s="319">
        <v>580557</v>
      </c>
      <c r="N40" s="319">
        <v>34353</v>
      </c>
      <c r="O40" s="496">
        <v>17304</v>
      </c>
      <c r="P40" s="497">
        <v>5.8299999999999992</v>
      </c>
      <c r="Q40" s="412">
        <v>0</v>
      </c>
      <c r="R40" s="498">
        <v>5.8299999999999992</v>
      </c>
      <c r="S40" s="499">
        <f t="shared" si="27"/>
        <v>0</v>
      </c>
      <c r="T40" s="486">
        <v>0</v>
      </c>
      <c r="U40" s="486">
        <v>0</v>
      </c>
      <c r="V40" s="486">
        <f t="shared" si="28"/>
        <v>0</v>
      </c>
      <c r="W40" s="486">
        <v>0</v>
      </c>
      <c r="X40" s="486">
        <v>0</v>
      </c>
      <c r="Y40" s="486">
        <f t="shared" si="29"/>
        <v>0</v>
      </c>
      <c r="Z40" s="486">
        <f t="shared" si="30"/>
        <v>0</v>
      </c>
      <c r="AA40" s="319">
        <f t="shared" si="31"/>
        <v>0</v>
      </c>
      <c r="AB40" s="178">
        <f t="shared" si="32"/>
        <v>0</v>
      </c>
      <c r="AC40" s="486">
        <v>0</v>
      </c>
      <c r="AD40" s="486">
        <v>0</v>
      </c>
      <c r="AE40" s="486">
        <f t="shared" si="2"/>
        <v>0</v>
      </c>
      <c r="AF40" s="486">
        <f t="shared" si="3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33"/>
        <v>0</v>
      </c>
      <c r="AM40" s="501">
        <f t="shared" si="34"/>
        <v>0</v>
      </c>
      <c r="AN40" s="529">
        <f t="shared" si="5"/>
        <v>0</v>
      </c>
      <c r="AO40" s="530">
        <f t="shared" si="35"/>
        <v>2349837</v>
      </c>
      <c r="AP40" s="486">
        <f t="shared" si="36"/>
        <v>1717623</v>
      </c>
      <c r="AQ40" s="486">
        <f t="shared" si="37"/>
        <v>0</v>
      </c>
      <c r="AR40" s="486">
        <f t="shared" si="38"/>
        <v>0</v>
      </c>
      <c r="AS40" s="486">
        <f t="shared" si="39"/>
        <v>580557</v>
      </c>
      <c r="AT40" s="486">
        <f t="shared" si="39"/>
        <v>34353</v>
      </c>
      <c r="AU40" s="486">
        <f t="shared" si="40"/>
        <v>17304</v>
      </c>
      <c r="AV40" s="501">
        <f t="shared" si="41"/>
        <v>5.8299999999999992</v>
      </c>
      <c r="AW40" s="501">
        <f t="shared" si="42"/>
        <v>0</v>
      </c>
      <c r="AX40" s="502">
        <f t="shared" si="42"/>
        <v>5.8299999999999992</v>
      </c>
    </row>
    <row r="41" spans="1:50" s="3" customFormat="1" x14ac:dyDescent="0.2">
      <c r="A41" s="710">
        <v>7</v>
      </c>
      <c r="B41" s="711">
        <v>3404</v>
      </c>
      <c r="C41" s="711">
        <v>650023021</v>
      </c>
      <c r="D41" s="711">
        <v>70982597</v>
      </c>
      <c r="E41" s="712" t="s">
        <v>97</v>
      </c>
      <c r="F41" s="711">
        <v>3143</v>
      </c>
      <c r="G41" s="713" t="s">
        <v>634</v>
      </c>
      <c r="H41" s="701" t="s">
        <v>283</v>
      </c>
      <c r="I41" s="495">
        <v>1341976</v>
      </c>
      <c r="J41" s="496">
        <v>988200</v>
      </c>
      <c r="K41" s="475">
        <v>0</v>
      </c>
      <c r="L41" s="475">
        <v>0</v>
      </c>
      <c r="M41" s="319">
        <v>334012</v>
      </c>
      <c r="N41" s="319">
        <v>19764</v>
      </c>
      <c r="O41" s="496">
        <v>0</v>
      </c>
      <c r="P41" s="497">
        <v>2</v>
      </c>
      <c r="Q41" s="412">
        <v>2</v>
      </c>
      <c r="R41" s="498">
        <v>0</v>
      </c>
      <c r="S41" s="499">
        <f t="shared" si="27"/>
        <v>0</v>
      </c>
      <c r="T41" s="486">
        <v>0</v>
      </c>
      <c r="U41" s="486">
        <v>0</v>
      </c>
      <c r="V41" s="486">
        <f t="shared" si="28"/>
        <v>0</v>
      </c>
      <c r="W41" s="486">
        <v>0</v>
      </c>
      <c r="X41" s="486">
        <v>0</v>
      </c>
      <c r="Y41" s="486">
        <f t="shared" si="29"/>
        <v>0</v>
      </c>
      <c r="Z41" s="486">
        <f t="shared" si="30"/>
        <v>0</v>
      </c>
      <c r="AA41" s="319">
        <f t="shared" si="31"/>
        <v>0</v>
      </c>
      <c r="AB41" s="178">
        <f t="shared" si="32"/>
        <v>0</v>
      </c>
      <c r="AC41" s="486">
        <v>0</v>
      </c>
      <c r="AD41" s="486">
        <v>0</v>
      </c>
      <c r="AE41" s="486">
        <f t="shared" si="2"/>
        <v>0</v>
      </c>
      <c r="AF41" s="486">
        <f t="shared" si="3"/>
        <v>0</v>
      </c>
      <c r="AG41" s="501">
        <v>0</v>
      </c>
      <c r="AH41" s="501">
        <v>0</v>
      </c>
      <c r="AI41" s="501">
        <v>0</v>
      </c>
      <c r="AJ41" s="501">
        <v>0</v>
      </c>
      <c r="AK41" s="501">
        <v>0</v>
      </c>
      <c r="AL41" s="501">
        <f t="shared" si="33"/>
        <v>0</v>
      </c>
      <c r="AM41" s="501">
        <f t="shared" si="34"/>
        <v>0</v>
      </c>
      <c r="AN41" s="529">
        <f t="shared" si="5"/>
        <v>0</v>
      </c>
      <c r="AO41" s="530">
        <f t="shared" si="35"/>
        <v>1341976</v>
      </c>
      <c r="AP41" s="486">
        <f t="shared" si="36"/>
        <v>988200</v>
      </c>
      <c r="AQ41" s="486">
        <f t="shared" si="37"/>
        <v>0</v>
      </c>
      <c r="AR41" s="486">
        <f t="shared" si="38"/>
        <v>0</v>
      </c>
      <c r="AS41" s="486">
        <f t="shared" si="39"/>
        <v>334012</v>
      </c>
      <c r="AT41" s="486">
        <f t="shared" si="39"/>
        <v>19764</v>
      </c>
      <c r="AU41" s="486">
        <f t="shared" si="40"/>
        <v>0</v>
      </c>
      <c r="AV41" s="501">
        <f t="shared" si="41"/>
        <v>2</v>
      </c>
      <c r="AW41" s="501">
        <f t="shared" si="42"/>
        <v>2</v>
      </c>
      <c r="AX41" s="502">
        <f t="shared" si="42"/>
        <v>0</v>
      </c>
    </row>
    <row r="42" spans="1:50" s="3" customFormat="1" x14ac:dyDescent="0.2">
      <c r="A42" s="710">
        <v>7</v>
      </c>
      <c r="B42" s="711">
        <v>3404</v>
      </c>
      <c r="C42" s="711">
        <v>650023021</v>
      </c>
      <c r="D42" s="711">
        <v>70982597</v>
      </c>
      <c r="E42" s="712" t="s">
        <v>97</v>
      </c>
      <c r="F42" s="711">
        <v>3143</v>
      </c>
      <c r="G42" s="713" t="s">
        <v>635</v>
      </c>
      <c r="H42" s="701" t="s">
        <v>284</v>
      </c>
      <c r="I42" s="495">
        <v>42133</v>
      </c>
      <c r="J42" s="496">
        <v>29700</v>
      </c>
      <c r="K42" s="475">
        <v>0</v>
      </c>
      <c r="L42" s="475">
        <v>0</v>
      </c>
      <c r="M42" s="319">
        <v>10039</v>
      </c>
      <c r="N42" s="319">
        <v>594</v>
      </c>
      <c r="O42" s="496">
        <v>1800</v>
      </c>
      <c r="P42" s="497">
        <v>0.13</v>
      </c>
      <c r="Q42" s="412">
        <v>0</v>
      </c>
      <c r="R42" s="498">
        <v>0.13</v>
      </c>
      <c r="S42" s="499">
        <f t="shared" si="27"/>
        <v>0</v>
      </c>
      <c r="T42" s="486">
        <v>0</v>
      </c>
      <c r="U42" s="486">
        <v>0</v>
      </c>
      <c r="V42" s="486">
        <f t="shared" si="28"/>
        <v>0</v>
      </c>
      <c r="W42" s="486">
        <v>0</v>
      </c>
      <c r="X42" s="486">
        <v>0</v>
      </c>
      <c r="Y42" s="486">
        <f t="shared" si="29"/>
        <v>0</v>
      </c>
      <c r="Z42" s="486">
        <f t="shared" si="30"/>
        <v>0</v>
      </c>
      <c r="AA42" s="319">
        <f t="shared" si="31"/>
        <v>0</v>
      </c>
      <c r="AB42" s="178">
        <f t="shared" si="32"/>
        <v>0</v>
      </c>
      <c r="AC42" s="486">
        <v>0</v>
      </c>
      <c r="AD42" s="486">
        <v>0</v>
      </c>
      <c r="AE42" s="486">
        <f t="shared" si="2"/>
        <v>0</v>
      </c>
      <c r="AF42" s="486">
        <f t="shared" si="3"/>
        <v>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si="33"/>
        <v>0</v>
      </c>
      <c r="AM42" s="501">
        <f t="shared" si="34"/>
        <v>0</v>
      </c>
      <c r="AN42" s="529">
        <f t="shared" si="5"/>
        <v>0</v>
      </c>
      <c r="AO42" s="530">
        <f t="shared" si="35"/>
        <v>42133</v>
      </c>
      <c r="AP42" s="486">
        <f t="shared" si="36"/>
        <v>29700</v>
      </c>
      <c r="AQ42" s="486">
        <f t="shared" si="37"/>
        <v>0</v>
      </c>
      <c r="AR42" s="486">
        <f t="shared" si="38"/>
        <v>0</v>
      </c>
      <c r="AS42" s="486">
        <f t="shared" si="39"/>
        <v>10039</v>
      </c>
      <c r="AT42" s="486">
        <f t="shared" si="39"/>
        <v>594</v>
      </c>
      <c r="AU42" s="486">
        <f t="shared" si="40"/>
        <v>1800</v>
      </c>
      <c r="AV42" s="501">
        <f t="shared" si="41"/>
        <v>0.13</v>
      </c>
      <c r="AW42" s="501">
        <f t="shared" si="42"/>
        <v>0</v>
      </c>
      <c r="AX42" s="502">
        <f t="shared" si="42"/>
        <v>0.13</v>
      </c>
    </row>
    <row r="43" spans="1:50" x14ac:dyDescent="0.2">
      <c r="A43" s="282">
        <v>7</v>
      </c>
      <c r="B43" s="27">
        <v>3404</v>
      </c>
      <c r="C43" s="27">
        <v>650023021</v>
      </c>
      <c r="D43" s="27">
        <v>70982597</v>
      </c>
      <c r="E43" s="292" t="s">
        <v>98</v>
      </c>
      <c r="F43" s="27"/>
      <c r="G43" s="281"/>
      <c r="H43" s="377"/>
      <c r="I43" s="6">
        <v>30441148</v>
      </c>
      <c r="J43" s="10">
        <v>21880458</v>
      </c>
      <c r="K43" s="10">
        <v>71852</v>
      </c>
      <c r="L43" s="10">
        <v>36852</v>
      </c>
      <c r="M43" s="10">
        <v>7407425</v>
      </c>
      <c r="N43" s="10">
        <v>437609</v>
      </c>
      <c r="O43" s="10">
        <v>643804</v>
      </c>
      <c r="P43" s="11">
        <v>49.644100000000002</v>
      </c>
      <c r="Q43" s="11">
        <v>34.935299999999998</v>
      </c>
      <c r="R43" s="75">
        <v>14.708800000000005</v>
      </c>
      <c r="S43" s="271">
        <f t="shared" ref="S43:AX43" si="43">SUM(S37:S42)</f>
        <v>0</v>
      </c>
      <c r="T43" s="10">
        <f t="shared" si="43"/>
        <v>0</v>
      </c>
      <c r="U43" s="10">
        <f t="shared" si="43"/>
        <v>0</v>
      </c>
      <c r="V43" s="10">
        <f t="shared" si="43"/>
        <v>0</v>
      </c>
      <c r="W43" s="10">
        <f t="shared" si="43"/>
        <v>0</v>
      </c>
      <c r="X43" s="10">
        <f t="shared" si="43"/>
        <v>0</v>
      </c>
      <c r="Y43" s="10">
        <f t="shared" si="43"/>
        <v>0</v>
      </c>
      <c r="Z43" s="10">
        <f t="shared" si="43"/>
        <v>0</v>
      </c>
      <c r="AA43" s="10">
        <f t="shared" si="43"/>
        <v>0</v>
      </c>
      <c r="AB43" s="10">
        <f t="shared" si="43"/>
        <v>0</v>
      </c>
      <c r="AC43" s="10">
        <f t="shared" si="43"/>
        <v>0</v>
      </c>
      <c r="AD43" s="10">
        <f t="shared" si="43"/>
        <v>0</v>
      </c>
      <c r="AE43" s="10">
        <f t="shared" si="43"/>
        <v>0</v>
      </c>
      <c r="AF43" s="10">
        <f t="shared" si="43"/>
        <v>0</v>
      </c>
      <c r="AG43" s="11">
        <f t="shared" si="43"/>
        <v>0</v>
      </c>
      <c r="AH43" s="11">
        <f t="shared" si="43"/>
        <v>0</v>
      </c>
      <c r="AI43" s="11">
        <f t="shared" si="43"/>
        <v>0</v>
      </c>
      <c r="AJ43" s="11">
        <f t="shared" si="43"/>
        <v>0</v>
      </c>
      <c r="AK43" s="11">
        <f t="shared" si="43"/>
        <v>0</v>
      </c>
      <c r="AL43" s="11">
        <f t="shared" si="43"/>
        <v>0</v>
      </c>
      <c r="AM43" s="11">
        <f t="shared" si="43"/>
        <v>0</v>
      </c>
      <c r="AN43" s="32">
        <f t="shared" si="43"/>
        <v>0</v>
      </c>
      <c r="AO43" s="6">
        <f t="shared" si="43"/>
        <v>30441148</v>
      </c>
      <c r="AP43" s="10">
        <f t="shared" si="43"/>
        <v>21880458</v>
      </c>
      <c r="AQ43" s="71">
        <f t="shared" si="43"/>
        <v>71852</v>
      </c>
      <c r="AR43" s="71">
        <f t="shared" si="43"/>
        <v>36852</v>
      </c>
      <c r="AS43" s="10">
        <f t="shared" si="43"/>
        <v>7407425</v>
      </c>
      <c r="AT43" s="10">
        <f t="shared" si="43"/>
        <v>437609</v>
      </c>
      <c r="AU43" s="10">
        <f t="shared" si="43"/>
        <v>643804</v>
      </c>
      <c r="AV43" s="11">
        <f t="shared" si="43"/>
        <v>49.644100000000002</v>
      </c>
      <c r="AW43" s="11">
        <f t="shared" si="43"/>
        <v>34.935299999999998</v>
      </c>
      <c r="AX43" s="75">
        <f t="shared" si="43"/>
        <v>14.708800000000005</v>
      </c>
    </row>
    <row r="44" spans="1:50" x14ac:dyDescent="0.2">
      <c r="A44" s="710">
        <v>8</v>
      </c>
      <c r="B44" s="711">
        <v>3477</v>
      </c>
      <c r="C44" s="711">
        <v>600098451</v>
      </c>
      <c r="D44" s="711">
        <v>70695491</v>
      </c>
      <c r="E44" s="712" t="s">
        <v>99</v>
      </c>
      <c r="F44" s="711">
        <v>3111</v>
      </c>
      <c r="G44" s="713" t="s">
        <v>317</v>
      </c>
      <c r="H44" s="714" t="s">
        <v>283</v>
      </c>
      <c r="I44" s="495">
        <v>3885858</v>
      </c>
      <c r="J44" s="496">
        <v>2836199</v>
      </c>
      <c r="K44" s="496">
        <v>0</v>
      </c>
      <c r="L44" s="496">
        <v>0</v>
      </c>
      <c r="M44" s="496">
        <v>958635</v>
      </c>
      <c r="N44" s="496">
        <v>56724</v>
      </c>
      <c r="O44" s="496">
        <v>34300</v>
      </c>
      <c r="P44" s="497">
        <v>6.9842000000000004</v>
      </c>
      <c r="Q44" s="412">
        <v>5</v>
      </c>
      <c r="R44" s="498">
        <v>1.9842000000000004</v>
      </c>
      <c r="S44" s="499">
        <f t="shared" ref="S44:S46" si="44">W44*-1</f>
        <v>0</v>
      </c>
      <c r="T44" s="486">
        <v>0</v>
      </c>
      <c r="U44" s="486">
        <v>0</v>
      </c>
      <c r="V44" s="486">
        <f>SUM(S44:U44)</f>
        <v>0</v>
      </c>
      <c r="W44" s="486">
        <v>0</v>
      </c>
      <c r="X44" s="486">
        <v>0</v>
      </c>
      <c r="Y44" s="486">
        <f>SUM(W44:X44)</f>
        <v>0</v>
      </c>
      <c r="Z44" s="486">
        <f>V44+Y44</f>
        <v>0</v>
      </c>
      <c r="AA44" s="319">
        <f>ROUND((V44+W44)*33.8%,0)</f>
        <v>0</v>
      </c>
      <c r="AB44" s="178">
        <f>ROUND(V44*2%,0)</f>
        <v>0</v>
      </c>
      <c r="AC44" s="486">
        <v>0</v>
      </c>
      <c r="AD44" s="486">
        <v>0</v>
      </c>
      <c r="AE44" s="486">
        <f t="shared" si="2"/>
        <v>0</v>
      </c>
      <c r="AF44" s="486">
        <f t="shared" si="3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ref="AL44:AL46" si="45">AG44+AI44+AJ44</f>
        <v>0</v>
      </c>
      <c r="AM44" s="501">
        <f t="shared" ref="AM44:AM46" si="46">AH44+AK44</f>
        <v>0</v>
      </c>
      <c r="AN44" s="529">
        <f t="shared" si="5"/>
        <v>0</v>
      </c>
      <c r="AO44" s="530">
        <f>I44+AF44</f>
        <v>3885858</v>
      </c>
      <c r="AP44" s="486">
        <f>J44+V44</f>
        <v>2836199</v>
      </c>
      <c r="AQ44" s="486">
        <f>K44+Y44</f>
        <v>0</v>
      </c>
      <c r="AR44" s="486">
        <f>L44</f>
        <v>0</v>
      </c>
      <c r="AS44" s="486">
        <f t="shared" ref="AS44:AT46" si="47">M44+AA44</f>
        <v>958635</v>
      </c>
      <c r="AT44" s="486">
        <f t="shared" si="47"/>
        <v>56724</v>
      </c>
      <c r="AU44" s="486">
        <f>O44+AE44</f>
        <v>34300</v>
      </c>
      <c r="AV44" s="501">
        <f>P44+AN44</f>
        <v>6.9842000000000004</v>
      </c>
      <c r="AW44" s="501">
        <f t="shared" ref="AW44:AX46" si="48">Q44+AL44</f>
        <v>5</v>
      </c>
      <c r="AX44" s="502">
        <f t="shared" si="48"/>
        <v>1.9842000000000004</v>
      </c>
    </row>
    <row r="45" spans="1:50" x14ac:dyDescent="0.2">
      <c r="A45" s="710">
        <v>8</v>
      </c>
      <c r="B45" s="711">
        <v>3477</v>
      </c>
      <c r="C45" s="711">
        <v>600098451</v>
      </c>
      <c r="D45" s="711">
        <v>70695491</v>
      </c>
      <c r="E45" s="712" t="s">
        <v>99</v>
      </c>
      <c r="F45" s="711">
        <v>3111</v>
      </c>
      <c r="G45" s="713" t="s">
        <v>318</v>
      </c>
      <c r="H45" s="714" t="s">
        <v>284</v>
      </c>
      <c r="I45" s="495">
        <v>461179</v>
      </c>
      <c r="J45" s="496">
        <v>339602</v>
      </c>
      <c r="K45" s="475">
        <v>0</v>
      </c>
      <c r="L45" s="475">
        <v>0</v>
      </c>
      <c r="M45" s="319">
        <v>114785</v>
      </c>
      <c r="N45" s="319">
        <v>6792</v>
      </c>
      <c r="O45" s="496">
        <v>0</v>
      </c>
      <c r="P45" s="497">
        <v>1</v>
      </c>
      <c r="Q45" s="412">
        <v>1</v>
      </c>
      <c r="R45" s="498">
        <v>0</v>
      </c>
      <c r="S45" s="499">
        <f t="shared" si="44"/>
        <v>0</v>
      </c>
      <c r="T45" s="486">
        <v>0</v>
      </c>
      <c r="U45" s="486">
        <v>0</v>
      </c>
      <c r="V45" s="486">
        <f>SUM(S45:U45)</f>
        <v>0</v>
      </c>
      <c r="W45" s="486">
        <v>0</v>
      </c>
      <c r="X45" s="486">
        <v>0</v>
      </c>
      <c r="Y45" s="486">
        <f>SUM(W45:X45)</f>
        <v>0</v>
      </c>
      <c r="Z45" s="486">
        <f>V45+Y45</f>
        <v>0</v>
      </c>
      <c r="AA45" s="319">
        <f>ROUND((V45+W45)*33.8%,0)</f>
        <v>0</v>
      </c>
      <c r="AB45" s="178">
        <f>ROUND(V45*2%,0)</f>
        <v>0</v>
      </c>
      <c r="AC45" s="486">
        <v>0</v>
      </c>
      <c r="AD45" s="486">
        <v>0</v>
      </c>
      <c r="AE45" s="486">
        <f t="shared" si="2"/>
        <v>0</v>
      </c>
      <c r="AF45" s="486">
        <f t="shared" si="3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45"/>
        <v>0</v>
      </c>
      <c r="AM45" s="501">
        <f t="shared" si="46"/>
        <v>0</v>
      </c>
      <c r="AN45" s="529">
        <f t="shared" si="5"/>
        <v>0</v>
      </c>
      <c r="AO45" s="530">
        <f>I45+AF45</f>
        <v>461179</v>
      </c>
      <c r="AP45" s="486">
        <f>J45+V45</f>
        <v>339602</v>
      </c>
      <c r="AQ45" s="486">
        <f>K45+Y45</f>
        <v>0</v>
      </c>
      <c r="AR45" s="486">
        <f>L45</f>
        <v>0</v>
      </c>
      <c r="AS45" s="486">
        <f t="shared" si="47"/>
        <v>114785</v>
      </c>
      <c r="AT45" s="486">
        <f t="shared" si="47"/>
        <v>6792</v>
      </c>
      <c r="AU45" s="486">
        <f>O45+AE45</f>
        <v>0</v>
      </c>
      <c r="AV45" s="501">
        <f>P45+AN45</f>
        <v>1</v>
      </c>
      <c r="AW45" s="501">
        <f t="shared" si="48"/>
        <v>1</v>
      </c>
      <c r="AX45" s="502">
        <f t="shared" si="48"/>
        <v>0</v>
      </c>
    </row>
    <row r="46" spans="1:50" x14ac:dyDescent="0.2">
      <c r="A46" s="710">
        <v>8</v>
      </c>
      <c r="B46" s="711">
        <v>3477</v>
      </c>
      <c r="C46" s="711">
        <v>600098451</v>
      </c>
      <c r="D46" s="711">
        <v>70695491</v>
      </c>
      <c r="E46" s="712" t="s">
        <v>99</v>
      </c>
      <c r="F46" s="711">
        <v>3141</v>
      </c>
      <c r="G46" s="713" t="s">
        <v>321</v>
      </c>
      <c r="H46" s="714" t="s">
        <v>284</v>
      </c>
      <c r="I46" s="495">
        <v>636990</v>
      </c>
      <c r="J46" s="496">
        <v>466929</v>
      </c>
      <c r="K46" s="475">
        <v>0</v>
      </c>
      <c r="L46" s="475">
        <v>0</v>
      </c>
      <c r="M46" s="319">
        <v>157822</v>
      </c>
      <c r="N46" s="319">
        <v>9339</v>
      </c>
      <c r="O46" s="496">
        <v>2900</v>
      </c>
      <c r="P46" s="497">
        <v>1.59</v>
      </c>
      <c r="Q46" s="412">
        <v>0</v>
      </c>
      <c r="R46" s="498">
        <v>1.59</v>
      </c>
      <c r="S46" s="499">
        <f t="shared" si="44"/>
        <v>0</v>
      </c>
      <c r="T46" s="486">
        <v>0</v>
      </c>
      <c r="U46" s="486">
        <v>0</v>
      </c>
      <c r="V46" s="486">
        <f>SUM(S46:U46)</f>
        <v>0</v>
      </c>
      <c r="W46" s="486">
        <v>0</v>
      </c>
      <c r="X46" s="486">
        <v>0</v>
      </c>
      <c r="Y46" s="486">
        <f>SUM(W46:X46)</f>
        <v>0</v>
      </c>
      <c r="Z46" s="486">
        <f>V46+Y46</f>
        <v>0</v>
      </c>
      <c r="AA46" s="319">
        <f>ROUND((V46+W46)*33.8%,0)</f>
        <v>0</v>
      </c>
      <c r="AB46" s="178">
        <f>ROUND(V46*2%,0)</f>
        <v>0</v>
      </c>
      <c r="AC46" s="486">
        <v>0</v>
      </c>
      <c r="AD46" s="486">
        <v>0</v>
      </c>
      <c r="AE46" s="486">
        <f t="shared" si="2"/>
        <v>0</v>
      </c>
      <c r="AF46" s="486">
        <f t="shared" si="3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45"/>
        <v>0</v>
      </c>
      <c r="AM46" s="501">
        <f t="shared" si="46"/>
        <v>0</v>
      </c>
      <c r="AN46" s="529">
        <f t="shared" si="5"/>
        <v>0</v>
      </c>
      <c r="AO46" s="530">
        <f>I46+AF46</f>
        <v>636990</v>
      </c>
      <c r="AP46" s="486">
        <f>J46+V46</f>
        <v>466929</v>
      </c>
      <c r="AQ46" s="486">
        <f>K46+Y46</f>
        <v>0</v>
      </c>
      <c r="AR46" s="486">
        <f>L46</f>
        <v>0</v>
      </c>
      <c r="AS46" s="486">
        <f t="shared" si="47"/>
        <v>157822</v>
      </c>
      <c r="AT46" s="486">
        <f t="shared" si="47"/>
        <v>9339</v>
      </c>
      <c r="AU46" s="486">
        <f>O46+AE46</f>
        <v>2900</v>
      </c>
      <c r="AV46" s="501">
        <f>P46+AN46</f>
        <v>1.59</v>
      </c>
      <c r="AW46" s="501">
        <f t="shared" si="48"/>
        <v>0</v>
      </c>
      <c r="AX46" s="502">
        <f t="shared" si="48"/>
        <v>1.59</v>
      </c>
    </row>
    <row r="47" spans="1:50" x14ac:dyDescent="0.2">
      <c r="A47" s="282">
        <v>8</v>
      </c>
      <c r="B47" s="27">
        <v>3477</v>
      </c>
      <c r="C47" s="27">
        <v>600098451</v>
      </c>
      <c r="D47" s="27">
        <v>70695491</v>
      </c>
      <c r="E47" s="292" t="s">
        <v>100</v>
      </c>
      <c r="F47" s="27"/>
      <c r="G47" s="281"/>
      <c r="H47" s="377"/>
      <c r="I47" s="5">
        <v>4984027</v>
      </c>
      <c r="J47" s="8">
        <v>3642730</v>
      </c>
      <c r="K47" s="8">
        <v>0</v>
      </c>
      <c r="L47" s="8">
        <v>0</v>
      </c>
      <c r="M47" s="8">
        <v>1231242</v>
      </c>
      <c r="N47" s="8">
        <v>72855</v>
      </c>
      <c r="O47" s="8">
        <v>37200</v>
      </c>
      <c r="P47" s="9">
        <v>9.5742000000000012</v>
      </c>
      <c r="Q47" s="9">
        <v>6</v>
      </c>
      <c r="R47" s="74">
        <v>3.5742000000000003</v>
      </c>
      <c r="S47" s="270">
        <f t="shared" ref="S47:AX47" si="49">SUM(S44:S46)</f>
        <v>0</v>
      </c>
      <c r="T47" s="8">
        <f t="shared" si="49"/>
        <v>0</v>
      </c>
      <c r="U47" s="8">
        <f t="shared" si="49"/>
        <v>0</v>
      </c>
      <c r="V47" s="8">
        <f t="shared" si="49"/>
        <v>0</v>
      </c>
      <c r="W47" s="8">
        <f t="shared" si="49"/>
        <v>0</v>
      </c>
      <c r="X47" s="8">
        <f t="shared" si="49"/>
        <v>0</v>
      </c>
      <c r="Y47" s="8">
        <f t="shared" si="49"/>
        <v>0</v>
      </c>
      <c r="Z47" s="8">
        <f t="shared" si="49"/>
        <v>0</v>
      </c>
      <c r="AA47" s="8">
        <f t="shared" si="49"/>
        <v>0</v>
      </c>
      <c r="AB47" s="8">
        <f t="shared" si="49"/>
        <v>0</v>
      </c>
      <c r="AC47" s="8">
        <f t="shared" si="49"/>
        <v>0</v>
      </c>
      <c r="AD47" s="8">
        <f t="shared" si="49"/>
        <v>0</v>
      </c>
      <c r="AE47" s="8">
        <f t="shared" si="49"/>
        <v>0</v>
      </c>
      <c r="AF47" s="8">
        <f t="shared" si="49"/>
        <v>0</v>
      </c>
      <c r="AG47" s="9">
        <f t="shared" si="49"/>
        <v>0</v>
      </c>
      <c r="AH47" s="9">
        <f t="shared" si="49"/>
        <v>0</v>
      </c>
      <c r="AI47" s="9">
        <f t="shared" si="49"/>
        <v>0</v>
      </c>
      <c r="AJ47" s="9">
        <f t="shared" si="49"/>
        <v>0</v>
      </c>
      <c r="AK47" s="9">
        <f t="shared" si="49"/>
        <v>0</v>
      </c>
      <c r="AL47" s="9">
        <f t="shared" si="49"/>
        <v>0</v>
      </c>
      <c r="AM47" s="9">
        <f t="shared" si="49"/>
        <v>0</v>
      </c>
      <c r="AN47" s="33">
        <f t="shared" si="49"/>
        <v>0</v>
      </c>
      <c r="AO47" s="5">
        <f t="shared" si="49"/>
        <v>4984027</v>
      </c>
      <c r="AP47" s="8">
        <f t="shared" si="49"/>
        <v>3642730</v>
      </c>
      <c r="AQ47" s="38">
        <f t="shared" si="49"/>
        <v>0</v>
      </c>
      <c r="AR47" s="38">
        <f t="shared" si="49"/>
        <v>0</v>
      </c>
      <c r="AS47" s="8">
        <f t="shared" si="49"/>
        <v>1231242</v>
      </c>
      <c r="AT47" s="8">
        <f t="shared" si="49"/>
        <v>72855</v>
      </c>
      <c r="AU47" s="8">
        <f t="shared" si="49"/>
        <v>37200</v>
      </c>
      <c r="AV47" s="9">
        <f t="shared" si="49"/>
        <v>9.5742000000000012</v>
      </c>
      <c r="AW47" s="9">
        <f t="shared" si="49"/>
        <v>6</v>
      </c>
      <c r="AX47" s="74">
        <f t="shared" si="49"/>
        <v>3.5742000000000003</v>
      </c>
    </row>
    <row r="48" spans="1:50" x14ac:dyDescent="0.2">
      <c r="A48" s="710">
        <v>9</v>
      </c>
      <c r="B48" s="711">
        <v>3476</v>
      </c>
      <c r="C48" s="711">
        <v>600099164</v>
      </c>
      <c r="D48" s="711">
        <v>854808</v>
      </c>
      <c r="E48" s="712" t="s">
        <v>101</v>
      </c>
      <c r="F48" s="711">
        <v>3113</v>
      </c>
      <c r="G48" s="713" t="s">
        <v>320</v>
      </c>
      <c r="H48" s="714" t="s">
        <v>283</v>
      </c>
      <c r="I48" s="495">
        <v>10111061</v>
      </c>
      <c r="J48" s="496">
        <v>7222722</v>
      </c>
      <c r="K48" s="496">
        <v>18204</v>
      </c>
      <c r="L48" s="496">
        <v>18204</v>
      </c>
      <c r="M48" s="496">
        <v>2441280</v>
      </c>
      <c r="N48" s="496">
        <v>144455</v>
      </c>
      <c r="O48" s="496">
        <v>284400</v>
      </c>
      <c r="P48" s="497">
        <v>14.7499</v>
      </c>
      <c r="Q48" s="412">
        <v>11.0808</v>
      </c>
      <c r="R48" s="498">
        <v>3.6691000000000003</v>
      </c>
      <c r="S48" s="499">
        <f t="shared" ref="S48:S52" si="50">W48*-1</f>
        <v>0</v>
      </c>
      <c r="T48" s="486">
        <v>0</v>
      </c>
      <c r="U48" s="486">
        <v>0</v>
      </c>
      <c r="V48" s="486">
        <f>SUM(S48:U48)</f>
        <v>0</v>
      </c>
      <c r="W48" s="486">
        <v>0</v>
      </c>
      <c r="X48" s="486">
        <v>0</v>
      </c>
      <c r="Y48" s="486">
        <f>SUM(W48:X48)</f>
        <v>0</v>
      </c>
      <c r="Z48" s="486">
        <f>V48+Y48</f>
        <v>0</v>
      </c>
      <c r="AA48" s="319">
        <f>ROUND((V48+W48)*33.8%,0)</f>
        <v>0</v>
      </c>
      <c r="AB48" s="178">
        <f>ROUND(V48*2%,0)</f>
        <v>0</v>
      </c>
      <c r="AC48" s="486">
        <v>0</v>
      </c>
      <c r="AD48" s="486">
        <v>0</v>
      </c>
      <c r="AE48" s="486">
        <f t="shared" si="2"/>
        <v>0</v>
      </c>
      <c r="AF48" s="486">
        <f t="shared" si="3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ref="AL48:AL52" si="51">AG48+AI48+AJ48</f>
        <v>0</v>
      </c>
      <c r="AM48" s="501">
        <f t="shared" ref="AM48:AM52" si="52">AH48+AK48</f>
        <v>0</v>
      </c>
      <c r="AN48" s="529">
        <f t="shared" si="5"/>
        <v>0</v>
      </c>
      <c r="AO48" s="530">
        <f>I48+AF48</f>
        <v>10111061</v>
      </c>
      <c r="AP48" s="486">
        <f>J48+V48</f>
        <v>7222722</v>
      </c>
      <c r="AQ48" s="486">
        <f>K48+Y48</f>
        <v>18204</v>
      </c>
      <c r="AR48" s="486">
        <f>L48</f>
        <v>18204</v>
      </c>
      <c r="AS48" s="486">
        <f t="shared" ref="AS48:AT52" si="53">M48+AA48</f>
        <v>2441280</v>
      </c>
      <c r="AT48" s="486">
        <f t="shared" si="53"/>
        <v>144455</v>
      </c>
      <c r="AU48" s="486">
        <f>O48+AE48</f>
        <v>284400</v>
      </c>
      <c r="AV48" s="501">
        <f>P48+AN48</f>
        <v>14.7499</v>
      </c>
      <c r="AW48" s="501">
        <f t="shared" ref="AW48:AX52" si="54">Q48+AL48</f>
        <v>11.0808</v>
      </c>
      <c r="AX48" s="502">
        <f t="shared" si="54"/>
        <v>3.6691000000000003</v>
      </c>
    </row>
    <row r="49" spans="1:50" x14ac:dyDescent="0.2">
      <c r="A49" s="710">
        <v>9</v>
      </c>
      <c r="B49" s="711">
        <v>3476</v>
      </c>
      <c r="C49" s="711">
        <v>600099164</v>
      </c>
      <c r="D49" s="711">
        <v>854808</v>
      </c>
      <c r="E49" s="712" t="s">
        <v>101</v>
      </c>
      <c r="F49" s="711">
        <v>3113</v>
      </c>
      <c r="G49" s="713" t="s">
        <v>318</v>
      </c>
      <c r="H49" s="714" t="s">
        <v>284</v>
      </c>
      <c r="I49" s="495">
        <v>836747</v>
      </c>
      <c r="J49" s="496">
        <v>615793</v>
      </c>
      <c r="K49" s="475">
        <v>0</v>
      </c>
      <c r="L49" s="475">
        <v>0</v>
      </c>
      <c r="M49" s="319">
        <v>208138</v>
      </c>
      <c r="N49" s="319">
        <v>12316</v>
      </c>
      <c r="O49" s="496">
        <v>500</v>
      </c>
      <c r="P49" s="497">
        <v>1.9500000000000002</v>
      </c>
      <c r="Q49" s="412">
        <v>1.9500000000000002</v>
      </c>
      <c r="R49" s="498">
        <v>0</v>
      </c>
      <c r="S49" s="499">
        <f t="shared" si="50"/>
        <v>0</v>
      </c>
      <c r="T49" s="486">
        <v>0</v>
      </c>
      <c r="U49" s="486">
        <v>0</v>
      </c>
      <c r="V49" s="486">
        <f>SUM(S49:U49)</f>
        <v>0</v>
      </c>
      <c r="W49" s="486">
        <v>0</v>
      </c>
      <c r="X49" s="486">
        <v>0</v>
      </c>
      <c r="Y49" s="486">
        <f>SUM(W49:X49)</f>
        <v>0</v>
      </c>
      <c r="Z49" s="486">
        <f>V49+Y49</f>
        <v>0</v>
      </c>
      <c r="AA49" s="319">
        <f>ROUND((V49+W49)*33.8%,0)</f>
        <v>0</v>
      </c>
      <c r="AB49" s="178">
        <f>ROUND(V49*2%,0)</f>
        <v>0</v>
      </c>
      <c r="AC49" s="486">
        <v>0</v>
      </c>
      <c r="AD49" s="486">
        <v>0</v>
      </c>
      <c r="AE49" s="486">
        <f t="shared" si="2"/>
        <v>0</v>
      </c>
      <c r="AF49" s="486">
        <f t="shared" si="3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51"/>
        <v>0</v>
      </c>
      <c r="AM49" s="501">
        <f t="shared" si="52"/>
        <v>0</v>
      </c>
      <c r="AN49" s="529">
        <f t="shared" si="5"/>
        <v>0</v>
      </c>
      <c r="AO49" s="530">
        <f>I49+AF49</f>
        <v>836747</v>
      </c>
      <c r="AP49" s="486">
        <f>J49+V49</f>
        <v>615793</v>
      </c>
      <c r="AQ49" s="486">
        <f>K49+Y49</f>
        <v>0</v>
      </c>
      <c r="AR49" s="486">
        <f>L49</f>
        <v>0</v>
      </c>
      <c r="AS49" s="486">
        <f t="shared" si="53"/>
        <v>208138</v>
      </c>
      <c r="AT49" s="486">
        <f t="shared" si="53"/>
        <v>12316</v>
      </c>
      <c r="AU49" s="486">
        <f>O49+AE49</f>
        <v>500</v>
      </c>
      <c r="AV49" s="501">
        <f>P49+AN49</f>
        <v>1.9500000000000002</v>
      </c>
      <c r="AW49" s="501">
        <f t="shared" si="54"/>
        <v>1.9500000000000002</v>
      </c>
      <c r="AX49" s="502">
        <f t="shared" si="54"/>
        <v>0</v>
      </c>
    </row>
    <row r="50" spans="1:50" x14ac:dyDescent="0.2">
      <c r="A50" s="710">
        <v>9</v>
      </c>
      <c r="B50" s="711">
        <v>3476</v>
      </c>
      <c r="C50" s="711">
        <v>600099164</v>
      </c>
      <c r="D50" s="711">
        <v>854808</v>
      </c>
      <c r="E50" s="712" t="s">
        <v>101</v>
      </c>
      <c r="F50" s="711">
        <v>3141</v>
      </c>
      <c r="G50" s="713" t="s">
        <v>321</v>
      </c>
      <c r="H50" s="714" t="s">
        <v>284</v>
      </c>
      <c r="I50" s="495">
        <v>920993</v>
      </c>
      <c r="J50" s="496">
        <v>673116</v>
      </c>
      <c r="K50" s="475">
        <v>0</v>
      </c>
      <c r="L50" s="475">
        <v>0</v>
      </c>
      <c r="M50" s="319">
        <v>227513</v>
      </c>
      <c r="N50" s="319">
        <v>13462</v>
      </c>
      <c r="O50" s="496">
        <v>6902</v>
      </c>
      <c r="P50" s="497">
        <v>2.29</v>
      </c>
      <c r="Q50" s="412">
        <v>0</v>
      </c>
      <c r="R50" s="498">
        <v>2.29</v>
      </c>
      <c r="S50" s="499">
        <f t="shared" si="50"/>
        <v>0</v>
      </c>
      <c r="T50" s="486">
        <v>0</v>
      </c>
      <c r="U50" s="486">
        <v>0</v>
      </c>
      <c r="V50" s="486">
        <f>SUM(S50:U50)</f>
        <v>0</v>
      </c>
      <c r="W50" s="486">
        <v>0</v>
      </c>
      <c r="X50" s="486">
        <v>0</v>
      </c>
      <c r="Y50" s="486">
        <f>SUM(W50:X50)</f>
        <v>0</v>
      </c>
      <c r="Z50" s="486">
        <f>V50+Y50</f>
        <v>0</v>
      </c>
      <c r="AA50" s="319">
        <f>ROUND((V50+W50)*33.8%,0)</f>
        <v>0</v>
      </c>
      <c r="AB50" s="178">
        <f>ROUND(V50*2%,0)</f>
        <v>0</v>
      </c>
      <c r="AC50" s="486">
        <v>0</v>
      </c>
      <c r="AD50" s="486">
        <v>0</v>
      </c>
      <c r="AE50" s="486">
        <f t="shared" si="2"/>
        <v>0</v>
      </c>
      <c r="AF50" s="486">
        <f t="shared" si="3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51"/>
        <v>0</v>
      </c>
      <c r="AM50" s="501">
        <f t="shared" si="52"/>
        <v>0</v>
      </c>
      <c r="AN50" s="529">
        <f t="shared" si="5"/>
        <v>0</v>
      </c>
      <c r="AO50" s="530">
        <f>I50+AF50</f>
        <v>920993</v>
      </c>
      <c r="AP50" s="486">
        <f>J50+V50</f>
        <v>673116</v>
      </c>
      <c r="AQ50" s="486">
        <f>K50+Y50</f>
        <v>0</v>
      </c>
      <c r="AR50" s="486">
        <f>L50</f>
        <v>0</v>
      </c>
      <c r="AS50" s="486">
        <f t="shared" si="53"/>
        <v>227513</v>
      </c>
      <c r="AT50" s="486">
        <f t="shared" si="53"/>
        <v>13462</v>
      </c>
      <c r="AU50" s="486">
        <f>O50+AE50</f>
        <v>6902</v>
      </c>
      <c r="AV50" s="501">
        <f>P50+AN50</f>
        <v>2.29</v>
      </c>
      <c r="AW50" s="501">
        <f t="shared" si="54"/>
        <v>0</v>
      </c>
      <c r="AX50" s="502">
        <f t="shared" si="54"/>
        <v>2.29</v>
      </c>
    </row>
    <row r="51" spans="1:50" x14ac:dyDescent="0.2">
      <c r="A51" s="710">
        <v>9</v>
      </c>
      <c r="B51" s="711">
        <v>3476</v>
      </c>
      <c r="C51" s="711">
        <v>600099164</v>
      </c>
      <c r="D51" s="711">
        <v>854808</v>
      </c>
      <c r="E51" s="712" t="s">
        <v>101</v>
      </c>
      <c r="F51" s="711">
        <v>3143</v>
      </c>
      <c r="G51" s="713" t="s">
        <v>634</v>
      </c>
      <c r="H51" s="701" t="s">
        <v>283</v>
      </c>
      <c r="I51" s="495">
        <v>582999</v>
      </c>
      <c r="J51" s="496">
        <v>429307</v>
      </c>
      <c r="K51" s="475">
        <v>0</v>
      </c>
      <c r="L51" s="475">
        <v>0</v>
      </c>
      <c r="M51" s="319">
        <v>145106</v>
      </c>
      <c r="N51" s="319">
        <v>8586</v>
      </c>
      <c r="O51" s="496">
        <v>0</v>
      </c>
      <c r="P51" s="497">
        <v>0.89280000000000004</v>
      </c>
      <c r="Q51" s="412">
        <v>0.89280000000000004</v>
      </c>
      <c r="R51" s="498">
        <v>0</v>
      </c>
      <c r="S51" s="499">
        <f t="shared" si="50"/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486">
        <v>0</v>
      </c>
      <c r="Y51" s="486">
        <f>SUM(W51:X51)</f>
        <v>0</v>
      </c>
      <c r="Z51" s="486">
        <f>V51+Y51</f>
        <v>0</v>
      </c>
      <c r="AA51" s="319">
        <f>ROUND((V51+W51)*33.8%,0)</f>
        <v>0</v>
      </c>
      <c r="AB51" s="178">
        <f>ROUND(V51*2%,0)</f>
        <v>0</v>
      </c>
      <c r="AC51" s="486">
        <v>0</v>
      </c>
      <c r="AD51" s="486">
        <v>0</v>
      </c>
      <c r="AE51" s="486">
        <f t="shared" si="2"/>
        <v>0</v>
      </c>
      <c r="AF51" s="486">
        <f t="shared" si="3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51"/>
        <v>0</v>
      </c>
      <c r="AM51" s="501">
        <f t="shared" si="52"/>
        <v>0</v>
      </c>
      <c r="AN51" s="529">
        <f t="shared" si="5"/>
        <v>0</v>
      </c>
      <c r="AO51" s="530">
        <f>I51+AF51</f>
        <v>582999</v>
      </c>
      <c r="AP51" s="486">
        <f>J51+V51</f>
        <v>429307</v>
      </c>
      <c r="AQ51" s="486">
        <f>K51+Y51</f>
        <v>0</v>
      </c>
      <c r="AR51" s="486">
        <f>L51</f>
        <v>0</v>
      </c>
      <c r="AS51" s="486">
        <f t="shared" si="53"/>
        <v>145106</v>
      </c>
      <c r="AT51" s="486">
        <f t="shared" si="53"/>
        <v>8586</v>
      </c>
      <c r="AU51" s="486">
        <f>O51+AE51</f>
        <v>0</v>
      </c>
      <c r="AV51" s="501">
        <f>P51+AN51</f>
        <v>0.89280000000000004</v>
      </c>
      <c r="AW51" s="501">
        <f t="shared" si="54"/>
        <v>0.89280000000000004</v>
      </c>
      <c r="AX51" s="502">
        <f t="shared" si="54"/>
        <v>0</v>
      </c>
    </row>
    <row r="52" spans="1:50" x14ac:dyDescent="0.2">
      <c r="A52" s="710">
        <v>9</v>
      </c>
      <c r="B52" s="711">
        <v>3476</v>
      </c>
      <c r="C52" s="711">
        <v>600099164</v>
      </c>
      <c r="D52" s="711">
        <v>854808</v>
      </c>
      <c r="E52" s="712" t="s">
        <v>101</v>
      </c>
      <c r="F52" s="711">
        <v>3143</v>
      </c>
      <c r="G52" s="713" t="s">
        <v>635</v>
      </c>
      <c r="H52" s="701" t="s">
        <v>284</v>
      </c>
      <c r="I52" s="495">
        <v>21066</v>
      </c>
      <c r="J52" s="496">
        <v>14850</v>
      </c>
      <c r="K52" s="475">
        <v>0</v>
      </c>
      <c r="L52" s="475">
        <v>0</v>
      </c>
      <c r="M52" s="319">
        <v>5019</v>
      </c>
      <c r="N52" s="319">
        <v>297</v>
      </c>
      <c r="O52" s="496">
        <v>900</v>
      </c>
      <c r="P52" s="497">
        <v>0.06</v>
      </c>
      <c r="Q52" s="412">
        <v>0</v>
      </c>
      <c r="R52" s="498">
        <v>0.06</v>
      </c>
      <c r="S52" s="499">
        <f t="shared" si="50"/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486">
        <v>0</v>
      </c>
      <c r="Y52" s="486">
        <f>SUM(W52:X52)</f>
        <v>0</v>
      </c>
      <c r="Z52" s="486">
        <f>V52+Y52</f>
        <v>0</v>
      </c>
      <c r="AA52" s="319">
        <f>ROUND((V52+W52)*33.8%,0)</f>
        <v>0</v>
      </c>
      <c r="AB52" s="178">
        <f>ROUND(V52*2%,0)</f>
        <v>0</v>
      </c>
      <c r="AC52" s="486">
        <v>0</v>
      </c>
      <c r="AD52" s="486">
        <v>0</v>
      </c>
      <c r="AE52" s="486">
        <f t="shared" si="2"/>
        <v>0</v>
      </c>
      <c r="AF52" s="486">
        <f t="shared" si="3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51"/>
        <v>0</v>
      </c>
      <c r="AM52" s="501">
        <f t="shared" si="52"/>
        <v>0</v>
      </c>
      <c r="AN52" s="529">
        <f t="shared" si="5"/>
        <v>0</v>
      </c>
      <c r="AO52" s="530">
        <f>I52+AF52</f>
        <v>21066</v>
      </c>
      <c r="AP52" s="486">
        <f>J52+V52</f>
        <v>14850</v>
      </c>
      <c r="AQ52" s="486">
        <f>K52+Y52</f>
        <v>0</v>
      </c>
      <c r="AR52" s="486">
        <f>L52</f>
        <v>0</v>
      </c>
      <c r="AS52" s="486">
        <f t="shared" si="53"/>
        <v>5019</v>
      </c>
      <c r="AT52" s="486">
        <f t="shared" si="53"/>
        <v>297</v>
      </c>
      <c r="AU52" s="486">
        <f>O52+AE52</f>
        <v>900</v>
      </c>
      <c r="AV52" s="501">
        <f>P52+AN52</f>
        <v>0.06</v>
      </c>
      <c r="AW52" s="501">
        <f t="shared" si="54"/>
        <v>0</v>
      </c>
      <c r="AX52" s="502">
        <f t="shared" si="54"/>
        <v>0.06</v>
      </c>
    </row>
    <row r="53" spans="1:50" x14ac:dyDescent="0.2">
      <c r="A53" s="282">
        <v>9</v>
      </c>
      <c r="B53" s="27">
        <v>3476</v>
      </c>
      <c r="C53" s="27">
        <v>600099164</v>
      </c>
      <c r="D53" s="27">
        <v>854808</v>
      </c>
      <c r="E53" s="292" t="s">
        <v>102</v>
      </c>
      <c r="F53" s="27"/>
      <c r="G53" s="281"/>
      <c r="H53" s="377"/>
      <c r="I53" s="6">
        <v>12472866</v>
      </c>
      <c r="J53" s="10">
        <v>8955788</v>
      </c>
      <c r="K53" s="10">
        <v>18204</v>
      </c>
      <c r="L53" s="10">
        <v>18204</v>
      </c>
      <c r="M53" s="10">
        <v>3027056</v>
      </c>
      <c r="N53" s="10">
        <v>179116</v>
      </c>
      <c r="O53" s="10">
        <v>292702</v>
      </c>
      <c r="P53" s="11">
        <v>19.942699999999999</v>
      </c>
      <c r="Q53" s="11">
        <v>13.923599999999999</v>
      </c>
      <c r="R53" s="75">
        <v>6.0190999999999999</v>
      </c>
      <c r="S53" s="271">
        <f t="shared" ref="S53:AX53" si="55">SUM(S48:S52)</f>
        <v>0</v>
      </c>
      <c r="T53" s="10">
        <f t="shared" si="55"/>
        <v>0</v>
      </c>
      <c r="U53" s="10">
        <f t="shared" si="55"/>
        <v>0</v>
      </c>
      <c r="V53" s="10">
        <f t="shared" si="55"/>
        <v>0</v>
      </c>
      <c r="W53" s="10">
        <f t="shared" si="55"/>
        <v>0</v>
      </c>
      <c r="X53" s="10">
        <f t="shared" si="55"/>
        <v>0</v>
      </c>
      <c r="Y53" s="10">
        <f t="shared" si="55"/>
        <v>0</v>
      </c>
      <c r="Z53" s="10">
        <f t="shared" si="55"/>
        <v>0</v>
      </c>
      <c r="AA53" s="10">
        <f t="shared" si="55"/>
        <v>0</v>
      </c>
      <c r="AB53" s="10">
        <f t="shared" si="55"/>
        <v>0</v>
      </c>
      <c r="AC53" s="10">
        <f t="shared" si="55"/>
        <v>0</v>
      </c>
      <c r="AD53" s="10">
        <f t="shared" si="55"/>
        <v>0</v>
      </c>
      <c r="AE53" s="10">
        <f t="shared" si="55"/>
        <v>0</v>
      </c>
      <c r="AF53" s="10">
        <f t="shared" si="55"/>
        <v>0</v>
      </c>
      <c r="AG53" s="11">
        <f t="shared" si="55"/>
        <v>0</v>
      </c>
      <c r="AH53" s="11">
        <f t="shared" si="55"/>
        <v>0</v>
      </c>
      <c r="AI53" s="11">
        <f t="shared" si="55"/>
        <v>0</v>
      </c>
      <c r="AJ53" s="11">
        <f t="shared" si="55"/>
        <v>0</v>
      </c>
      <c r="AK53" s="11">
        <f t="shared" si="55"/>
        <v>0</v>
      </c>
      <c r="AL53" s="11">
        <f t="shared" si="55"/>
        <v>0</v>
      </c>
      <c r="AM53" s="11">
        <f t="shared" si="55"/>
        <v>0</v>
      </c>
      <c r="AN53" s="32">
        <f t="shared" si="55"/>
        <v>0</v>
      </c>
      <c r="AO53" s="6">
        <f t="shared" si="55"/>
        <v>12472866</v>
      </c>
      <c r="AP53" s="10">
        <f t="shared" si="55"/>
        <v>8955788</v>
      </c>
      <c r="AQ53" s="71">
        <f t="shared" si="55"/>
        <v>18204</v>
      </c>
      <c r="AR53" s="71">
        <f t="shared" si="55"/>
        <v>18204</v>
      </c>
      <c r="AS53" s="10">
        <f t="shared" si="55"/>
        <v>3027056</v>
      </c>
      <c r="AT53" s="10">
        <f t="shared" si="55"/>
        <v>179116</v>
      </c>
      <c r="AU53" s="10">
        <f t="shared" si="55"/>
        <v>292702</v>
      </c>
      <c r="AV53" s="11">
        <f t="shared" si="55"/>
        <v>19.942699999999999</v>
      </c>
      <c r="AW53" s="11">
        <f t="shared" si="55"/>
        <v>13.923599999999999</v>
      </c>
      <c r="AX53" s="75">
        <f t="shared" si="55"/>
        <v>6.0190999999999999</v>
      </c>
    </row>
    <row r="54" spans="1:50" x14ac:dyDescent="0.2">
      <c r="A54" s="710">
        <v>10</v>
      </c>
      <c r="B54" s="711">
        <v>3424</v>
      </c>
      <c r="C54" s="711">
        <v>650040384</v>
      </c>
      <c r="D54" s="711">
        <v>72744561</v>
      </c>
      <c r="E54" s="712" t="s">
        <v>103</v>
      </c>
      <c r="F54" s="711">
        <v>3111</v>
      </c>
      <c r="G54" s="713" t="s">
        <v>317</v>
      </c>
      <c r="H54" s="714" t="s">
        <v>283</v>
      </c>
      <c r="I54" s="495">
        <v>1428310</v>
      </c>
      <c r="J54" s="496">
        <v>1040434</v>
      </c>
      <c r="K54" s="475">
        <v>0</v>
      </c>
      <c r="L54" s="475">
        <v>0</v>
      </c>
      <c r="M54" s="319">
        <v>351667</v>
      </c>
      <c r="N54" s="319">
        <v>20809</v>
      </c>
      <c r="O54" s="496">
        <v>15400</v>
      </c>
      <c r="P54" s="497">
        <v>2.5108999999999999</v>
      </c>
      <c r="Q54" s="412">
        <v>2</v>
      </c>
      <c r="R54" s="498">
        <v>0.51090000000000002</v>
      </c>
      <c r="S54" s="499">
        <f t="shared" ref="S54:S59" si="56">W54*-1</f>
        <v>0</v>
      </c>
      <c r="T54" s="486">
        <v>0</v>
      </c>
      <c r="U54" s="486">
        <v>0</v>
      </c>
      <c r="V54" s="486">
        <f t="shared" ref="V54:V59" si="57">SUM(S54:U54)</f>
        <v>0</v>
      </c>
      <c r="W54" s="486">
        <v>0</v>
      </c>
      <c r="X54" s="486">
        <v>0</v>
      </c>
      <c r="Y54" s="486">
        <f t="shared" ref="Y54:Y59" si="58">SUM(W54:X54)</f>
        <v>0</v>
      </c>
      <c r="Z54" s="486">
        <f t="shared" ref="Z54:Z59" si="59">V54+Y54</f>
        <v>0</v>
      </c>
      <c r="AA54" s="319">
        <f t="shared" ref="AA54:AA59" si="60">ROUND((V54+W54)*33.8%,0)</f>
        <v>0</v>
      </c>
      <c r="AB54" s="178">
        <f t="shared" ref="AB54:AB59" si="61">ROUND(V54*2%,0)</f>
        <v>0</v>
      </c>
      <c r="AC54" s="486">
        <v>0</v>
      </c>
      <c r="AD54" s="486">
        <v>0</v>
      </c>
      <c r="AE54" s="486">
        <f t="shared" si="2"/>
        <v>0</v>
      </c>
      <c r="AF54" s="486">
        <f t="shared" si="3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ref="AL54:AL59" si="62">AG54+AI54+AJ54</f>
        <v>0</v>
      </c>
      <c r="AM54" s="501">
        <f t="shared" ref="AM54:AM59" si="63">AH54+AK54</f>
        <v>0</v>
      </c>
      <c r="AN54" s="529">
        <f t="shared" si="5"/>
        <v>0</v>
      </c>
      <c r="AO54" s="530">
        <f t="shared" ref="AO54:AO59" si="64">I54+AF54</f>
        <v>1428310</v>
      </c>
      <c r="AP54" s="486">
        <f t="shared" ref="AP54:AP59" si="65">J54+V54</f>
        <v>1040434</v>
      </c>
      <c r="AQ54" s="486">
        <f t="shared" ref="AQ54:AQ59" si="66">K54+Y54</f>
        <v>0</v>
      </c>
      <c r="AR54" s="486">
        <f t="shared" ref="AR54:AR59" si="67">L54</f>
        <v>0</v>
      </c>
      <c r="AS54" s="486">
        <f t="shared" ref="AS54:AT59" si="68">M54+AA54</f>
        <v>351667</v>
      </c>
      <c r="AT54" s="486">
        <f t="shared" si="68"/>
        <v>20809</v>
      </c>
      <c r="AU54" s="486">
        <f t="shared" ref="AU54:AU59" si="69">O54+AE54</f>
        <v>15400</v>
      </c>
      <c r="AV54" s="501">
        <f t="shared" ref="AV54:AV59" si="70">P54+AN54</f>
        <v>2.5108999999999999</v>
      </c>
      <c r="AW54" s="501">
        <f t="shared" ref="AW54:AX59" si="71">Q54+AL54</f>
        <v>2</v>
      </c>
      <c r="AX54" s="502">
        <f t="shared" si="71"/>
        <v>0.51090000000000002</v>
      </c>
    </row>
    <row r="55" spans="1:50" x14ac:dyDescent="0.2">
      <c r="A55" s="710">
        <v>10</v>
      </c>
      <c r="B55" s="711">
        <v>3424</v>
      </c>
      <c r="C55" s="711">
        <v>650040384</v>
      </c>
      <c r="D55" s="711">
        <v>72744561</v>
      </c>
      <c r="E55" s="712" t="s">
        <v>103</v>
      </c>
      <c r="F55" s="711">
        <v>3117</v>
      </c>
      <c r="G55" s="713" t="s">
        <v>320</v>
      </c>
      <c r="H55" s="714" t="s">
        <v>283</v>
      </c>
      <c r="I55" s="495">
        <v>2958393</v>
      </c>
      <c r="J55" s="496">
        <v>2069249</v>
      </c>
      <c r="K55" s="496">
        <v>49144</v>
      </c>
      <c r="L55" s="496">
        <v>4144</v>
      </c>
      <c r="M55" s="496">
        <v>714616</v>
      </c>
      <c r="N55" s="496">
        <v>41384</v>
      </c>
      <c r="O55" s="496">
        <v>84000</v>
      </c>
      <c r="P55" s="497">
        <v>4.1885999999999992</v>
      </c>
      <c r="Q55" s="412">
        <v>2.8182</v>
      </c>
      <c r="R55" s="498">
        <v>1.3703999999999996</v>
      </c>
      <c r="S55" s="499">
        <f t="shared" si="56"/>
        <v>0</v>
      </c>
      <c r="T55" s="486">
        <v>0</v>
      </c>
      <c r="U55" s="486">
        <v>0</v>
      </c>
      <c r="V55" s="486">
        <f t="shared" si="57"/>
        <v>0</v>
      </c>
      <c r="W55" s="486">
        <v>0</v>
      </c>
      <c r="X55" s="486">
        <v>0</v>
      </c>
      <c r="Y55" s="486">
        <f t="shared" si="58"/>
        <v>0</v>
      </c>
      <c r="Z55" s="486">
        <f t="shared" si="59"/>
        <v>0</v>
      </c>
      <c r="AA55" s="319">
        <f t="shared" si="60"/>
        <v>0</v>
      </c>
      <c r="AB55" s="178">
        <f t="shared" si="61"/>
        <v>0</v>
      </c>
      <c r="AC55" s="486">
        <v>0</v>
      </c>
      <c r="AD55" s="486">
        <v>0</v>
      </c>
      <c r="AE55" s="486">
        <f t="shared" si="2"/>
        <v>0</v>
      </c>
      <c r="AF55" s="486">
        <f t="shared" si="3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62"/>
        <v>0</v>
      </c>
      <c r="AM55" s="501">
        <f t="shared" si="63"/>
        <v>0</v>
      </c>
      <c r="AN55" s="529">
        <f t="shared" si="5"/>
        <v>0</v>
      </c>
      <c r="AO55" s="530">
        <f t="shared" si="64"/>
        <v>2958393</v>
      </c>
      <c r="AP55" s="486">
        <f t="shared" si="65"/>
        <v>2069249</v>
      </c>
      <c r="AQ55" s="486">
        <f t="shared" si="66"/>
        <v>49144</v>
      </c>
      <c r="AR55" s="486">
        <f t="shared" si="67"/>
        <v>4144</v>
      </c>
      <c r="AS55" s="486">
        <f t="shared" si="68"/>
        <v>714616</v>
      </c>
      <c r="AT55" s="486">
        <f t="shared" si="68"/>
        <v>41384</v>
      </c>
      <c r="AU55" s="486">
        <f t="shared" si="69"/>
        <v>84000</v>
      </c>
      <c r="AV55" s="501">
        <f t="shared" si="70"/>
        <v>4.1885999999999992</v>
      </c>
      <c r="AW55" s="501">
        <f t="shared" si="71"/>
        <v>2.8182</v>
      </c>
      <c r="AX55" s="502">
        <f t="shared" si="71"/>
        <v>1.3703999999999996</v>
      </c>
    </row>
    <row r="56" spans="1:50" x14ac:dyDescent="0.2">
      <c r="A56" s="710">
        <v>10</v>
      </c>
      <c r="B56" s="711">
        <v>3424</v>
      </c>
      <c r="C56" s="711">
        <v>650040384</v>
      </c>
      <c r="D56" s="711">
        <v>72744561</v>
      </c>
      <c r="E56" s="712" t="s">
        <v>103</v>
      </c>
      <c r="F56" s="711">
        <v>3117</v>
      </c>
      <c r="G56" s="713" t="s">
        <v>318</v>
      </c>
      <c r="H56" s="714" t="s">
        <v>284</v>
      </c>
      <c r="I56" s="495">
        <v>8401</v>
      </c>
      <c r="J56" s="496">
        <v>5670</v>
      </c>
      <c r="K56" s="475">
        <v>0</v>
      </c>
      <c r="L56" s="475">
        <v>0</v>
      </c>
      <c r="M56" s="319">
        <v>1917</v>
      </c>
      <c r="N56" s="319">
        <v>114</v>
      </c>
      <c r="O56" s="496">
        <v>700</v>
      </c>
      <c r="P56" s="497">
        <v>0.01</v>
      </c>
      <c r="Q56" s="412">
        <v>0.01</v>
      </c>
      <c r="R56" s="498">
        <v>0</v>
      </c>
      <c r="S56" s="499">
        <f t="shared" si="56"/>
        <v>0</v>
      </c>
      <c r="T56" s="486">
        <v>0</v>
      </c>
      <c r="U56" s="486">
        <v>0</v>
      </c>
      <c r="V56" s="486">
        <f t="shared" si="57"/>
        <v>0</v>
      </c>
      <c r="W56" s="486">
        <v>0</v>
      </c>
      <c r="X56" s="486">
        <v>0</v>
      </c>
      <c r="Y56" s="486">
        <f t="shared" si="58"/>
        <v>0</v>
      </c>
      <c r="Z56" s="486">
        <f t="shared" si="59"/>
        <v>0</v>
      </c>
      <c r="AA56" s="319">
        <f t="shared" si="60"/>
        <v>0</v>
      </c>
      <c r="AB56" s="178">
        <f t="shared" si="61"/>
        <v>0</v>
      </c>
      <c r="AC56" s="486">
        <v>0</v>
      </c>
      <c r="AD56" s="486">
        <v>0</v>
      </c>
      <c r="AE56" s="486">
        <f t="shared" si="2"/>
        <v>0</v>
      </c>
      <c r="AF56" s="486">
        <f t="shared" si="3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si="62"/>
        <v>0</v>
      </c>
      <c r="AM56" s="501">
        <f t="shared" si="63"/>
        <v>0</v>
      </c>
      <c r="AN56" s="529">
        <f t="shared" si="5"/>
        <v>0</v>
      </c>
      <c r="AO56" s="530">
        <f t="shared" si="64"/>
        <v>8401</v>
      </c>
      <c r="AP56" s="486">
        <f t="shared" si="65"/>
        <v>5670</v>
      </c>
      <c r="AQ56" s="486">
        <f t="shared" si="66"/>
        <v>0</v>
      </c>
      <c r="AR56" s="486">
        <f t="shared" si="67"/>
        <v>0</v>
      </c>
      <c r="AS56" s="486">
        <f t="shared" si="68"/>
        <v>1917</v>
      </c>
      <c r="AT56" s="486">
        <f t="shared" si="68"/>
        <v>114</v>
      </c>
      <c r="AU56" s="486">
        <f t="shared" si="69"/>
        <v>700</v>
      </c>
      <c r="AV56" s="501">
        <f t="shared" si="70"/>
        <v>0.01</v>
      </c>
      <c r="AW56" s="501">
        <f t="shared" si="71"/>
        <v>0.01</v>
      </c>
      <c r="AX56" s="502">
        <f t="shared" si="71"/>
        <v>0</v>
      </c>
    </row>
    <row r="57" spans="1:50" x14ac:dyDescent="0.2">
      <c r="A57" s="710">
        <v>10</v>
      </c>
      <c r="B57" s="711">
        <v>3424</v>
      </c>
      <c r="C57" s="711">
        <v>650040384</v>
      </c>
      <c r="D57" s="711">
        <v>72744561</v>
      </c>
      <c r="E57" s="712" t="s">
        <v>103</v>
      </c>
      <c r="F57" s="711">
        <v>3141</v>
      </c>
      <c r="G57" s="713" t="s">
        <v>321</v>
      </c>
      <c r="H57" s="714" t="s">
        <v>284</v>
      </c>
      <c r="I57" s="495">
        <v>665767</v>
      </c>
      <c r="J57" s="496">
        <v>487706</v>
      </c>
      <c r="K57" s="475">
        <v>0</v>
      </c>
      <c r="L57" s="475">
        <v>0</v>
      </c>
      <c r="M57" s="319">
        <v>164845</v>
      </c>
      <c r="N57" s="319">
        <v>9754</v>
      </c>
      <c r="O57" s="496">
        <v>3462</v>
      </c>
      <c r="P57" s="497">
        <v>1.66</v>
      </c>
      <c r="Q57" s="412">
        <v>0</v>
      </c>
      <c r="R57" s="498">
        <v>1.66</v>
      </c>
      <c r="S57" s="499">
        <f t="shared" si="56"/>
        <v>0</v>
      </c>
      <c r="T57" s="486">
        <v>0</v>
      </c>
      <c r="U57" s="486">
        <v>0</v>
      </c>
      <c r="V57" s="486">
        <f t="shared" si="57"/>
        <v>0</v>
      </c>
      <c r="W57" s="486">
        <v>0</v>
      </c>
      <c r="X57" s="486">
        <v>0</v>
      </c>
      <c r="Y57" s="486">
        <f t="shared" si="58"/>
        <v>0</v>
      </c>
      <c r="Z57" s="486">
        <f t="shared" si="59"/>
        <v>0</v>
      </c>
      <c r="AA57" s="319">
        <f t="shared" si="60"/>
        <v>0</v>
      </c>
      <c r="AB57" s="178">
        <f t="shared" si="61"/>
        <v>0</v>
      </c>
      <c r="AC57" s="486">
        <v>0</v>
      </c>
      <c r="AD57" s="486">
        <v>0</v>
      </c>
      <c r="AE57" s="486">
        <f t="shared" si="2"/>
        <v>0</v>
      </c>
      <c r="AF57" s="486">
        <f t="shared" si="3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si="62"/>
        <v>0</v>
      </c>
      <c r="AM57" s="501">
        <f t="shared" si="63"/>
        <v>0</v>
      </c>
      <c r="AN57" s="529">
        <f t="shared" si="5"/>
        <v>0</v>
      </c>
      <c r="AO57" s="530">
        <f t="shared" si="64"/>
        <v>665767</v>
      </c>
      <c r="AP57" s="486">
        <f t="shared" si="65"/>
        <v>487706</v>
      </c>
      <c r="AQ57" s="486">
        <f t="shared" si="66"/>
        <v>0</v>
      </c>
      <c r="AR57" s="486">
        <f t="shared" si="67"/>
        <v>0</v>
      </c>
      <c r="AS57" s="486">
        <f t="shared" si="68"/>
        <v>164845</v>
      </c>
      <c r="AT57" s="486">
        <f t="shared" si="68"/>
        <v>9754</v>
      </c>
      <c r="AU57" s="486">
        <f t="shared" si="69"/>
        <v>3462</v>
      </c>
      <c r="AV57" s="501">
        <f t="shared" si="70"/>
        <v>1.66</v>
      </c>
      <c r="AW57" s="501">
        <f t="shared" si="71"/>
        <v>0</v>
      </c>
      <c r="AX57" s="502">
        <f t="shared" si="71"/>
        <v>1.66</v>
      </c>
    </row>
    <row r="58" spans="1:50" x14ac:dyDescent="0.2">
      <c r="A58" s="710">
        <v>10</v>
      </c>
      <c r="B58" s="711">
        <v>3424</v>
      </c>
      <c r="C58" s="711">
        <v>650040384</v>
      </c>
      <c r="D58" s="711">
        <v>72744561</v>
      </c>
      <c r="E58" s="712" t="s">
        <v>103</v>
      </c>
      <c r="F58" s="711">
        <v>3143</v>
      </c>
      <c r="G58" s="713" t="s">
        <v>634</v>
      </c>
      <c r="H58" s="701" t="s">
        <v>283</v>
      </c>
      <c r="I58" s="495">
        <v>584458</v>
      </c>
      <c r="J58" s="496">
        <v>430381</v>
      </c>
      <c r="K58" s="475">
        <v>0</v>
      </c>
      <c r="L58" s="475">
        <v>0</v>
      </c>
      <c r="M58" s="319">
        <v>145469</v>
      </c>
      <c r="N58" s="319">
        <v>8608</v>
      </c>
      <c r="O58" s="496">
        <v>0</v>
      </c>
      <c r="P58" s="497">
        <v>0.86199999999999999</v>
      </c>
      <c r="Q58" s="497">
        <v>0.86199999999999999</v>
      </c>
      <c r="R58" s="498">
        <v>0</v>
      </c>
      <c r="S58" s="499">
        <f t="shared" si="56"/>
        <v>0</v>
      </c>
      <c r="T58" s="486">
        <v>0</v>
      </c>
      <c r="U58" s="486">
        <v>0</v>
      </c>
      <c r="V58" s="486">
        <f t="shared" si="57"/>
        <v>0</v>
      </c>
      <c r="W58" s="486">
        <v>0</v>
      </c>
      <c r="X58" s="486">
        <v>0</v>
      </c>
      <c r="Y58" s="486">
        <f t="shared" si="58"/>
        <v>0</v>
      </c>
      <c r="Z58" s="486">
        <f t="shared" si="59"/>
        <v>0</v>
      </c>
      <c r="AA58" s="319">
        <f t="shared" si="60"/>
        <v>0</v>
      </c>
      <c r="AB58" s="178">
        <f t="shared" si="61"/>
        <v>0</v>
      </c>
      <c r="AC58" s="486">
        <v>0</v>
      </c>
      <c r="AD58" s="486">
        <v>0</v>
      </c>
      <c r="AE58" s="486">
        <f t="shared" si="2"/>
        <v>0</v>
      </c>
      <c r="AF58" s="486">
        <f t="shared" si="3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si="62"/>
        <v>0</v>
      </c>
      <c r="AM58" s="501">
        <f t="shared" si="63"/>
        <v>0</v>
      </c>
      <c r="AN58" s="529">
        <f t="shared" si="5"/>
        <v>0</v>
      </c>
      <c r="AO58" s="530">
        <f t="shared" si="64"/>
        <v>584458</v>
      </c>
      <c r="AP58" s="486">
        <f t="shared" si="65"/>
        <v>430381</v>
      </c>
      <c r="AQ58" s="486">
        <f t="shared" si="66"/>
        <v>0</v>
      </c>
      <c r="AR58" s="486">
        <f t="shared" si="67"/>
        <v>0</v>
      </c>
      <c r="AS58" s="486">
        <f t="shared" si="68"/>
        <v>145469</v>
      </c>
      <c r="AT58" s="486">
        <f t="shared" si="68"/>
        <v>8608</v>
      </c>
      <c r="AU58" s="486">
        <f t="shared" si="69"/>
        <v>0</v>
      </c>
      <c r="AV58" s="501">
        <f t="shared" si="70"/>
        <v>0.86199999999999999</v>
      </c>
      <c r="AW58" s="501">
        <f t="shared" si="71"/>
        <v>0.86199999999999999</v>
      </c>
      <c r="AX58" s="502">
        <f t="shared" si="71"/>
        <v>0</v>
      </c>
    </row>
    <row r="59" spans="1:50" x14ac:dyDescent="0.2">
      <c r="A59" s="710">
        <v>10</v>
      </c>
      <c r="B59" s="711">
        <v>3424</v>
      </c>
      <c r="C59" s="711">
        <v>650040384</v>
      </c>
      <c r="D59" s="711">
        <v>72744561</v>
      </c>
      <c r="E59" s="712" t="s">
        <v>103</v>
      </c>
      <c r="F59" s="711">
        <v>3143</v>
      </c>
      <c r="G59" s="713" t="s">
        <v>635</v>
      </c>
      <c r="H59" s="701" t="s">
        <v>284</v>
      </c>
      <c r="I59" s="495">
        <v>17556</v>
      </c>
      <c r="J59" s="496">
        <v>12375</v>
      </c>
      <c r="K59" s="475">
        <v>0</v>
      </c>
      <c r="L59" s="475">
        <v>0</v>
      </c>
      <c r="M59" s="319">
        <v>4183</v>
      </c>
      <c r="N59" s="319">
        <v>248</v>
      </c>
      <c r="O59" s="496">
        <v>750</v>
      </c>
      <c r="P59" s="497">
        <v>0.05</v>
      </c>
      <c r="Q59" s="412">
        <v>0</v>
      </c>
      <c r="R59" s="498">
        <v>0.05</v>
      </c>
      <c r="S59" s="499">
        <f t="shared" si="56"/>
        <v>0</v>
      </c>
      <c r="T59" s="486">
        <v>0</v>
      </c>
      <c r="U59" s="486">
        <v>0</v>
      </c>
      <c r="V59" s="486">
        <f t="shared" si="57"/>
        <v>0</v>
      </c>
      <c r="W59" s="486">
        <v>0</v>
      </c>
      <c r="X59" s="486">
        <v>0</v>
      </c>
      <c r="Y59" s="486">
        <f t="shared" si="58"/>
        <v>0</v>
      </c>
      <c r="Z59" s="486">
        <f t="shared" si="59"/>
        <v>0</v>
      </c>
      <c r="AA59" s="319">
        <f t="shared" si="60"/>
        <v>0</v>
      </c>
      <c r="AB59" s="178">
        <f t="shared" si="61"/>
        <v>0</v>
      </c>
      <c r="AC59" s="486">
        <v>0</v>
      </c>
      <c r="AD59" s="486">
        <v>0</v>
      </c>
      <c r="AE59" s="486">
        <f t="shared" si="2"/>
        <v>0</v>
      </c>
      <c r="AF59" s="486">
        <f t="shared" si="3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62"/>
        <v>0</v>
      </c>
      <c r="AM59" s="501">
        <f t="shared" si="63"/>
        <v>0</v>
      </c>
      <c r="AN59" s="529">
        <f t="shared" si="5"/>
        <v>0</v>
      </c>
      <c r="AO59" s="530">
        <f t="shared" si="64"/>
        <v>17556</v>
      </c>
      <c r="AP59" s="486">
        <f t="shared" si="65"/>
        <v>12375</v>
      </c>
      <c r="AQ59" s="486">
        <f t="shared" si="66"/>
        <v>0</v>
      </c>
      <c r="AR59" s="486">
        <f t="shared" si="67"/>
        <v>0</v>
      </c>
      <c r="AS59" s="486">
        <f t="shared" si="68"/>
        <v>4183</v>
      </c>
      <c r="AT59" s="486">
        <f t="shared" si="68"/>
        <v>248</v>
      </c>
      <c r="AU59" s="486">
        <f t="shared" si="69"/>
        <v>750</v>
      </c>
      <c r="AV59" s="501">
        <f t="shared" si="70"/>
        <v>0.05</v>
      </c>
      <c r="AW59" s="501">
        <f t="shared" si="71"/>
        <v>0</v>
      </c>
      <c r="AX59" s="502">
        <f t="shared" si="71"/>
        <v>0.05</v>
      </c>
    </row>
    <row r="60" spans="1:50" x14ac:dyDescent="0.2">
      <c r="A60" s="282">
        <v>10</v>
      </c>
      <c r="B60" s="27">
        <v>3424</v>
      </c>
      <c r="C60" s="27">
        <v>650040384</v>
      </c>
      <c r="D60" s="27">
        <v>72744561</v>
      </c>
      <c r="E60" s="292" t="s">
        <v>104</v>
      </c>
      <c r="F60" s="27"/>
      <c r="G60" s="281"/>
      <c r="H60" s="377"/>
      <c r="I60" s="6">
        <v>5662885</v>
      </c>
      <c r="J60" s="10">
        <v>4045815</v>
      </c>
      <c r="K60" s="10">
        <v>49144</v>
      </c>
      <c r="L60" s="10">
        <v>4144</v>
      </c>
      <c r="M60" s="10">
        <v>1382697</v>
      </c>
      <c r="N60" s="10">
        <v>80917</v>
      </c>
      <c r="O60" s="10">
        <v>104312</v>
      </c>
      <c r="P60" s="11">
        <v>9.2814999999999994</v>
      </c>
      <c r="Q60" s="11">
        <v>5.6901999999999999</v>
      </c>
      <c r="R60" s="75">
        <v>3.5912999999999995</v>
      </c>
      <c r="S60" s="271">
        <f t="shared" ref="S60:AX60" si="72">SUM(S54:S59)</f>
        <v>0</v>
      </c>
      <c r="T60" s="10">
        <f t="shared" si="72"/>
        <v>0</v>
      </c>
      <c r="U60" s="10">
        <f t="shared" si="72"/>
        <v>0</v>
      </c>
      <c r="V60" s="10">
        <f t="shared" si="72"/>
        <v>0</v>
      </c>
      <c r="W60" s="10">
        <f t="shared" si="72"/>
        <v>0</v>
      </c>
      <c r="X60" s="10">
        <f t="shared" si="72"/>
        <v>0</v>
      </c>
      <c r="Y60" s="10">
        <f t="shared" si="72"/>
        <v>0</v>
      </c>
      <c r="Z60" s="10">
        <f t="shared" si="72"/>
        <v>0</v>
      </c>
      <c r="AA60" s="10">
        <f t="shared" si="72"/>
        <v>0</v>
      </c>
      <c r="AB60" s="10">
        <f t="shared" si="72"/>
        <v>0</v>
      </c>
      <c r="AC60" s="10">
        <f t="shared" si="72"/>
        <v>0</v>
      </c>
      <c r="AD60" s="10">
        <f t="shared" si="72"/>
        <v>0</v>
      </c>
      <c r="AE60" s="10">
        <f t="shared" si="72"/>
        <v>0</v>
      </c>
      <c r="AF60" s="10">
        <f t="shared" si="72"/>
        <v>0</v>
      </c>
      <c r="AG60" s="11">
        <f t="shared" si="72"/>
        <v>0</v>
      </c>
      <c r="AH60" s="11">
        <f t="shared" si="72"/>
        <v>0</v>
      </c>
      <c r="AI60" s="11">
        <f t="shared" si="72"/>
        <v>0</v>
      </c>
      <c r="AJ60" s="11">
        <f t="shared" si="72"/>
        <v>0</v>
      </c>
      <c r="AK60" s="11">
        <f t="shared" si="72"/>
        <v>0</v>
      </c>
      <c r="AL60" s="11">
        <f t="shared" si="72"/>
        <v>0</v>
      </c>
      <c r="AM60" s="11">
        <f t="shared" si="72"/>
        <v>0</v>
      </c>
      <c r="AN60" s="32">
        <f t="shared" si="72"/>
        <v>0</v>
      </c>
      <c r="AO60" s="6">
        <f t="shared" si="72"/>
        <v>5662885</v>
      </c>
      <c r="AP60" s="10">
        <f t="shared" si="72"/>
        <v>4045815</v>
      </c>
      <c r="AQ60" s="71">
        <f t="shared" si="72"/>
        <v>49144</v>
      </c>
      <c r="AR60" s="71">
        <f t="shared" si="72"/>
        <v>4144</v>
      </c>
      <c r="AS60" s="10">
        <f t="shared" si="72"/>
        <v>1382697</v>
      </c>
      <c r="AT60" s="10">
        <f t="shared" si="72"/>
        <v>80917</v>
      </c>
      <c r="AU60" s="10">
        <f t="shared" si="72"/>
        <v>104312</v>
      </c>
      <c r="AV60" s="11">
        <f t="shared" si="72"/>
        <v>9.2814999999999994</v>
      </c>
      <c r="AW60" s="11">
        <f t="shared" si="72"/>
        <v>5.6901999999999999</v>
      </c>
      <c r="AX60" s="75">
        <f t="shared" si="72"/>
        <v>3.5912999999999995</v>
      </c>
    </row>
    <row r="61" spans="1:50" x14ac:dyDescent="0.2">
      <c r="A61" s="710">
        <v>11</v>
      </c>
      <c r="B61" s="711">
        <v>3430</v>
      </c>
      <c r="C61" s="711">
        <v>600078183</v>
      </c>
      <c r="D61" s="711">
        <v>72744405</v>
      </c>
      <c r="E61" s="712" t="s">
        <v>105</v>
      </c>
      <c r="F61" s="711">
        <v>3111</v>
      </c>
      <c r="G61" s="713" t="s">
        <v>317</v>
      </c>
      <c r="H61" s="714" t="s">
        <v>283</v>
      </c>
      <c r="I61" s="495">
        <v>3367627</v>
      </c>
      <c r="J61" s="496">
        <v>2384365</v>
      </c>
      <c r="K61" s="496">
        <v>20000</v>
      </c>
      <c r="L61" s="496">
        <v>0</v>
      </c>
      <c r="M61" s="496">
        <v>812675</v>
      </c>
      <c r="N61" s="496">
        <v>47687</v>
      </c>
      <c r="O61" s="496">
        <v>102900</v>
      </c>
      <c r="P61" s="497">
        <v>5.3797999999999995</v>
      </c>
      <c r="Q61" s="412">
        <v>4</v>
      </c>
      <c r="R61" s="498">
        <v>1.3797999999999997</v>
      </c>
      <c r="S61" s="499">
        <f t="shared" ref="S61:S63" si="73">W61*-1</f>
        <v>0</v>
      </c>
      <c r="T61" s="486">
        <v>0</v>
      </c>
      <c r="U61" s="486">
        <v>-14728</v>
      </c>
      <c r="V61" s="486">
        <f>SUM(S61:U61)</f>
        <v>-14728</v>
      </c>
      <c r="W61" s="486">
        <v>0</v>
      </c>
      <c r="X61" s="486">
        <v>0</v>
      </c>
      <c r="Y61" s="486">
        <f>SUM(W61:X61)</f>
        <v>0</v>
      </c>
      <c r="Z61" s="486">
        <f>V61+Y61</f>
        <v>-14728</v>
      </c>
      <c r="AA61" s="319">
        <f>ROUND((V61+W61)*33.8%,0)</f>
        <v>-4978</v>
      </c>
      <c r="AB61" s="178">
        <f>ROUND(V61*2%,0)</f>
        <v>-295</v>
      </c>
      <c r="AC61" s="486">
        <v>0</v>
      </c>
      <c r="AD61" s="486">
        <v>20001</v>
      </c>
      <c r="AE61" s="486">
        <f t="shared" si="2"/>
        <v>20001</v>
      </c>
      <c r="AF61" s="486">
        <f t="shared" si="3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ref="AL61:AL63" si="74">AG61+AI61+AJ61</f>
        <v>0</v>
      </c>
      <c r="AM61" s="501">
        <f t="shared" ref="AM61:AM63" si="75">AH61+AK61</f>
        <v>0</v>
      </c>
      <c r="AN61" s="529">
        <f t="shared" si="5"/>
        <v>0</v>
      </c>
      <c r="AO61" s="530">
        <f>I61+AF61</f>
        <v>3367627</v>
      </c>
      <c r="AP61" s="486">
        <f>J61+V61</f>
        <v>2369637</v>
      </c>
      <c r="AQ61" s="486">
        <f>K61+Y61</f>
        <v>20000</v>
      </c>
      <c r="AR61" s="486">
        <f>L61</f>
        <v>0</v>
      </c>
      <c r="AS61" s="486">
        <f t="shared" ref="AS61:AT63" si="76">M61+AA61</f>
        <v>807697</v>
      </c>
      <c r="AT61" s="486">
        <f t="shared" si="76"/>
        <v>47392</v>
      </c>
      <c r="AU61" s="486">
        <f>O61+AE61</f>
        <v>122901</v>
      </c>
      <c r="AV61" s="501">
        <f>P61+AN61</f>
        <v>5.3797999999999995</v>
      </c>
      <c r="AW61" s="501">
        <f t="shared" ref="AW61:AX63" si="77">Q61+AL61</f>
        <v>4</v>
      </c>
      <c r="AX61" s="502">
        <f t="shared" si="77"/>
        <v>1.3797999999999997</v>
      </c>
    </row>
    <row r="62" spans="1:50" x14ac:dyDescent="0.2">
      <c r="A62" s="710">
        <v>11</v>
      </c>
      <c r="B62" s="711">
        <v>3430</v>
      </c>
      <c r="C62" s="711">
        <v>600078183</v>
      </c>
      <c r="D62" s="711">
        <v>72744405</v>
      </c>
      <c r="E62" s="712" t="s">
        <v>105</v>
      </c>
      <c r="F62" s="711">
        <v>3111</v>
      </c>
      <c r="G62" s="713" t="s">
        <v>318</v>
      </c>
      <c r="H62" s="714" t="s">
        <v>284</v>
      </c>
      <c r="I62" s="495">
        <v>635437</v>
      </c>
      <c r="J62" s="496">
        <v>467922</v>
      </c>
      <c r="K62" s="475">
        <v>0</v>
      </c>
      <c r="L62" s="475">
        <v>0</v>
      </c>
      <c r="M62" s="319">
        <v>158157</v>
      </c>
      <c r="N62" s="319">
        <v>9358</v>
      </c>
      <c r="O62" s="496">
        <v>0</v>
      </c>
      <c r="P62" s="497">
        <v>1.37</v>
      </c>
      <c r="Q62" s="412">
        <v>1.37</v>
      </c>
      <c r="R62" s="498">
        <v>0</v>
      </c>
      <c r="S62" s="499">
        <f t="shared" si="73"/>
        <v>0</v>
      </c>
      <c r="T62" s="486">
        <v>0</v>
      </c>
      <c r="U62" s="486">
        <v>0</v>
      </c>
      <c r="V62" s="486">
        <f>SUM(S62:U62)</f>
        <v>0</v>
      </c>
      <c r="W62" s="486">
        <v>0</v>
      </c>
      <c r="X62" s="486">
        <v>0</v>
      </c>
      <c r="Y62" s="486">
        <f>SUM(W62:X62)</f>
        <v>0</v>
      </c>
      <c r="Z62" s="486">
        <f>V62+Y62</f>
        <v>0</v>
      </c>
      <c r="AA62" s="319">
        <f>ROUND((V62+W62)*33.8%,0)</f>
        <v>0</v>
      </c>
      <c r="AB62" s="178">
        <f>ROUND(V62*2%,0)</f>
        <v>0</v>
      </c>
      <c r="AC62" s="486">
        <v>0</v>
      </c>
      <c r="AD62" s="486">
        <v>0</v>
      </c>
      <c r="AE62" s="486">
        <f t="shared" si="2"/>
        <v>0</v>
      </c>
      <c r="AF62" s="486">
        <f t="shared" si="3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74"/>
        <v>0</v>
      </c>
      <c r="AM62" s="501">
        <f t="shared" si="75"/>
        <v>0</v>
      </c>
      <c r="AN62" s="529">
        <f t="shared" si="5"/>
        <v>0</v>
      </c>
      <c r="AO62" s="530">
        <f>I62+AF62</f>
        <v>635437</v>
      </c>
      <c r="AP62" s="486">
        <f>J62+V62</f>
        <v>467922</v>
      </c>
      <c r="AQ62" s="486">
        <f>K62+Y62</f>
        <v>0</v>
      </c>
      <c r="AR62" s="486">
        <f>L62</f>
        <v>0</v>
      </c>
      <c r="AS62" s="486">
        <f t="shared" si="76"/>
        <v>158157</v>
      </c>
      <c r="AT62" s="486">
        <f t="shared" si="76"/>
        <v>9358</v>
      </c>
      <c r="AU62" s="486">
        <f>O62+AE62</f>
        <v>0</v>
      </c>
      <c r="AV62" s="501">
        <f>P62+AN62</f>
        <v>1.37</v>
      </c>
      <c r="AW62" s="501">
        <f t="shared" si="77"/>
        <v>1.37</v>
      </c>
      <c r="AX62" s="502">
        <f t="shared" si="77"/>
        <v>0</v>
      </c>
    </row>
    <row r="63" spans="1:50" x14ac:dyDescent="0.2">
      <c r="A63" s="710">
        <v>11</v>
      </c>
      <c r="B63" s="711">
        <v>3430</v>
      </c>
      <c r="C63" s="711">
        <v>600078183</v>
      </c>
      <c r="D63" s="711">
        <v>72744405</v>
      </c>
      <c r="E63" s="712" t="s">
        <v>105</v>
      </c>
      <c r="F63" s="711">
        <v>3141</v>
      </c>
      <c r="G63" s="713" t="s">
        <v>321</v>
      </c>
      <c r="H63" s="714" t="s">
        <v>284</v>
      </c>
      <c r="I63" s="495">
        <v>616394</v>
      </c>
      <c r="J63" s="496">
        <v>451892</v>
      </c>
      <c r="K63" s="475">
        <v>0</v>
      </c>
      <c r="L63" s="475">
        <v>0</v>
      </c>
      <c r="M63" s="319">
        <v>152739</v>
      </c>
      <c r="N63" s="319">
        <v>9037</v>
      </c>
      <c r="O63" s="496">
        <v>2726</v>
      </c>
      <c r="P63" s="497">
        <v>1.53</v>
      </c>
      <c r="Q63" s="412">
        <v>0</v>
      </c>
      <c r="R63" s="498">
        <v>1.53</v>
      </c>
      <c r="S63" s="499">
        <f t="shared" si="73"/>
        <v>0</v>
      </c>
      <c r="T63" s="486">
        <v>0</v>
      </c>
      <c r="U63" s="486">
        <v>0</v>
      </c>
      <c r="V63" s="486">
        <f>SUM(S63:U63)</f>
        <v>0</v>
      </c>
      <c r="W63" s="486">
        <v>0</v>
      </c>
      <c r="X63" s="486">
        <v>0</v>
      </c>
      <c r="Y63" s="486">
        <f>SUM(W63:X63)</f>
        <v>0</v>
      </c>
      <c r="Z63" s="486">
        <f>V63+Y63</f>
        <v>0</v>
      </c>
      <c r="AA63" s="319">
        <f>ROUND((V63+W63)*33.8%,0)</f>
        <v>0</v>
      </c>
      <c r="AB63" s="178">
        <f>ROUND(V63*2%,0)</f>
        <v>0</v>
      </c>
      <c r="AC63" s="486">
        <v>0</v>
      </c>
      <c r="AD63" s="486">
        <v>0</v>
      </c>
      <c r="AE63" s="486">
        <f t="shared" si="2"/>
        <v>0</v>
      </c>
      <c r="AF63" s="486">
        <f t="shared" si="3"/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si="74"/>
        <v>0</v>
      </c>
      <c r="AM63" s="501">
        <f t="shared" si="75"/>
        <v>0</v>
      </c>
      <c r="AN63" s="529">
        <f t="shared" si="5"/>
        <v>0</v>
      </c>
      <c r="AO63" s="530">
        <f>I63+AF63</f>
        <v>616394</v>
      </c>
      <c r="AP63" s="486">
        <f>J63+V63</f>
        <v>451892</v>
      </c>
      <c r="AQ63" s="486">
        <f>K63+Y63</f>
        <v>0</v>
      </c>
      <c r="AR63" s="486">
        <f>L63</f>
        <v>0</v>
      </c>
      <c r="AS63" s="486">
        <f t="shared" si="76"/>
        <v>152739</v>
      </c>
      <c r="AT63" s="486">
        <f t="shared" si="76"/>
        <v>9037</v>
      </c>
      <c r="AU63" s="486">
        <f>O63+AE63</f>
        <v>2726</v>
      </c>
      <c r="AV63" s="501">
        <f>P63+AN63</f>
        <v>1.53</v>
      </c>
      <c r="AW63" s="501">
        <f t="shared" si="77"/>
        <v>0</v>
      </c>
      <c r="AX63" s="502">
        <f t="shared" si="77"/>
        <v>1.53</v>
      </c>
    </row>
    <row r="64" spans="1:50" x14ac:dyDescent="0.2">
      <c r="A64" s="282">
        <v>11</v>
      </c>
      <c r="B64" s="27">
        <v>3430</v>
      </c>
      <c r="C64" s="27">
        <v>600078183</v>
      </c>
      <c r="D64" s="27">
        <v>72744405</v>
      </c>
      <c r="E64" s="292" t="s">
        <v>106</v>
      </c>
      <c r="F64" s="27"/>
      <c r="G64" s="281"/>
      <c r="H64" s="377"/>
      <c r="I64" s="6">
        <v>4619458</v>
      </c>
      <c r="J64" s="10">
        <v>3304179</v>
      </c>
      <c r="K64" s="10">
        <v>20000</v>
      </c>
      <c r="L64" s="10">
        <v>0</v>
      </c>
      <c r="M64" s="10">
        <v>1123571</v>
      </c>
      <c r="N64" s="10">
        <v>66082</v>
      </c>
      <c r="O64" s="10">
        <v>105626</v>
      </c>
      <c r="P64" s="11">
        <v>8.2797999999999998</v>
      </c>
      <c r="Q64" s="11">
        <v>5.37</v>
      </c>
      <c r="R64" s="75">
        <v>2.9097999999999997</v>
      </c>
      <c r="S64" s="271">
        <f t="shared" ref="S64:AX64" si="78">SUM(S61:S63)</f>
        <v>0</v>
      </c>
      <c r="T64" s="10">
        <f t="shared" si="78"/>
        <v>0</v>
      </c>
      <c r="U64" s="10">
        <f t="shared" si="78"/>
        <v>-14728</v>
      </c>
      <c r="V64" s="10">
        <f t="shared" si="78"/>
        <v>-14728</v>
      </c>
      <c r="W64" s="10">
        <f t="shared" si="78"/>
        <v>0</v>
      </c>
      <c r="X64" s="10">
        <f t="shared" si="78"/>
        <v>0</v>
      </c>
      <c r="Y64" s="10">
        <f t="shared" si="78"/>
        <v>0</v>
      </c>
      <c r="Z64" s="10">
        <f t="shared" si="78"/>
        <v>-14728</v>
      </c>
      <c r="AA64" s="10">
        <f t="shared" si="78"/>
        <v>-4978</v>
      </c>
      <c r="AB64" s="10">
        <f t="shared" si="78"/>
        <v>-295</v>
      </c>
      <c r="AC64" s="10">
        <f t="shared" si="78"/>
        <v>0</v>
      </c>
      <c r="AD64" s="10">
        <f t="shared" si="78"/>
        <v>20001</v>
      </c>
      <c r="AE64" s="10">
        <f t="shared" si="78"/>
        <v>20001</v>
      </c>
      <c r="AF64" s="10">
        <f t="shared" si="78"/>
        <v>0</v>
      </c>
      <c r="AG64" s="11">
        <f t="shared" si="78"/>
        <v>0</v>
      </c>
      <c r="AH64" s="11">
        <f t="shared" si="78"/>
        <v>0</v>
      </c>
      <c r="AI64" s="11">
        <f t="shared" si="78"/>
        <v>0</v>
      </c>
      <c r="AJ64" s="11">
        <f t="shared" si="78"/>
        <v>0</v>
      </c>
      <c r="AK64" s="11">
        <f t="shared" si="78"/>
        <v>0</v>
      </c>
      <c r="AL64" s="11">
        <f t="shared" si="78"/>
        <v>0</v>
      </c>
      <c r="AM64" s="11">
        <f t="shared" si="78"/>
        <v>0</v>
      </c>
      <c r="AN64" s="32">
        <f t="shared" si="78"/>
        <v>0</v>
      </c>
      <c r="AO64" s="6">
        <f t="shared" si="78"/>
        <v>4619458</v>
      </c>
      <c r="AP64" s="10">
        <f t="shared" si="78"/>
        <v>3289451</v>
      </c>
      <c r="AQ64" s="71">
        <f t="shared" si="78"/>
        <v>20000</v>
      </c>
      <c r="AR64" s="71">
        <f t="shared" si="78"/>
        <v>0</v>
      </c>
      <c r="AS64" s="10">
        <f t="shared" si="78"/>
        <v>1118593</v>
      </c>
      <c r="AT64" s="10">
        <f t="shared" si="78"/>
        <v>65787</v>
      </c>
      <c r="AU64" s="10">
        <f t="shared" si="78"/>
        <v>125627</v>
      </c>
      <c r="AV64" s="11">
        <f t="shared" si="78"/>
        <v>8.2797999999999998</v>
      </c>
      <c r="AW64" s="11">
        <f t="shared" si="78"/>
        <v>5.37</v>
      </c>
      <c r="AX64" s="75">
        <f t="shared" si="78"/>
        <v>2.9097999999999997</v>
      </c>
    </row>
    <row r="65" spans="1:50" x14ac:dyDescent="0.2">
      <c r="A65" s="710">
        <v>12</v>
      </c>
      <c r="B65" s="711">
        <v>3431</v>
      </c>
      <c r="C65" s="711">
        <v>600078370</v>
      </c>
      <c r="D65" s="711">
        <v>72744162</v>
      </c>
      <c r="E65" s="712" t="s">
        <v>107</v>
      </c>
      <c r="F65" s="711">
        <v>3117</v>
      </c>
      <c r="G65" s="713" t="s">
        <v>320</v>
      </c>
      <c r="H65" s="714" t="s">
        <v>283</v>
      </c>
      <c r="I65" s="495">
        <v>3666747</v>
      </c>
      <c r="J65" s="496">
        <v>2521213</v>
      </c>
      <c r="K65" s="496">
        <v>87685</v>
      </c>
      <c r="L65" s="496">
        <v>18885</v>
      </c>
      <c r="M65" s="496">
        <v>875425</v>
      </c>
      <c r="N65" s="496">
        <v>50424</v>
      </c>
      <c r="O65" s="496">
        <v>132000</v>
      </c>
      <c r="P65" s="497">
        <v>5.0943000000000005</v>
      </c>
      <c r="Q65" s="412">
        <v>4</v>
      </c>
      <c r="R65" s="498">
        <v>1.0943000000000003</v>
      </c>
      <c r="S65" s="499">
        <f t="shared" ref="S65:S69" si="79">W65*-1</f>
        <v>0</v>
      </c>
      <c r="T65" s="486">
        <v>0</v>
      </c>
      <c r="U65" s="486">
        <v>0</v>
      </c>
      <c r="V65" s="486">
        <f>SUM(S65:U65)</f>
        <v>0</v>
      </c>
      <c r="W65" s="486">
        <v>0</v>
      </c>
      <c r="X65" s="486">
        <v>0</v>
      </c>
      <c r="Y65" s="486">
        <f>SUM(W65:X65)</f>
        <v>0</v>
      </c>
      <c r="Z65" s="486">
        <f>V65+Y65</f>
        <v>0</v>
      </c>
      <c r="AA65" s="319">
        <f>ROUND((V65+W65)*33.8%,0)</f>
        <v>0</v>
      </c>
      <c r="AB65" s="178">
        <f>ROUND(V65*2%,0)</f>
        <v>0</v>
      </c>
      <c r="AC65" s="486">
        <v>0</v>
      </c>
      <c r="AD65" s="486">
        <v>0</v>
      </c>
      <c r="AE65" s="486">
        <f t="shared" si="2"/>
        <v>0</v>
      </c>
      <c r="AF65" s="486">
        <f t="shared" si="3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ref="AL65:AL69" si="80">AG65+AI65+AJ65</f>
        <v>0</v>
      </c>
      <c r="AM65" s="501">
        <f t="shared" ref="AM65:AM69" si="81">AH65+AK65</f>
        <v>0</v>
      </c>
      <c r="AN65" s="529">
        <f t="shared" si="5"/>
        <v>0</v>
      </c>
      <c r="AO65" s="530">
        <f>I65+AF65</f>
        <v>3666747</v>
      </c>
      <c r="AP65" s="486">
        <f>J65+V65</f>
        <v>2521213</v>
      </c>
      <c r="AQ65" s="486">
        <f>K65+Y65</f>
        <v>87685</v>
      </c>
      <c r="AR65" s="486">
        <f>L65</f>
        <v>18885</v>
      </c>
      <c r="AS65" s="486">
        <f t="shared" ref="AS65:AT69" si="82">M65+AA65</f>
        <v>875425</v>
      </c>
      <c r="AT65" s="486">
        <f t="shared" si="82"/>
        <v>50424</v>
      </c>
      <c r="AU65" s="486">
        <f>O65+AE65</f>
        <v>132000</v>
      </c>
      <c r="AV65" s="501">
        <f>P65+AN65</f>
        <v>5.0943000000000005</v>
      </c>
      <c r="AW65" s="501">
        <f t="shared" ref="AW65:AX69" si="83">Q65+AL65</f>
        <v>4</v>
      </c>
      <c r="AX65" s="502">
        <f t="shared" si="83"/>
        <v>1.0943000000000003</v>
      </c>
    </row>
    <row r="66" spans="1:50" x14ac:dyDescent="0.2">
      <c r="A66" s="710">
        <v>12</v>
      </c>
      <c r="B66" s="711">
        <v>3431</v>
      </c>
      <c r="C66" s="711">
        <v>600078370</v>
      </c>
      <c r="D66" s="711">
        <v>72744162</v>
      </c>
      <c r="E66" s="712" t="s">
        <v>107</v>
      </c>
      <c r="F66" s="711">
        <v>3117</v>
      </c>
      <c r="G66" s="713" t="s">
        <v>318</v>
      </c>
      <c r="H66" s="714" t="s">
        <v>284</v>
      </c>
      <c r="I66" s="495">
        <v>1275750</v>
      </c>
      <c r="J66" s="496">
        <v>927099</v>
      </c>
      <c r="K66" s="475">
        <v>0</v>
      </c>
      <c r="L66" s="475">
        <v>0</v>
      </c>
      <c r="M66" s="319">
        <v>313359</v>
      </c>
      <c r="N66" s="319">
        <v>18542</v>
      </c>
      <c r="O66" s="496">
        <v>16750</v>
      </c>
      <c r="P66" s="497">
        <v>2.69</v>
      </c>
      <c r="Q66" s="412">
        <v>2.69</v>
      </c>
      <c r="R66" s="498">
        <v>0</v>
      </c>
      <c r="S66" s="499">
        <f t="shared" si="79"/>
        <v>0</v>
      </c>
      <c r="T66" s="486">
        <v>0</v>
      </c>
      <c r="U66" s="486">
        <v>0</v>
      </c>
      <c r="V66" s="486">
        <f>SUM(S66:U66)</f>
        <v>0</v>
      </c>
      <c r="W66" s="486">
        <v>0</v>
      </c>
      <c r="X66" s="486">
        <v>0</v>
      </c>
      <c r="Y66" s="486">
        <f>SUM(W66:X66)</f>
        <v>0</v>
      </c>
      <c r="Z66" s="486">
        <f>V66+Y66</f>
        <v>0</v>
      </c>
      <c r="AA66" s="319">
        <f>ROUND((V66+W66)*33.8%,0)</f>
        <v>0</v>
      </c>
      <c r="AB66" s="178">
        <f>ROUND(V66*2%,0)</f>
        <v>0</v>
      </c>
      <c r="AC66" s="486">
        <v>0</v>
      </c>
      <c r="AD66" s="486">
        <v>0</v>
      </c>
      <c r="AE66" s="486">
        <f t="shared" si="2"/>
        <v>0</v>
      </c>
      <c r="AF66" s="486">
        <f t="shared" si="3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80"/>
        <v>0</v>
      </c>
      <c r="AM66" s="501">
        <f t="shared" si="81"/>
        <v>0</v>
      </c>
      <c r="AN66" s="529">
        <f t="shared" si="5"/>
        <v>0</v>
      </c>
      <c r="AO66" s="530">
        <f>I66+AF66</f>
        <v>1275750</v>
      </c>
      <c r="AP66" s="486">
        <f>J66+V66</f>
        <v>927099</v>
      </c>
      <c r="AQ66" s="486">
        <f>K66+Y66</f>
        <v>0</v>
      </c>
      <c r="AR66" s="486">
        <f>L66</f>
        <v>0</v>
      </c>
      <c r="AS66" s="486">
        <f t="shared" si="82"/>
        <v>313359</v>
      </c>
      <c r="AT66" s="486">
        <f t="shared" si="82"/>
        <v>18542</v>
      </c>
      <c r="AU66" s="486">
        <f>O66+AE66</f>
        <v>16750</v>
      </c>
      <c r="AV66" s="501">
        <f>P66+AN66</f>
        <v>2.69</v>
      </c>
      <c r="AW66" s="501">
        <f t="shared" si="83"/>
        <v>2.69</v>
      </c>
      <c r="AX66" s="502">
        <f t="shared" si="83"/>
        <v>0</v>
      </c>
    </row>
    <row r="67" spans="1:50" x14ac:dyDescent="0.2">
      <c r="A67" s="710">
        <v>12</v>
      </c>
      <c r="B67" s="711">
        <v>3431</v>
      </c>
      <c r="C67" s="711">
        <v>600078370</v>
      </c>
      <c r="D67" s="711">
        <v>72744162</v>
      </c>
      <c r="E67" s="712" t="s">
        <v>107</v>
      </c>
      <c r="F67" s="711">
        <v>3141</v>
      </c>
      <c r="G67" s="713" t="s">
        <v>321</v>
      </c>
      <c r="H67" s="714" t="s">
        <v>284</v>
      </c>
      <c r="I67" s="495">
        <v>417806</v>
      </c>
      <c r="J67" s="496">
        <v>305954</v>
      </c>
      <c r="K67" s="475">
        <v>0</v>
      </c>
      <c r="L67" s="475">
        <v>0</v>
      </c>
      <c r="M67" s="319">
        <v>103413</v>
      </c>
      <c r="N67" s="319">
        <v>6119</v>
      </c>
      <c r="O67" s="496">
        <v>2320</v>
      </c>
      <c r="P67" s="497">
        <v>1.04</v>
      </c>
      <c r="Q67" s="412">
        <v>0</v>
      </c>
      <c r="R67" s="498">
        <v>1.04</v>
      </c>
      <c r="S67" s="499">
        <f t="shared" si="79"/>
        <v>0</v>
      </c>
      <c r="T67" s="486">
        <v>0</v>
      </c>
      <c r="U67" s="486">
        <v>0</v>
      </c>
      <c r="V67" s="486">
        <f>SUM(S67:U67)</f>
        <v>0</v>
      </c>
      <c r="W67" s="486">
        <v>0</v>
      </c>
      <c r="X67" s="486">
        <v>0</v>
      </c>
      <c r="Y67" s="486">
        <f>SUM(W67:X67)</f>
        <v>0</v>
      </c>
      <c r="Z67" s="486">
        <f>V67+Y67</f>
        <v>0</v>
      </c>
      <c r="AA67" s="319">
        <f>ROUND((V67+W67)*33.8%,0)</f>
        <v>0</v>
      </c>
      <c r="AB67" s="178">
        <f>ROUND(V67*2%,0)</f>
        <v>0</v>
      </c>
      <c r="AC67" s="486">
        <v>0</v>
      </c>
      <c r="AD67" s="486">
        <v>0</v>
      </c>
      <c r="AE67" s="486">
        <f t="shared" si="2"/>
        <v>0</v>
      </c>
      <c r="AF67" s="486">
        <f t="shared" si="3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80"/>
        <v>0</v>
      </c>
      <c r="AM67" s="501">
        <f t="shared" si="81"/>
        <v>0</v>
      </c>
      <c r="AN67" s="529">
        <f t="shared" si="5"/>
        <v>0</v>
      </c>
      <c r="AO67" s="530">
        <f>I67+AF67</f>
        <v>417806</v>
      </c>
      <c r="AP67" s="486">
        <f>J67+V67</f>
        <v>305954</v>
      </c>
      <c r="AQ67" s="486">
        <f>K67+Y67</f>
        <v>0</v>
      </c>
      <c r="AR67" s="486">
        <f>L67</f>
        <v>0</v>
      </c>
      <c r="AS67" s="486">
        <f t="shared" si="82"/>
        <v>103413</v>
      </c>
      <c r="AT67" s="486">
        <f t="shared" si="82"/>
        <v>6119</v>
      </c>
      <c r="AU67" s="486">
        <f>O67+AE67</f>
        <v>2320</v>
      </c>
      <c r="AV67" s="501">
        <f>P67+AN67</f>
        <v>1.04</v>
      </c>
      <c r="AW67" s="501">
        <f t="shared" si="83"/>
        <v>0</v>
      </c>
      <c r="AX67" s="502">
        <f t="shared" si="83"/>
        <v>1.04</v>
      </c>
    </row>
    <row r="68" spans="1:50" x14ac:dyDescent="0.2">
      <c r="A68" s="710">
        <v>12</v>
      </c>
      <c r="B68" s="711">
        <v>3431</v>
      </c>
      <c r="C68" s="711">
        <v>600078370</v>
      </c>
      <c r="D68" s="711">
        <v>72744162</v>
      </c>
      <c r="E68" s="712" t="s">
        <v>107</v>
      </c>
      <c r="F68" s="711">
        <v>3143</v>
      </c>
      <c r="G68" s="713" t="s">
        <v>634</v>
      </c>
      <c r="H68" s="701" t="s">
        <v>283</v>
      </c>
      <c r="I68" s="495">
        <v>698085</v>
      </c>
      <c r="J68" s="496">
        <v>514054</v>
      </c>
      <c r="K68" s="475">
        <v>0</v>
      </c>
      <c r="L68" s="475">
        <v>0</v>
      </c>
      <c r="M68" s="319">
        <v>173750</v>
      </c>
      <c r="N68" s="319">
        <v>10281</v>
      </c>
      <c r="O68" s="496">
        <v>0</v>
      </c>
      <c r="P68" s="497">
        <v>1</v>
      </c>
      <c r="Q68" s="412">
        <v>1</v>
      </c>
      <c r="R68" s="498">
        <v>0</v>
      </c>
      <c r="S68" s="499">
        <f t="shared" si="79"/>
        <v>0</v>
      </c>
      <c r="T68" s="486">
        <v>0</v>
      </c>
      <c r="U68" s="486">
        <v>0</v>
      </c>
      <c r="V68" s="486">
        <f>SUM(S68:U68)</f>
        <v>0</v>
      </c>
      <c r="W68" s="486">
        <v>0</v>
      </c>
      <c r="X68" s="486">
        <v>0</v>
      </c>
      <c r="Y68" s="486">
        <f>SUM(W68:X68)</f>
        <v>0</v>
      </c>
      <c r="Z68" s="486">
        <f>V68+Y68</f>
        <v>0</v>
      </c>
      <c r="AA68" s="319">
        <f>ROUND((V68+W68)*33.8%,0)</f>
        <v>0</v>
      </c>
      <c r="AB68" s="178">
        <f>ROUND(V68*2%,0)</f>
        <v>0</v>
      </c>
      <c r="AC68" s="486">
        <v>0</v>
      </c>
      <c r="AD68" s="486">
        <v>0</v>
      </c>
      <c r="AE68" s="486">
        <f t="shared" si="2"/>
        <v>0</v>
      </c>
      <c r="AF68" s="486">
        <f t="shared" si="3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80"/>
        <v>0</v>
      </c>
      <c r="AM68" s="501">
        <f t="shared" si="81"/>
        <v>0</v>
      </c>
      <c r="AN68" s="529">
        <f t="shared" si="5"/>
        <v>0</v>
      </c>
      <c r="AO68" s="530">
        <f>I68+AF68</f>
        <v>698085</v>
      </c>
      <c r="AP68" s="486">
        <f>J68+V68</f>
        <v>514054</v>
      </c>
      <c r="AQ68" s="486">
        <f>K68+Y68</f>
        <v>0</v>
      </c>
      <c r="AR68" s="486">
        <f>L68</f>
        <v>0</v>
      </c>
      <c r="AS68" s="486">
        <f t="shared" si="82"/>
        <v>173750</v>
      </c>
      <c r="AT68" s="486">
        <f t="shared" si="82"/>
        <v>10281</v>
      </c>
      <c r="AU68" s="486">
        <f>O68+AE68</f>
        <v>0</v>
      </c>
      <c r="AV68" s="501">
        <f>P68+AN68</f>
        <v>1</v>
      </c>
      <c r="AW68" s="501">
        <f t="shared" si="83"/>
        <v>1</v>
      </c>
      <c r="AX68" s="502">
        <f t="shared" si="83"/>
        <v>0</v>
      </c>
    </row>
    <row r="69" spans="1:50" x14ac:dyDescent="0.2">
      <c r="A69" s="710">
        <v>12</v>
      </c>
      <c r="B69" s="711">
        <v>3431</v>
      </c>
      <c r="C69" s="711">
        <v>600078370</v>
      </c>
      <c r="D69" s="711">
        <v>72744162</v>
      </c>
      <c r="E69" s="712" t="s">
        <v>107</v>
      </c>
      <c r="F69" s="711">
        <v>3143</v>
      </c>
      <c r="G69" s="713" t="s">
        <v>635</v>
      </c>
      <c r="H69" s="701" t="s">
        <v>284</v>
      </c>
      <c r="I69" s="495">
        <v>21066</v>
      </c>
      <c r="J69" s="496">
        <v>14850</v>
      </c>
      <c r="K69" s="475">
        <v>0</v>
      </c>
      <c r="L69" s="475">
        <v>0</v>
      </c>
      <c r="M69" s="319">
        <v>5019</v>
      </c>
      <c r="N69" s="319">
        <v>297</v>
      </c>
      <c r="O69" s="496">
        <v>900</v>
      </c>
      <c r="P69" s="497">
        <v>0.06</v>
      </c>
      <c r="Q69" s="412">
        <v>0</v>
      </c>
      <c r="R69" s="498">
        <v>0.06</v>
      </c>
      <c r="S69" s="499">
        <f t="shared" si="79"/>
        <v>0</v>
      </c>
      <c r="T69" s="486">
        <v>0</v>
      </c>
      <c r="U69" s="486">
        <v>0</v>
      </c>
      <c r="V69" s="486">
        <f>SUM(S69:U69)</f>
        <v>0</v>
      </c>
      <c r="W69" s="486">
        <v>0</v>
      </c>
      <c r="X69" s="486">
        <v>0</v>
      </c>
      <c r="Y69" s="486">
        <f>SUM(W69:X69)</f>
        <v>0</v>
      </c>
      <c r="Z69" s="486">
        <f>V69+Y69</f>
        <v>0</v>
      </c>
      <c r="AA69" s="319">
        <f>ROUND((V69+W69)*33.8%,0)</f>
        <v>0</v>
      </c>
      <c r="AB69" s="178">
        <f>ROUND(V69*2%,0)</f>
        <v>0</v>
      </c>
      <c r="AC69" s="486">
        <v>0</v>
      </c>
      <c r="AD69" s="486">
        <v>0</v>
      </c>
      <c r="AE69" s="486">
        <f t="shared" si="2"/>
        <v>0</v>
      </c>
      <c r="AF69" s="486">
        <f t="shared" si="3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si="80"/>
        <v>0</v>
      </c>
      <c r="AM69" s="501">
        <f t="shared" si="81"/>
        <v>0</v>
      </c>
      <c r="AN69" s="529">
        <f t="shared" si="5"/>
        <v>0</v>
      </c>
      <c r="AO69" s="530">
        <f>I69+AF69</f>
        <v>21066</v>
      </c>
      <c r="AP69" s="486">
        <f>J69+V69</f>
        <v>14850</v>
      </c>
      <c r="AQ69" s="486">
        <f>K69+Y69</f>
        <v>0</v>
      </c>
      <c r="AR69" s="486">
        <f>L69</f>
        <v>0</v>
      </c>
      <c r="AS69" s="486">
        <f t="shared" si="82"/>
        <v>5019</v>
      </c>
      <c r="AT69" s="486">
        <f t="shared" si="82"/>
        <v>297</v>
      </c>
      <c r="AU69" s="486">
        <f>O69+AE69</f>
        <v>900</v>
      </c>
      <c r="AV69" s="501">
        <f>P69+AN69</f>
        <v>0.06</v>
      </c>
      <c r="AW69" s="501">
        <f t="shared" si="83"/>
        <v>0</v>
      </c>
      <c r="AX69" s="502">
        <f t="shared" si="83"/>
        <v>0.06</v>
      </c>
    </row>
    <row r="70" spans="1:50" x14ac:dyDescent="0.2">
      <c r="A70" s="282">
        <v>12</v>
      </c>
      <c r="B70" s="27">
        <v>3431</v>
      </c>
      <c r="C70" s="27">
        <v>600078370</v>
      </c>
      <c r="D70" s="27">
        <v>72744162</v>
      </c>
      <c r="E70" s="292" t="s">
        <v>108</v>
      </c>
      <c r="F70" s="27"/>
      <c r="G70" s="281"/>
      <c r="H70" s="377"/>
      <c r="I70" s="6">
        <v>6079454</v>
      </c>
      <c r="J70" s="10">
        <v>4283170</v>
      </c>
      <c r="K70" s="10">
        <v>87685</v>
      </c>
      <c r="L70" s="10">
        <v>18885</v>
      </c>
      <c r="M70" s="10">
        <v>1470966</v>
      </c>
      <c r="N70" s="10">
        <v>85663</v>
      </c>
      <c r="O70" s="10">
        <v>151970</v>
      </c>
      <c r="P70" s="11">
        <v>9.8843000000000014</v>
      </c>
      <c r="Q70" s="11">
        <v>7.6899999999999995</v>
      </c>
      <c r="R70" s="75">
        <v>2.1943000000000006</v>
      </c>
      <c r="S70" s="271">
        <f t="shared" ref="S70:AX70" si="84">SUM(S65:S69)</f>
        <v>0</v>
      </c>
      <c r="T70" s="10">
        <f t="shared" si="84"/>
        <v>0</v>
      </c>
      <c r="U70" s="10">
        <f t="shared" si="84"/>
        <v>0</v>
      </c>
      <c r="V70" s="10">
        <f t="shared" si="84"/>
        <v>0</v>
      </c>
      <c r="W70" s="10">
        <f t="shared" si="84"/>
        <v>0</v>
      </c>
      <c r="X70" s="10">
        <f t="shared" si="84"/>
        <v>0</v>
      </c>
      <c r="Y70" s="10">
        <f t="shared" si="84"/>
        <v>0</v>
      </c>
      <c r="Z70" s="10">
        <f t="shared" si="84"/>
        <v>0</v>
      </c>
      <c r="AA70" s="10">
        <f t="shared" si="84"/>
        <v>0</v>
      </c>
      <c r="AB70" s="10">
        <f t="shared" si="84"/>
        <v>0</v>
      </c>
      <c r="AC70" s="10">
        <f t="shared" si="84"/>
        <v>0</v>
      </c>
      <c r="AD70" s="10">
        <f t="shared" si="84"/>
        <v>0</v>
      </c>
      <c r="AE70" s="10">
        <f t="shared" si="84"/>
        <v>0</v>
      </c>
      <c r="AF70" s="10">
        <f t="shared" si="84"/>
        <v>0</v>
      </c>
      <c r="AG70" s="11">
        <f t="shared" si="84"/>
        <v>0</v>
      </c>
      <c r="AH70" s="11">
        <f t="shared" si="84"/>
        <v>0</v>
      </c>
      <c r="AI70" s="11">
        <f t="shared" si="84"/>
        <v>0</v>
      </c>
      <c r="AJ70" s="11">
        <f t="shared" si="84"/>
        <v>0</v>
      </c>
      <c r="AK70" s="11">
        <f t="shared" si="84"/>
        <v>0</v>
      </c>
      <c r="AL70" s="11">
        <f t="shared" si="84"/>
        <v>0</v>
      </c>
      <c r="AM70" s="11">
        <f t="shared" si="84"/>
        <v>0</v>
      </c>
      <c r="AN70" s="32">
        <f t="shared" si="84"/>
        <v>0</v>
      </c>
      <c r="AO70" s="6">
        <f t="shared" si="84"/>
        <v>6079454</v>
      </c>
      <c r="AP70" s="10">
        <f t="shared" si="84"/>
        <v>4283170</v>
      </c>
      <c r="AQ70" s="71">
        <f t="shared" si="84"/>
        <v>87685</v>
      </c>
      <c r="AR70" s="71">
        <f t="shared" si="84"/>
        <v>18885</v>
      </c>
      <c r="AS70" s="10">
        <f t="shared" si="84"/>
        <v>1470966</v>
      </c>
      <c r="AT70" s="10">
        <f t="shared" si="84"/>
        <v>85663</v>
      </c>
      <c r="AU70" s="10">
        <f t="shared" si="84"/>
        <v>151970</v>
      </c>
      <c r="AV70" s="11">
        <f t="shared" si="84"/>
        <v>9.8843000000000014</v>
      </c>
      <c r="AW70" s="11">
        <f t="shared" si="84"/>
        <v>7.6899999999999995</v>
      </c>
      <c r="AX70" s="75">
        <f t="shared" si="84"/>
        <v>2.1943000000000006</v>
      </c>
    </row>
    <row r="71" spans="1:50" x14ac:dyDescent="0.2">
      <c r="A71" s="710">
        <v>13</v>
      </c>
      <c r="B71" s="711">
        <v>3437</v>
      </c>
      <c r="C71" s="711">
        <v>600078051</v>
      </c>
      <c r="D71" s="711">
        <v>70695377</v>
      </c>
      <c r="E71" s="712" t="s">
        <v>109</v>
      </c>
      <c r="F71" s="711">
        <v>3111</v>
      </c>
      <c r="G71" s="713" t="s">
        <v>317</v>
      </c>
      <c r="H71" s="714" t="s">
        <v>283</v>
      </c>
      <c r="I71" s="495">
        <v>9347955</v>
      </c>
      <c r="J71" s="496">
        <v>6729643</v>
      </c>
      <c r="K71" s="496">
        <v>0</v>
      </c>
      <c r="L71" s="496">
        <v>0</v>
      </c>
      <c r="M71" s="496">
        <v>2274618</v>
      </c>
      <c r="N71" s="496">
        <v>134594</v>
      </c>
      <c r="O71" s="496">
        <v>209100</v>
      </c>
      <c r="P71" s="497">
        <v>15.952199999999999</v>
      </c>
      <c r="Q71" s="412">
        <v>12</v>
      </c>
      <c r="R71" s="498">
        <v>3.9521999999999995</v>
      </c>
      <c r="S71" s="499">
        <f t="shared" ref="S71:S72" si="85">W71*-1</f>
        <v>0</v>
      </c>
      <c r="T71" s="486">
        <v>0</v>
      </c>
      <c r="U71" s="486">
        <v>-14728</v>
      </c>
      <c r="V71" s="486">
        <f>SUM(S71:U71)</f>
        <v>-14728</v>
      </c>
      <c r="W71" s="486">
        <v>0</v>
      </c>
      <c r="X71" s="486">
        <v>0</v>
      </c>
      <c r="Y71" s="486">
        <f>SUM(W71:X71)</f>
        <v>0</v>
      </c>
      <c r="Z71" s="486">
        <f>V71+Y71</f>
        <v>-14728</v>
      </c>
      <c r="AA71" s="319">
        <f>ROUND((V71+W71)*33.8%,0)</f>
        <v>-4978</v>
      </c>
      <c r="AB71" s="178">
        <f>ROUND(V71*2%,0)</f>
        <v>-295</v>
      </c>
      <c r="AC71" s="486">
        <v>0</v>
      </c>
      <c r="AD71" s="486">
        <v>20001</v>
      </c>
      <c r="AE71" s="486">
        <f t="shared" si="2"/>
        <v>20001</v>
      </c>
      <c r="AF71" s="486">
        <f t="shared" si="3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ref="AL71:AL72" si="86">AG71+AI71+AJ71</f>
        <v>0</v>
      </c>
      <c r="AM71" s="501">
        <f t="shared" ref="AM71:AM72" si="87">AH71+AK71</f>
        <v>0</v>
      </c>
      <c r="AN71" s="529">
        <f t="shared" si="5"/>
        <v>0</v>
      </c>
      <c r="AO71" s="530">
        <f>I71+AF71</f>
        <v>9347955</v>
      </c>
      <c r="AP71" s="486">
        <f>J71+V71</f>
        <v>6714915</v>
      </c>
      <c r="AQ71" s="486">
        <f>K71+Y71</f>
        <v>0</v>
      </c>
      <c r="AR71" s="486">
        <f>L71</f>
        <v>0</v>
      </c>
      <c r="AS71" s="486">
        <f>M71+AA71</f>
        <v>2269640</v>
      </c>
      <c r="AT71" s="486">
        <f>N71+AB71</f>
        <v>134299</v>
      </c>
      <c r="AU71" s="486">
        <f>O71+AE71</f>
        <v>229101</v>
      </c>
      <c r="AV71" s="501">
        <f>P71+AN71</f>
        <v>15.952199999999999</v>
      </c>
      <c r="AW71" s="501">
        <f>Q71+AL71</f>
        <v>12</v>
      </c>
      <c r="AX71" s="502">
        <f>R71+AM71</f>
        <v>3.9521999999999995</v>
      </c>
    </row>
    <row r="72" spans="1:50" x14ac:dyDescent="0.2">
      <c r="A72" s="710">
        <v>13</v>
      </c>
      <c r="B72" s="711">
        <v>3437</v>
      </c>
      <c r="C72" s="711">
        <v>600078051</v>
      </c>
      <c r="D72" s="711">
        <v>70695377</v>
      </c>
      <c r="E72" s="712" t="s">
        <v>109</v>
      </c>
      <c r="F72" s="711">
        <v>3141</v>
      </c>
      <c r="G72" s="713" t="s">
        <v>321</v>
      </c>
      <c r="H72" s="714" t="s">
        <v>284</v>
      </c>
      <c r="I72" s="495">
        <v>844694</v>
      </c>
      <c r="J72" s="496">
        <v>619023</v>
      </c>
      <c r="K72" s="475">
        <v>0</v>
      </c>
      <c r="L72" s="475">
        <v>0</v>
      </c>
      <c r="M72" s="319">
        <v>209230</v>
      </c>
      <c r="N72" s="319">
        <v>12381</v>
      </c>
      <c r="O72" s="496">
        <v>4060</v>
      </c>
      <c r="P72" s="497">
        <v>2.11</v>
      </c>
      <c r="Q72" s="412">
        <v>0</v>
      </c>
      <c r="R72" s="498">
        <v>2.11</v>
      </c>
      <c r="S72" s="499">
        <f t="shared" si="85"/>
        <v>0</v>
      </c>
      <c r="T72" s="486">
        <v>0</v>
      </c>
      <c r="U72" s="486">
        <v>0</v>
      </c>
      <c r="V72" s="486">
        <f>SUM(S72:U72)</f>
        <v>0</v>
      </c>
      <c r="W72" s="486">
        <v>0</v>
      </c>
      <c r="X72" s="486">
        <v>0</v>
      </c>
      <c r="Y72" s="486">
        <f>SUM(W72:X72)</f>
        <v>0</v>
      </c>
      <c r="Z72" s="486">
        <f>V72+Y72</f>
        <v>0</v>
      </c>
      <c r="AA72" s="319">
        <f>ROUND((V72+W72)*33.8%,0)</f>
        <v>0</v>
      </c>
      <c r="AB72" s="178">
        <f>ROUND(V72*2%,0)</f>
        <v>0</v>
      </c>
      <c r="AC72" s="486">
        <v>0</v>
      </c>
      <c r="AD72" s="486">
        <v>0</v>
      </c>
      <c r="AE72" s="486">
        <f t="shared" si="2"/>
        <v>0</v>
      </c>
      <c r="AF72" s="486">
        <f t="shared" si="3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86"/>
        <v>0</v>
      </c>
      <c r="AM72" s="501">
        <f t="shared" si="87"/>
        <v>0</v>
      </c>
      <c r="AN72" s="529">
        <f t="shared" si="5"/>
        <v>0</v>
      </c>
      <c r="AO72" s="530">
        <f>I72+AF72</f>
        <v>844694</v>
      </c>
      <c r="AP72" s="486">
        <f>J72+V72</f>
        <v>619023</v>
      </c>
      <c r="AQ72" s="486">
        <f>K72+Y72</f>
        <v>0</v>
      </c>
      <c r="AR72" s="486">
        <f>L72</f>
        <v>0</v>
      </c>
      <c r="AS72" s="486">
        <f>M72+AA72</f>
        <v>209230</v>
      </c>
      <c r="AT72" s="486">
        <f>N72+AB72</f>
        <v>12381</v>
      </c>
      <c r="AU72" s="486">
        <f>O72+AE72</f>
        <v>4060</v>
      </c>
      <c r="AV72" s="501">
        <f>P72+AN72</f>
        <v>2.11</v>
      </c>
      <c r="AW72" s="501">
        <f>Q72+AL72</f>
        <v>0</v>
      </c>
      <c r="AX72" s="502">
        <f>R72+AM72</f>
        <v>2.11</v>
      </c>
    </row>
    <row r="73" spans="1:50" x14ac:dyDescent="0.2">
      <c r="A73" s="282">
        <v>13</v>
      </c>
      <c r="B73" s="27">
        <v>3437</v>
      </c>
      <c r="C73" s="27">
        <v>600078051</v>
      </c>
      <c r="D73" s="27">
        <v>70695377</v>
      </c>
      <c r="E73" s="292" t="s">
        <v>110</v>
      </c>
      <c r="F73" s="27"/>
      <c r="G73" s="281"/>
      <c r="H73" s="377"/>
      <c r="I73" s="5">
        <v>10192649</v>
      </c>
      <c r="J73" s="8">
        <v>7348666</v>
      </c>
      <c r="K73" s="8">
        <v>0</v>
      </c>
      <c r="L73" s="8">
        <v>0</v>
      </c>
      <c r="M73" s="8">
        <v>2483848</v>
      </c>
      <c r="N73" s="8">
        <v>146975</v>
      </c>
      <c r="O73" s="8">
        <v>213160</v>
      </c>
      <c r="P73" s="9">
        <v>18.062200000000001</v>
      </c>
      <c r="Q73" s="9">
        <v>12</v>
      </c>
      <c r="R73" s="74">
        <v>6.0621999999999989</v>
      </c>
      <c r="S73" s="270">
        <f t="shared" ref="S73:AX73" si="88">SUM(S71:S72)</f>
        <v>0</v>
      </c>
      <c r="T73" s="8">
        <f t="shared" si="88"/>
        <v>0</v>
      </c>
      <c r="U73" s="8">
        <f t="shared" si="88"/>
        <v>-14728</v>
      </c>
      <c r="V73" s="8">
        <f t="shared" si="88"/>
        <v>-14728</v>
      </c>
      <c r="W73" s="8">
        <f t="shared" si="88"/>
        <v>0</v>
      </c>
      <c r="X73" s="8">
        <f t="shared" si="88"/>
        <v>0</v>
      </c>
      <c r="Y73" s="8">
        <f t="shared" si="88"/>
        <v>0</v>
      </c>
      <c r="Z73" s="8">
        <f t="shared" si="88"/>
        <v>-14728</v>
      </c>
      <c r="AA73" s="8">
        <f t="shared" si="88"/>
        <v>-4978</v>
      </c>
      <c r="AB73" s="8">
        <f t="shared" si="88"/>
        <v>-295</v>
      </c>
      <c r="AC73" s="8">
        <f t="shared" si="88"/>
        <v>0</v>
      </c>
      <c r="AD73" s="8">
        <f t="shared" si="88"/>
        <v>20001</v>
      </c>
      <c r="AE73" s="8">
        <f t="shared" si="88"/>
        <v>20001</v>
      </c>
      <c r="AF73" s="8">
        <f t="shared" si="88"/>
        <v>0</v>
      </c>
      <c r="AG73" s="9">
        <f t="shared" si="88"/>
        <v>0</v>
      </c>
      <c r="AH73" s="9">
        <f t="shared" si="88"/>
        <v>0</v>
      </c>
      <c r="AI73" s="9">
        <f t="shared" si="88"/>
        <v>0</v>
      </c>
      <c r="AJ73" s="9">
        <f t="shared" si="88"/>
        <v>0</v>
      </c>
      <c r="AK73" s="9">
        <f t="shared" si="88"/>
        <v>0</v>
      </c>
      <c r="AL73" s="9">
        <f t="shared" si="88"/>
        <v>0</v>
      </c>
      <c r="AM73" s="9">
        <f t="shared" si="88"/>
        <v>0</v>
      </c>
      <c r="AN73" s="33">
        <f t="shared" si="88"/>
        <v>0</v>
      </c>
      <c r="AO73" s="5">
        <f t="shared" si="88"/>
        <v>10192649</v>
      </c>
      <c r="AP73" s="8">
        <f t="shared" si="88"/>
        <v>7333938</v>
      </c>
      <c r="AQ73" s="38">
        <f t="shared" si="88"/>
        <v>0</v>
      </c>
      <c r="AR73" s="38">
        <f t="shared" si="88"/>
        <v>0</v>
      </c>
      <c r="AS73" s="8">
        <f t="shared" si="88"/>
        <v>2478870</v>
      </c>
      <c r="AT73" s="8">
        <f t="shared" si="88"/>
        <v>146680</v>
      </c>
      <c r="AU73" s="8">
        <f t="shared" si="88"/>
        <v>233161</v>
      </c>
      <c r="AV73" s="9">
        <f t="shared" si="88"/>
        <v>18.062200000000001</v>
      </c>
      <c r="AW73" s="9">
        <f t="shared" si="88"/>
        <v>12</v>
      </c>
      <c r="AX73" s="74">
        <f t="shared" si="88"/>
        <v>6.0621999999999989</v>
      </c>
    </row>
    <row r="74" spans="1:50" x14ac:dyDescent="0.2">
      <c r="A74" s="710">
        <v>14</v>
      </c>
      <c r="B74" s="711">
        <v>3436</v>
      </c>
      <c r="C74" s="711">
        <v>600078485</v>
      </c>
      <c r="D74" s="711">
        <v>70695385</v>
      </c>
      <c r="E74" s="712" t="s">
        <v>111</v>
      </c>
      <c r="F74" s="711">
        <v>3113</v>
      </c>
      <c r="G74" s="713" t="s">
        <v>320</v>
      </c>
      <c r="H74" s="714" t="s">
        <v>283</v>
      </c>
      <c r="I74" s="495">
        <v>21144326</v>
      </c>
      <c r="J74" s="496">
        <v>14933863</v>
      </c>
      <c r="K74" s="496">
        <v>52540</v>
      </c>
      <c r="L74" s="496">
        <v>52540</v>
      </c>
      <c r="M74" s="496">
        <v>5047646</v>
      </c>
      <c r="N74" s="496">
        <v>298677</v>
      </c>
      <c r="O74" s="496">
        <v>811600</v>
      </c>
      <c r="P74" s="497">
        <v>29.91</v>
      </c>
      <c r="Q74" s="412">
        <v>22.638200000000001</v>
      </c>
      <c r="R74" s="498">
        <v>7.2717999999999989</v>
      </c>
      <c r="S74" s="499">
        <f t="shared" ref="S74:S78" si="89">W74*-1</f>
        <v>0</v>
      </c>
      <c r="T74" s="486">
        <v>0</v>
      </c>
      <c r="U74" s="486">
        <v>0</v>
      </c>
      <c r="V74" s="486">
        <f>SUM(S74:U74)</f>
        <v>0</v>
      </c>
      <c r="W74" s="486">
        <v>0</v>
      </c>
      <c r="X74" s="486">
        <v>0</v>
      </c>
      <c r="Y74" s="486">
        <f>SUM(W74:X74)</f>
        <v>0</v>
      </c>
      <c r="Z74" s="486">
        <f>V74+Y74</f>
        <v>0</v>
      </c>
      <c r="AA74" s="319">
        <f>ROUND((V74+W74)*33.8%,0)</f>
        <v>0</v>
      </c>
      <c r="AB74" s="178">
        <f>ROUND(V74*2%,0)</f>
        <v>0</v>
      </c>
      <c r="AC74" s="486">
        <v>0</v>
      </c>
      <c r="AD74" s="486">
        <v>0</v>
      </c>
      <c r="AE74" s="486">
        <f t="shared" si="2"/>
        <v>0</v>
      </c>
      <c r="AF74" s="486">
        <f t="shared" si="3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ref="AL74:AL78" si="90">AG74+AI74+AJ74</f>
        <v>0</v>
      </c>
      <c r="AM74" s="501">
        <f t="shared" ref="AM74:AM78" si="91">AH74+AK74</f>
        <v>0</v>
      </c>
      <c r="AN74" s="529">
        <f t="shared" si="5"/>
        <v>0</v>
      </c>
      <c r="AO74" s="530">
        <f>I74+AF74</f>
        <v>21144326</v>
      </c>
      <c r="AP74" s="486">
        <f>J74+V74</f>
        <v>14933863</v>
      </c>
      <c r="AQ74" s="486">
        <f>K74+Y74</f>
        <v>52540</v>
      </c>
      <c r="AR74" s="486">
        <f>L74</f>
        <v>52540</v>
      </c>
      <c r="AS74" s="486">
        <f t="shared" ref="AS74:AT78" si="92">M74+AA74</f>
        <v>5047646</v>
      </c>
      <c r="AT74" s="486">
        <f t="shared" si="92"/>
        <v>298677</v>
      </c>
      <c r="AU74" s="486">
        <f>O74+AE74</f>
        <v>811600</v>
      </c>
      <c r="AV74" s="501">
        <f>P74+AN74</f>
        <v>29.91</v>
      </c>
      <c r="AW74" s="501">
        <f t="shared" ref="AW74:AX78" si="93">Q74+AL74</f>
        <v>22.638200000000001</v>
      </c>
      <c r="AX74" s="502">
        <f t="shared" si="93"/>
        <v>7.2717999999999989</v>
      </c>
    </row>
    <row r="75" spans="1:50" x14ac:dyDescent="0.2">
      <c r="A75" s="710">
        <v>14</v>
      </c>
      <c r="B75" s="711">
        <v>3436</v>
      </c>
      <c r="C75" s="711">
        <v>600078485</v>
      </c>
      <c r="D75" s="711">
        <v>70695385</v>
      </c>
      <c r="E75" s="712" t="s">
        <v>111</v>
      </c>
      <c r="F75" s="711">
        <v>3113</v>
      </c>
      <c r="G75" s="713" t="s">
        <v>318</v>
      </c>
      <c r="H75" s="714" t="s">
        <v>284</v>
      </c>
      <c r="I75" s="495">
        <v>2376853</v>
      </c>
      <c r="J75" s="496">
        <v>1750260</v>
      </c>
      <c r="K75" s="475">
        <v>0</v>
      </c>
      <c r="L75" s="475">
        <v>0</v>
      </c>
      <c r="M75" s="319">
        <v>591588</v>
      </c>
      <c r="N75" s="319">
        <v>35005</v>
      </c>
      <c r="O75" s="496">
        <v>0</v>
      </c>
      <c r="P75" s="497">
        <v>5.1499999999999995</v>
      </c>
      <c r="Q75" s="412">
        <v>5.1499999999999995</v>
      </c>
      <c r="R75" s="498">
        <v>0</v>
      </c>
      <c r="S75" s="499">
        <f t="shared" si="89"/>
        <v>0</v>
      </c>
      <c r="T75" s="486">
        <v>0</v>
      </c>
      <c r="U75" s="486">
        <v>0</v>
      </c>
      <c r="V75" s="486">
        <f>SUM(S75:U75)</f>
        <v>0</v>
      </c>
      <c r="W75" s="486">
        <v>0</v>
      </c>
      <c r="X75" s="486">
        <v>0</v>
      </c>
      <c r="Y75" s="486">
        <f>SUM(W75:X75)</f>
        <v>0</v>
      </c>
      <c r="Z75" s="486">
        <f>V75+Y75</f>
        <v>0</v>
      </c>
      <c r="AA75" s="319">
        <f>ROUND((V75+W75)*33.8%,0)</f>
        <v>0</v>
      </c>
      <c r="AB75" s="178">
        <f>ROUND(V75*2%,0)</f>
        <v>0</v>
      </c>
      <c r="AC75" s="486">
        <v>0</v>
      </c>
      <c r="AD75" s="486">
        <v>0</v>
      </c>
      <c r="AE75" s="486">
        <f t="shared" si="2"/>
        <v>0</v>
      </c>
      <c r="AF75" s="486">
        <f t="shared" si="3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90"/>
        <v>0</v>
      </c>
      <c r="AM75" s="501">
        <f t="shared" si="91"/>
        <v>0</v>
      </c>
      <c r="AN75" s="529">
        <f t="shared" si="5"/>
        <v>0</v>
      </c>
      <c r="AO75" s="530">
        <f>I75+AF75</f>
        <v>2376853</v>
      </c>
      <c r="AP75" s="486">
        <f>J75+V75</f>
        <v>1750260</v>
      </c>
      <c r="AQ75" s="486">
        <f>K75+Y75</f>
        <v>0</v>
      </c>
      <c r="AR75" s="486">
        <f>L75</f>
        <v>0</v>
      </c>
      <c r="AS75" s="486">
        <f t="shared" si="92"/>
        <v>591588</v>
      </c>
      <c r="AT75" s="486">
        <f t="shared" si="92"/>
        <v>35005</v>
      </c>
      <c r="AU75" s="486">
        <f>O75+AE75</f>
        <v>0</v>
      </c>
      <c r="AV75" s="501">
        <f>P75+AN75</f>
        <v>5.1499999999999995</v>
      </c>
      <c r="AW75" s="501">
        <f t="shared" si="93"/>
        <v>5.1499999999999995</v>
      </c>
      <c r="AX75" s="502">
        <f t="shared" si="93"/>
        <v>0</v>
      </c>
    </row>
    <row r="76" spans="1:50" x14ac:dyDescent="0.2">
      <c r="A76" s="710">
        <v>14</v>
      </c>
      <c r="B76" s="711">
        <v>3436</v>
      </c>
      <c r="C76" s="711">
        <v>600078485</v>
      </c>
      <c r="D76" s="711">
        <v>70695385</v>
      </c>
      <c r="E76" s="712" t="s">
        <v>111</v>
      </c>
      <c r="F76" s="711">
        <v>3141</v>
      </c>
      <c r="G76" s="713" t="s">
        <v>321</v>
      </c>
      <c r="H76" s="714" t="s">
        <v>284</v>
      </c>
      <c r="I76" s="495">
        <v>2616962</v>
      </c>
      <c r="J76" s="496">
        <v>1911567</v>
      </c>
      <c r="K76" s="475">
        <v>0</v>
      </c>
      <c r="L76" s="475">
        <v>0</v>
      </c>
      <c r="M76" s="319">
        <v>646110</v>
      </c>
      <c r="N76" s="319">
        <v>38231</v>
      </c>
      <c r="O76" s="496">
        <v>21054</v>
      </c>
      <c r="P76" s="497">
        <v>6.5</v>
      </c>
      <c r="Q76" s="412">
        <v>0</v>
      </c>
      <c r="R76" s="498">
        <v>6.5</v>
      </c>
      <c r="S76" s="499">
        <f t="shared" si="89"/>
        <v>0</v>
      </c>
      <c r="T76" s="486">
        <v>0</v>
      </c>
      <c r="U76" s="486">
        <v>0</v>
      </c>
      <c r="V76" s="486">
        <f>SUM(S76:U76)</f>
        <v>0</v>
      </c>
      <c r="W76" s="486">
        <v>0</v>
      </c>
      <c r="X76" s="486">
        <v>0</v>
      </c>
      <c r="Y76" s="486">
        <f>SUM(W76:X76)</f>
        <v>0</v>
      </c>
      <c r="Z76" s="486">
        <f>V76+Y76</f>
        <v>0</v>
      </c>
      <c r="AA76" s="319">
        <f>ROUND((V76+W76)*33.8%,0)</f>
        <v>0</v>
      </c>
      <c r="AB76" s="178">
        <f>ROUND(V76*2%,0)</f>
        <v>0</v>
      </c>
      <c r="AC76" s="486">
        <v>0</v>
      </c>
      <c r="AD76" s="486">
        <v>0</v>
      </c>
      <c r="AE76" s="486">
        <f t="shared" si="2"/>
        <v>0</v>
      </c>
      <c r="AF76" s="486">
        <f t="shared" si="3"/>
        <v>0</v>
      </c>
      <c r="AG76" s="501">
        <v>0</v>
      </c>
      <c r="AH76" s="501">
        <v>0</v>
      </c>
      <c r="AI76" s="501">
        <v>0</v>
      </c>
      <c r="AJ76" s="501">
        <v>0</v>
      </c>
      <c r="AK76" s="501">
        <v>0</v>
      </c>
      <c r="AL76" s="501">
        <f t="shared" si="90"/>
        <v>0</v>
      </c>
      <c r="AM76" s="501">
        <f t="shared" si="91"/>
        <v>0</v>
      </c>
      <c r="AN76" s="529">
        <f t="shared" si="5"/>
        <v>0</v>
      </c>
      <c r="AO76" s="530">
        <f>I76+AF76</f>
        <v>2616962</v>
      </c>
      <c r="AP76" s="486">
        <f>J76+V76</f>
        <v>1911567</v>
      </c>
      <c r="AQ76" s="486">
        <f>K76+Y76</f>
        <v>0</v>
      </c>
      <c r="AR76" s="486">
        <f>L76</f>
        <v>0</v>
      </c>
      <c r="AS76" s="486">
        <f t="shared" si="92"/>
        <v>646110</v>
      </c>
      <c r="AT76" s="486">
        <f t="shared" si="92"/>
        <v>38231</v>
      </c>
      <c r="AU76" s="486">
        <f>O76+AE76</f>
        <v>21054</v>
      </c>
      <c r="AV76" s="501">
        <f>P76+AN76</f>
        <v>6.5</v>
      </c>
      <c r="AW76" s="501">
        <f t="shared" si="93"/>
        <v>0</v>
      </c>
      <c r="AX76" s="502">
        <f t="shared" si="93"/>
        <v>6.5</v>
      </c>
    </row>
    <row r="77" spans="1:50" x14ac:dyDescent="0.2">
      <c r="A77" s="710">
        <v>14</v>
      </c>
      <c r="B77" s="711">
        <v>3436</v>
      </c>
      <c r="C77" s="711">
        <v>600078485</v>
      </c>
      <c r="D77" s="711">
        <v>70695385</v>
      </c>
      <c r="E77" s="712" t="s">
        <v>111</v>
      </c>
      <c r="F77" s="711">
        <v>3143</v>
      </c>
      <c r="G77" s="713" t="s">
        <v>634</v>
      </c>
      <c r="H77" s="701" t="s">
        <v>283</v>
      </c>
      <c r="I77" s="495">
        <v>1907474</v>
      </c>
      <c r="J77" s="496">
        <v>1404620</v>
      </c>
      <c r="K77" s="475">
        <v>0</v>
      </c>
      <c r="L77" s="475">
        <v>0</v>
      </c>
      <c r="M77" s="319">
        <v>474762</v>
      </c>
      <c r="N77" s="319">
        <v>28092</v>
      </c>
      <c r="O77" s="496">
        <v>0</v>
      </c>
      <c r="P77" s="497">
        <v>2.9910999999999999</v>
      </c>
      <c r="Q77" s="497">
        <v>2.9910999999999999</v>
      </c>
      <c r="R77" s="498">
        <v>0</v>
      </c>
      <c r="S77" s="499">
        <f t="shared" si="89"/>
        <v>0</v>
      </c>
      <c r="T77" s="486">
        <v>0</v>
      </c>
      <c r="U77" s="486">
        <v>0</v>
      </c>
      <c r="V77" s="486">
        <f>SUM(S77:U77)</f>
        <v>0</v>
      </c>
      <c r="W77" s="486">
        <v>0</v>
      </c>
      <c r="X77" s="486">
        <v>0</v>
      </c>
      <c r="Y77" s="486">
        <f>SUM(W77:X77)</f>
        <v>0</v>
      </c>
      <c r="Z77" s="486">
        <f>V77+Y77</f>
        <v>0</v>
      </c>
      <c r="AA77" s="319">
        <f>ROUND((V77+W77)*33.8%,0)</f>
        <v>0</v>
      </c>
      <c r="AB77" s="178">
        <f>ROUND(V77*2%,0)</f>
        <v>0</v>
      </c>
      <c r="AC77" s="486">
        <v>0</v>
      </c>
      <c r="AD77" s="486">
        <v>0</v>
      </c>
      <c r="AE77" s="486">
        <f t="shared" ref="AE77:AE96" si="94">SUM(AC77:AD77)</f>
        <v>0</v>
      </c>
      <c r="AF77" s="486">
        <f t="shared" ref="AF77:AF96" si="95">Z77+AA77+AB77+AE77</f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si="90"/>
        <v>0</v>
      </c>
      <c r="AM77" s="501">
        <f t="shared" si="91"/>
        <v>0</v>
      </c>
      <c r="AN77" s="529">
        <f t="shared" si="5"/>
        <v>0</v>
      </c>
      <c r="AO77" s="530">
        <f>I77+AF77</f>
        <v>1907474</v>
      </c>
      <c r="AP77" s="486">
        <f>J77+V77</f>
        <v>1404620</v>
      </c>
      <c r="AQ77" s="486">
        <f>K77+Y77</f>
        <v>0</v>
      </c>
      <c r="AR77" s="486">
        <f>L77</f>
        <v>0</v>
      </c>
      <c r="AS77" s="486">
        <f t="shared" si="92"/>
        <v>474762</v>
      </c>
      <c r="AT77" s="486">
        <f t="shared" si="92"/>
        <v>28092</v>
      </c>
      <c r="AU77" s="486">
        <f>O77+AE77</f>
        <v>0</v>
      </c>
      <c r="AV77" s="501">
        <f>P77+AN77</f>
        <v>2.9910999999999999</v>
      </c>
      <c r="AW77" s="501">
        <f t="shared" si="93"/>
        <v>2.9910999999999999</v>
      </c>
      <c r="AX77" s="502">
        <f t="shared" si="93"/>
        <v>0</v>
      </c>
    </row>
    <row r="78" spans="1:50" x14ac:dyDescent="0.2">
      <c r="A78" s="710">
        <v>14</v>
      </c>
      <c r="B78" s="711">
        <v>3436</v>
      </c>
      <c r="C78" s="711">
        <v>600078485</v>
      </c>
      <c r="D78" s="711">
        <v>70695385</v>
      </c>
      <c r="E78" s="712" t="s">
        <v>111</v>
      </c>
      <c r="F78" s="711">
        <v>3143</v>
      </c>
      <c r="G78" s="713" t="s">
        <v>635</v>
      </c>
      <c r="H78" s="701" t="s">
        <v>284</v>
      </c>
      <c r="I78" s="495">
        <v>68816</v>
      </c>
      <c r="J78" s="496">
        <v>48510</v>
      </c>
      <c r="K78" s="475">
        <v>0</v>
      </c>
      <c r="L78" s="475">
        <v>0</v>
      </c>
      <c r="M78" s="319">
        <v>16396</v>
      </c>
      <c r="N78" s="319">
        <v>970</v>
      </c>
      <c r="O78" s="496">
        <v>2940</v>
      </c>
      <c r="P78" s="497">
        <v>0.2</v>
      </c>
      <c r="Q78" s="412">
        <v>0</v>
      </c>
      <c r="R78" s="498">
        <v>0.2</v>
      </c>
      <c r="S78" s="499">
        <f t="shared" si="89"/>
        <v>0</v>
      </c>
      <c r="T78" s="486">
        <v>0</v>
      </c>
      <c r="U78" s="486">
        <v>0</v>
      </c>
      <c r="V78" s="486">
        <f>SUM(S78:U78)</f>
        <v>0</v>
      </c>
      <c r="W78" s="486">
        <v>0</v>
      </c>
      <c r="X78" s="486">
        <v>0</v>
      </c>
      <c r="Y78" s="486">
        <f>SUM(W78:X78)</f>
        <v>0</v>
      </c>
      <c r="Z78" s="486">
        <f>V78+Y78</f>
        <v>0</v>
      </c>
      <c r="AA78" s="319">
        <f>ROUND((V78+W78)*33.8%,0)</f>
        <v>0</v>
      </c>
      <c r="AB78" s="178">
        <f>ROUND(V78*2%,0)</f>
        <v>0</v>
      </c>
      <c r="AC78" s="486">
        <v>0</v>
      </c>
      <c r="AD78" s="486">
        <v>0</v>
      </c>
      <c r="AE78" s="486">
        <f t="shared" si="94"/>
        <v>0</v>
      </c>
      <c r="AF78" s="486">
        <f t="shared" si="95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90"/>
        <v>0</v>
      </c>
      <c r="AM78" s="501">
        <f t="shared" si="91"/>
        <v>0</v>
      </c>
      <c r="AN78" s="529">
        <f t="shared" ref="AN78:AN96" si="96">SUM(AL78:AM78)</f>
        <v>0</v>
      </c>
      <c r="AO78" s="530">
        <f>I78+AF78</f>
        <v>68816</v>
      </c>
      <c r="AP78" s="486">
        <f>J78+V78</f>
        <v>48510</v>
      </c>
      <c r="AQ78" s="486">
        <f>K78+Y78</f>
        <v>0</v>
      </c>
      <c r="AR78" s="486">
        <f>L78</f>
        <v>0</v>
      </c>
      <c r="AS78" s="486">
        <f t="shared" si="92"/>
        <v>16396</v>
      </c>
      <c r="AT78" s="486">
        <f t="shared" si="92"/>
        <v>970</v>
      </c>
      <c r="AU78" s="486">
        <f>O78+AE78</f>
        <v>2940</v>
      </c>
      <c r="AV78" s="501">
        <f>P78+AN78</f>
        <v>0.2</v>
      </c>
      <c r="AW78" s="501">
        <f t="shared" si="93"/>
        <v>0</v>
      </c>
      <c r="AX78" s="502">
        <f t="shared" si="93"/>
        <v>0.2</v>
      </c>
    </row>
    <row r="79" spans="1:50" x14ac:dyDescent="0.2">
      <c r="A79" s="282">
        <v>14</v>
      </c>
      <c r="B79" s="27">
        <v>3436</v>
      </c>
      <c r="C79" s="27">
        <v>600078485</v>
      </c>
      <c r="D79" s="27">
        <v>70695385</v>
      </c>
      <c r="E79" s="292" t="s">
        <v>112</v>
      </c>
      <c r="F79" s="27"/>
      <c r="G79" s="281"/>
      <c r="H79" s="377"/>
      <c r="I79" s="6">
        <v>28114431</v>
      </c>
      <c r="J79" s="10">
        <v>20048820</v>
      </c>
      <c r="K79" s="10">
        <v>52540</v>
      </c>
      <c r="L79" s="10">
        <v>52540</v>
      </c>
      <c r="M79" s="10">
        <v>6776502</v>
      </c>
      <c r="N79" s="10">
        <v>400975</v>
      </c>
      <c r="O79" s="10">
        <v>835594</v>
      </c>
      <c r="P79" s="11">
        <v>44.751100000000008</v>
      </c>
      <c r="Q79" s="11">
        <v>30.779299999999999</v>
      </c>
      <c r="R79" s="75">
        <v>13.971799999999998</v>
      </c>
      <c r="S79" s="271">
        <f t="shared" ref="S79:AX79" si="97">SUM(S74:S78)</f>
        <v>0</v>
      </c>
      <c r="T79" s="10">
        <f t="shared" si="97"/>
        <v>0</v>
      </c>
      <c r="U79" s="10">
        <f t="shared" si="97"/>
        <v>0</v>
      </c>
      <c r="V79" s="10">
        <f t="shared" si="97"/>
        <v>0</v>
      </c>
      <c r="W79" s="10">
        <f t="shared" si="97"/>
        <v>0</v>
      </c>
      <c r="X79" s="10">
        <f t="shared" si="97"/>
        <v>0</v>
      </c>
      <c r="Y79" s="10">
        <f t="shared" si="97"/>
        <v>0</v>
      </c>
      <c r="Z79" s="10">
        <f t="shared" si="97"/>
        <v>0</v>
      </c>
      <c r="AA79" s="10">
        <f t="shared" si="97"/>
        <v>0</v>
      </c>
      <c r="AB79" s="10">
        <f t="shared" si="97"/>
        <v>0</v>
      </c>
      <c r="AC79" s="10">
        <f t="shared" si="97"/>
        <v>0</v>
      </c>
      <c r="AD79" s="10">
        <f t="shared" si="97"/>
        <v>0</v>
      </c>
      <c r="AE79" s="10">
        <f t="shared" si="97"/>
        <v>0</v>
      </c>
      <c r="AF79" s="10">
        <f t="shared" si="97"/>
        <v>0</v>
      </c>
      <c r="AG79" s="11">
        <f t="shared" si="97"/>
        <v>0</v>
      </c>
      <c r="AH79" s="11">
        <f t="shared" si="97"/>
        <v>0</v>
      </c>
      <c r="AI79" s="11">
        <f t="shared" si="97"/>
        <v>0</v>
      </c>
      <c r="AJ79" s="11">
        <f t="shared" si="97"/>
        <v>0</v>
      </c>
      <c r="AK79" s="11">
        <f t="shared" si="97"/>
        <v>0</v>
      </c>
      <c r="AL79" s="11">
        <f t="shared" si="97"/>
        <v>0</v>
      </c>
      <c r="AM79" s="11">
        <f t="shared" si="97"/>
        <v>0</v>
      </c>
      <c r="AN79" s="32">
        <f t="shared" si="97"/>
        <v>0</v>
      </c>
      <c r="AO79" s="6">
        <f t="shared" si="97"/>
        <v>28114431</v>
      </c>
      <c r="AP79" s="10">
        <f t="shared" si="97"/>
        <v>20048820</v>
      </c>
      <c r="AQ79" s="71">
        <f t="shared" si="97"/>
        <v>52540</v>
      </c>
      <c r="AR79" s="71">
        <f t="shared" si="97"/>
        <v>52540</v>
      </c>
      <c r="AS79" s="10">
        <f t="shared" si="97"/>
        <v>6776502</v>
      </c>
      <c r="AT79" s="10">
        <f t="shared" si="97"/>
        <v>400975</v>
      </c>
      <c r="AU79" s="10">
        <f t="shared" si="97"/>
        <v>835594</v>
      </c>
      <c r="AV79" s="11">
        <f t="shared" si="97"/>
        <v>44.751100000000008</v>
      </c>
      <c r="AW79" s="11">
        <f t="shared" si="97"/>
        <v>30.779299999999999</v>
      </c>
      <c r="AX79" s="75">
        <f t="shared" si="97"/>
        <v>13.971799999999998</v>
      </c>
    </row>
    <row r="80" spans="1:50" x14ac:dyDescent="0.2">
      <c r="A80" s="710">
        <v>15</v>
      </c>
      <c r="B80" s="711">
        <v>3442</v>
      </c>
      <c r="C80" s="711">
        <v>600078205</v>
      </c>
      <c r="D80" s="711">
        <v>72743638</v>
      </c>
      <c r="E80" s="712" t="s">
        <v>113</v>
      </c>
      <c r="F80" s="711">
        <v>3111</v>
      </c>
      <c r="G80" s="713" t="s">
        <v>317</v>
      </c>
      <c r="H80" s="714" t="s">
        <v>283</v>
      </c>
      <c r="I80" s="495">
        <v>4305055</v>
      </c>
      <c r="J80" s="496">
        <v>3137154</v>
      </c>
      <c r="K80" s="496">
        <v>0</v>
      </c>
      <c r="L80" s="496">
        <v>0</v>
      </c>
      <c r="M80" s="496">
        <v>1060358</v>
      </c>
      <c r="N80" s="496">
        <v>62743</v>
      </c>
      <c r="O80" s="496">
        <v>44800</v>
      </c>
      <c r="P80" s="497">
        <v>7.4641999999999999</v>
      </c>
      <c r="Q80" s="412">
        <v>5.33</v>
      </c>
      <c r="R80" s="498">
        <v>2.1341999999999999</v>
      </c>
      <c r="S80" s="499">
        <f t="shared" ref="S80:S82" si="98">W80*-1</f>
        <v>0</v>
      </c>
      <c r="T80" s="486">
        <v>0</v>
      </c>
      <c r="U80" s="486">
        <v>0</v>
      </c>
      <c r="V80" s="486">
        <f>SUM(S80:U80)</f>
        <v>0</v>
      </c>
      <c r="W80" s="486">
        <v>0</v>
      </c>
      <c r="X80" s="486">
        <v>0</v>
      </c>
      <c r="Y80" s="486">
        <f>SUM(W80:X80)</f>
        <v>0</v>
      </c>
      <c r="Z80" s="486">
        <f>V80+Y80</f>
        <v>0</v>
      </c>
      <c r="AA80" s="319">
        <f>ROUND((V80+W80)*33.8%,0)</f>
        <v>0</v>
      </c>
      <c r="AB80" s="178">
        <f>ROUND(V80*2%,0)</f>
        <v>0</v>
      </c>
      <c r="AC80" s="486">
        <v>0</v>
      </c>
      <c r="AD80" s="486">
        <v>0</v>
      </c>
      <c r="AE80" s="486">
        <f t="shared" si="94"/>
        <v>0</v>
      </c>
      <c r="AF80" s="486">
        <f t="shared" si="95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ref="AL80:AL82" si="99">AG80+AI80+AJ80</f>
        <v>0</v>
      </c>
      <c r="AM80" s="501">
        <f t="shared" ref="AM80:AM82" si="100">AH80+AK80</f>
        <v>0</v>
      </c>
      <c r="AN80" s="529">
        <f t="shared" si="96"/>
        <v>0</v>
      </c>
      <c r="AO80" s="530">
        <f>I80+AF80</f>
        <v>4305055</v>
      </c>
      <c r="AP80" s="486">
        <f>J80+V80</f>
        <v>3137154</v>
      </c>
      <c r="AQ80" s="486">
        <f>K80+Y80</f>
        <v>0</v>
      </c>
      <c r="AR80" s="486">
        <f>L80</f>
        <v>0</v>
      </c>
      <c r="AS80" s="486">
        <f t="shared" ref="AS80:AT82" si="101">M80+AA80</f>
        <v>1060358</v>
      </c>
      <c r="AT80" s="486">
        <f t="shared" si="101"/>
        <v>62743</v>
      </c>
      <c r="AU80" s="486">
        <f>O80+AE80</f>
        <v>44800</v>
      </c>
      <c r="AV80" s="501">
        <f>P80+AN80</f>
        <v>7.4641999999999999</v>
      </c>
      <c r="AW80" s="501">
        <f t="shared" ref="AW80:AX82" si="102">Q80+AL80</f>
        <v>5.33</v>
      </c>
      <c r="AX80" s="502">
        <f t="shared" si="102"/>
        <v>2.1341999999999999</v>
      </c>
    </row>
    <row r="81" spans="1:50" x14ac:dyDescent="0.2">
      <c r="A81" s="710">
        <v>15</v>
      </c>
      <c r="B81" s="711">
        <v>3442</v>
      </c>
      <c r="C81" s="711">
        <v>600078205</v>
      </c>
      <c r="D81" s="711">
        <v>72743638</v>
      </c>
      <c r="E81" s="712" t="s">
        <v>113</v>
      </c>
      <c r="F81" s="711">
        <v>3111</v>
      </c>
      <c r="G81" s="713" t="s">
        <v>318</v>
      </c>
      <c r="H81" s="714" t="s">
        <v>284</v>
      </c>
      <c r="I81" s="495">
        <v>822413</v>
      </c>
      <c r="J81" s="496">
        <v>605606</v>
      </c>
      <c r="K81" s="475">
        <v>0</v>
      </c>
      <c r="L81" s="475">
        <v>0</v>
      </c>
      <c r="M81" s="319">
        <v>204695</v>
      </c>
      <c r="N81" s="319">
        <v>12112</v>
      </c>
      <c r="O81" s="496">
        <v>0</v>
      </c>
      <c r="P81" s="497">
        <v>1.92</v>
      </c>
      <c r="Q81" s="412">
        <v>1.92</v>
      </c>
      <c r="R81" s="498">
        <v>0</v>
      </c>
      <c r="S81" s="499">
        <f t="shared" si="98"/>
        <v>0</v>
      </c>
      <c r="T81" s="486">
        <v>0</v>
      </c>
      <c r="U81" s="486">
        <v>0</v>
      </c>
      <c r="V81" s="486">
        <f>SUM(S81:U81)</f>
        <v>0</v>
      </c>
      <c r="W81" s="486">
        <v>0</v>
      </c>
      <c r="X81" s="486">
        <v>0</v>
      </c>
      <c r="Y81" s="486">
        <f>SUM(W81:X81)</f>
        <v>0</v>
      </c>
      <c r="Z81" s="486">
        <f>V81+Y81</f>
        <v>0</v>
      </c>
      <c r="AA81" s="319">
        <f>ROUND((V81+W81)*33.8%,0)</f>
        <v>0</v>
      </c>
      <c r="AB81" s="178">
        <f>ROUND(V81*2%,0)</f>
        <v>0</v>
      </c>
      <c r="AC81" s="486">
        <v>0</v>
      </c>
      <c r="AD81" s="486">
        <v>0</v>
      </c>
      <c r="AE81" s="486">
        <f t="shared" si="94"/>
        <v>0</v>
      </c>
      <c r="AF81" s="486">
        <f t="shared" si="95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99"/>
        <v>0</v>
      </c>
      <c r="AM81" s="501">
        <f t="shared" si="100"/>
        <v>0</v>
      </c>
      <c r="AN81" s="529">
        <f t="shared" si="96"/>
        <v>0</v>
      </c>
      <c r="AO81" s="530">
        <f>I81+AF81</f>
        <v>822413</v>
      </c>
      <c r="AP81" s="486">
        <f>J81+V81</f>
        <v>605606</v>
      </c>
      <c r="AQ81" s="486">
        <f>K81+Y81</f>
        <v>0</v>
      </c>
      <c r="AR81" s="486">
        <f>L81</f>
        <v>0</v>
      </c>
      <c r="AS81" s="486">
        <f t="shared" si="101"/>
        <v>204695</v>
      </c>
      <c r="AT81" s="486">
        <f t="shared" si="101"/>
        <v>12112</v>
      </c>
      <c r="AU81" s="486">
        <f>O81+AE81</f>
        <v>0</v>
      </c>
      <c r="AV81" s="501">
        <f>P81+AN81</f>
        <v>1.92</v>
      </c>
      <c r="AW81" s="501">
        <f t="shared" si="102"/>
        <v>1.92</v>
      </c>
      <c r="AX81" s="502">
        <f t="shared" si="102"/>
        <v>0</v>
      </c>
    </row>
    <row r="82" spans="1:50" s="3" customFormat="1" x14ac:dyDescent="0.2">
      <c r="A82" s="710">
        <v>15</v>
      </c>
      <c r="B82" s="711">
        <v>3442</v>
      </c>
      <c r="C82" s="711">
        <v>600078205</v>
      </c>
      <c r="D82" s="711">
        <v>72743638</v>
      </c>
      <c r="E82" s="712" t="s">
        <v>114</v>
      </c>
      <c r="F82" s="711">
        <v>3141</v>
      </c>
      <c r="G82" s="713" t="s">
        <v>321</v>
      </c>
      <c r="H82" s="714" t="s">
        <v>284</v>
      </c>
      <c r="I82" s="495">
        <v>798531</v>
      </c>
      <c r="J82" s="496">
        <v>585286</v>
      </c>
      <c r="K82" s="475">
        <v>0</v>
      </c>
      <c r="L82" s="475">
        <v>0</v>
      </c>
      <c r="M82" s="319">
        <v>197827</v>
      </c>
      <c r="N82" s="319">
        <v>11706</v>
      </c>
      <c r="O82" s="496">
        <v>3712</v>
      </c>
      <c r="P82" s="497">
        <v>1.99</v>
      </c>
      <c r="Q82" s="412">
        <v>0</v>
      </c>
      <c r="R82" s="498">
        <v>1.99</v>
      </c>
      <c r="S82" s="499">
        <f t="shared" si="98"/>
        <v>0</v>
      </c>
      <c r="T82" s="486">
        <v>0</v>
      </c>
      <c r="U82" s="486">
        <v>0</v>
      </c>
      <c r="V82" s="486">
        <f>SUM(S82:U82)</f>
        <v>0</v>
      </c>
      <c r="W82" s="486">
        <v>0</v>
      </c>
      <c r="X82" s="486">
        <v>0</v>
      </c>
      <c r="Y82" s="486">
        <f>SUM(W82:X82)</f>
        <v>0</v>
      </c>
      <c r="Z82" s="486">
        <f>V82+Y82</f>
        <v>0</v>
      </c>
      <c r="AA82" s="319">
        <f>ROUND((V82+W82)*33.8%,0)</f>
        <v>0</v>
      </c>
      <c r="AB82" s="178">
        <f>ROUND(V82*2%,0)</f>
        <v>0</v>
      </c>
      <c r="AC82" s="486">
        <v>0</v>
      </c>
      <c r="AD82" s="486">
        <v>0</v>
      </c>
      <c r="AE82" s="486">
        <f t="shared" si="94"/>
        <v>0</v>
      </c>
      <c r="AF82" s="486">
        <f t="shared" si="95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99"/>
        <v>0</v>
      </c>
      <c r="AM82" s="501">
        <f t="shared" si="100"/>
        <v>0</v>
      </c>
      <c r="AN82" s="529">
        <f t="shared" si="96"/>
        <v>0</v>
      </c>
      <c r="AO82" s="530">
        <f>I82+AF82</f>
        <v>798531</v>
      </c>
      <c r="AP82" s="486">
        <f>J82+V82</f>
        <v>585286</v>
      </c>
      <c r="AQ82" s="486">
        <f>K82+Y82</f>
        <v>0</v>
      </c>
      <c r="AR82" s="486">
        <f>L82</f>
        <v>0</v>
      </c>
      <c r="AS82" s="486">
        <f t="shared" si="101"/>
        <v>197827</v>
      </c>
      <c r="AT82" s="486">
        <f t="shared" si="101"/>
        <v>11706</v>
      </c>
      <c r="AU82" s="486">
        <f>O82+AE82</f>
        <v>3712</v>
      </c>
      <c r="AV82" s="501">
        <f>P82+AN82</f>
        <v>1.99</v>
      </c>
      <c r="AW82" s="501">
        <f t="shared" si="102"/>
        <v>0</v>
      </c>
      <c r="AX82" s="502">
        <f t="shared" si="102"/>
        <v>1.99</v>
      </c>
    </row>
    <row r="83" spans="1:50" x14ac:dyDescent="0.2">
      <c r="A83" s="282">
        <v>15</v>
      </c>
      <c r="B83" s="27">
        <v>3442</v>
      </c>
      <c r="C83" s="27">
        <v>600078205</v>
      </c>
      <c r="D83" s="27">
        <v>72743638</v>
      </c>
      <c r="E83" s="292" t="s">
        <v>115</v>
      </c>
      <c r="F83" s="27"/>
      <c r="G83" s="281"/>
      <c r="H83" s="377"/>
      <c r="I83" s="5">
        <v>5925999</v>
      </c>
      <c r="J83" s="8">
        <v>4328046</v>
      </c>
      <c r="K83" s="8">
        <v>0</v>
      </c>
      <c r="L83" s="8">
        <v>0</v>
      </c>
      <c r="M83" s="8">
        <v>1462880</v>
      </c>
      <c r="N83" s="8">
        <v>86561</v>
      </c>
      <c r="O83" s="8">
        <v>48512</v>
      </c>
      <c r="P83" s="9">
        <v>11.3742</v>
      </c>
      <c r="Q83" s="9">
        <v>7.25</v>
      </c>
      <c r="R83" s="74">
        <v>4.1242000000000001</v>
      </c>
      <c r="S83" s="270">
        <f t="shared" ref="S83:AX83" si="103">SUM(S80:S82)</f>
        <v>0</v>
      </c>
      <c r="T83" s="8">
        <f t="shared" si="103"/>
        <v>0</v>
      </c>
      <c r="U83" s="8">
        <f t="shared" si="103"/>
        <v>0</v>
      </c>
      <c r="V83" s="8">
        <f t="shared" si="103"/>
        <v>0</v>
      </c>
      <c r="W83" s="8">
        <f t="shared" si="103"/>
        <v>0</v>
      </c>
      <c r="X83" s="8">
        <f t="shared" si="103"/>
        <v>0</v>
      </c>
      <c r="Y83" s="8">
        <f t="shared" si="103"/>
        <v>0</v>
      </c>
      <c r="Z83" s="8">
        <f t="shared" si="103"/>
        <v>0</v>
      </c>
      <c r="AA83" s="8">
        <f t="shared" si="103"/>
        <v>0</v>
      </c>
      <c r="AB83" s="8">
        <f t="shared" si="103"/>
        <v>0</v>
      </c>
      <c r="AC83" s="8">
        <f t="shared" si="103"/>
        <v>0</v>
      </c>
      <c r="AD83" s="8">
        <f t="shared" si="103"/>
        <v>0</v>
      </c>
      <c r="AE83" s="8">
        <f t="shared" si="103"/>
        <v>0</v>
      </c>
      <c r="AF83" s="8">
        <f t="shared" si="103"/>
        <v>0</v>
      </c>
      <c r="AG83" s="9">
        <f t="shared" si="103"/>
        <v>0</v>
      </c>
      <c r="AH83" s="9">
        <f t="shared" si="103"/>
        <v>0</v>
      </c>
      <c r="AI83" s="9">
        <f t="shared" si="103"/>
        <v>0</v>
      </c>
      <c r="AJ83" s="9">
        <f t="shared" si="103"/>
        <v>0</v>
      </c>
      <c r="AK83" s="9">
        <f t="shared" si="103"/>
        <v>0</v>
      </c>
      <c r="AL83" s="9">
        <f t="shared" si="103"/>
        <v>0</v>
      </c>
      <c r="AM83" s="9">
        <f t="shared" si="103"/>
        <v>0</v>
      </c>
      <c r="AN83" s="33">
        <f t="shared" si="103"/>
        <v>0</v>
      </c>
      <c r="AO83" s="5">
        <f t="shared" si="103"/>
        <v>5925999</v>
      </c>
      <c r="AP83" s="8">
        <f t="shared" si="103"/>
        <v>4328046</v>
      </c>
      <c r="AQ83" s="38">
        <f t="shared" si="103"/>
        <v>0</v>
      </c>
      <c r="AR83" s="38">
        <f t="shared" si="103"/>
        <v>0</v>
      </c>
      <c r="AS83" s="8">
        <f t="shared" si="103"/>
        <v>1462880</v>
      </c>
      <c r="AT83" s="8">
        <f t="shared" si="103"/>
        <v>86561</v>
      </c>
      <c r="AU83" s="8">
        <f t="shared" si="103"/>
        <v>48512</v>
      </c>
      <c r="AV83" s="9">
        <f t="shared" si="103"/>
        <v>11.3742</v>
      </c>
      <c r="AW83" s="9">
        <f t="shared" si="103"/>
        <v>7.25</v>
      </c>
      <c r="AX83" s="74">
        <f t="shared" si="103"/>
        <v>4.1242000000000001</v>
      </c>
    </row>
    <row r="84" spans="1:50" s="3" customFormat="1" x14ac:dyDescent="0.2">
      <c r="A84" s="710">
        <v>16</v>
      </c>
      <c r="B84" s="711">
        <v>3452</v>
      </c>
      <c r="C84" s="711">
        <v>600078264</v>
      </c>
      <c r="D84" s="711">
        <v>72743557</v>
      </c>
      <c r="E84" s="712" t="s">
        <v>116</v>
      </c>
      <c r="F84" s="711">
        <v>3111</v>
      </c>
      <c r="G84" s="713" t="s">
        <v>317</v>
      </c>
      <c r="H84" s="714" t="s">
        <v>283</v>
      </c>
      <c r="I84" s="495">
        <v>1298808</v>
      </c>
      <c r="J84" s="496">
        <v>946619</v>
      </c>
      <c r="K84" s="475">
        <v>0</v>
      </c>
      <c r="L84" s="475">
        <v>0</v>
      </c>
      <c r="M84" s="319">
        <v>319957</v>
      </c>
      <c r="N84" s="319">
        <v>18932</v>
      </c>
      <c r="O84" s="496">
        <v>13300</v>
      </c>
      <c r="P84" s="497">
        <v>2.3157000000000001</v>
      </c>
      <c r="Q84" s="412">
        <v>1.8548</v>
      </c>
      <c r="R84" s="498">
        <v>0.46089999999999998</v>
      </c>
      <c r="S84" s="499">
        <f t="shared" ref="S84:S89" si="104">W84*-1</f>
        <v>0</v>
      </c>
      <c r="T84" s="486">
        <v>0</v>
      </c>
      <c r="U84" s="486">
        <v>0</v>
      </c>
      <c r="V84" s="486">
        <f t="shared" ref="V84:V89" si="105">SUM(S84:U84)</f>
        <v>0</v>
      </c>
      <c r="W84" s="486">
        <v>0</v>
      </c>
      <c r="X84" s="486">
        <v>0</v>
      </c>
      <c r="Y84" s="486">
        <f t="shared" ref="Y84:Y89" si="106">SUM(W84:X84)</f>
        <v>0</v>
      </c>
      <c r="Z84" s="486">
        <f t="shared" ref="Z84:Z89" si="107">V84+Y84</f>
        <v>0</v>
      </c>
      <c r="AA84" s="319">
        <f t="shared" ref="AA84:AA89" si="108">ROUND((V84+W84)*33.8%,0)</f>
        <v>0</v>
      </c>
      <c r="AB84" s="178">
        <f t="shared" ref="AB84:AB89" si="109">ROUND(V84*2%,0)</f>
        <v>0</v>
      </c>
      <c r="AC84" s="486">
        <v>0</v>
      </c>
      <c r="AD84" s="486">
        <v>0</v>
      </c>
      <c r="AE84" s="486">
        <f t="shared" si="94"/>
        <v>0</v>
      </c>
      <c r="AF84" s="486">
        <f t="shared" si="95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ref="AL84:AL89" si="110">AG84+AI84+AJ84</f>
        <v>0</v>
      </c>
      <c r="AM84" s="501">
        <f t="shared" ref="AM84:AM89" si="111">AH84+AK84</f>
        <v>0</v>
      </c>
      <c r="AN84" s="529">
        <f t="shared" si="96"/>
        <v>0</v>
      </c>
      <c r="AO84" s="530">
        <f t="shared" ref="AO84:AO89" si="112">I84+AF84</f>
        <v>1298808</v>
      </c>
      <c r="AP84" s="486">
        <f t="shared" ref="AP84:AP89" si="113">J84+V84</f>
        <v>946619</v>
      </c>
      <c r="AQ84" s="486">
        <f t="shared" ref="AQ84:AQ89" si="114">K84+Y84</f>
        <v>0</v>
      </c>
      <c r="AR84" s="486">
        <f t="shared" ref="AR84:AR89" si="115">L84</f>
        <v>0</v>
      </c>
      <c r="AS84" s="486">
        <f t="shared" ref="AS84:AT89" si="116">M84+AA84</f>
        <v>319957</v>
      </c>
      <c r="AT84" s="486">
        <f t="shared" si="116"/>
        <v>18932</v>
      </c>
      <c r="AU84" s="486">
        <f t="shared" ref="AU84:AU89" si="117">O84+AE84</f>
        <v>13300</v>
      </c>
      <c r="AV84" s="501">
        <f t="shared" ref="AV84:AV89" si="118">P84+AN84</f>
        <v>2.3157000000000001</v>
      </c>
      <c r="AW84" s="501">
        <f t="shared" ref="AW84:AX89" si="119">Q84+AL84</f>
        <v>1.8548</v>
      </c>
      <c r="AX84" s="502">
        <f t="shared" si="119"/>
        <v>0.46089999999999998</v>
      </c>
    </row>
    <row r="85" spans="1:50" x14ac:dyDescent="0.2">
      <c r="A85" s="710">
        <v>16</v>
      </c>
      <c r="B85" s="711">
        <v>3452</v>
      </c>
      <c r="C85" s="711">
        <v>600078264</v>
      </c>
      <c r="D85" s="711">
        <v>72743557</v>
      </c>
      <c r="E85" s="712" t="s">
        <v>116</v>
      </c>
      <c r="F85" s="711">
        <v>3113</v>
      </c>
      <c r="G85" s="713" t="s">
        <v>320</v>
      </c>
      <c r="H85" s="714" t="s">
        <v>283</v>
      </c>
      <c r="I85" s="495">
        <v>21652551</v>
      </c>
      <c r="J85" s="496">
        <v>15464658</v>
      </c>
      <c r="K85" s="496">
        <v>41144</v>
      </c>
      <c r="L85" s="496">
        <v>41144</v>
      </c>
      <c r="M85" s="496">
        <v>5227055</v>
      </c>
      <c r="N85" s="496">
        <v>309294</v>
      </c>
      <c r="O85" s="496">
        <v>610400</v>
      </c>
      <c r="P85" s="497">
        <v>30.812200000000004</v>
      </c>
      <c r="Q85" s="412">
        <v>23.4086</v>
      </c>
      <c r="R85" s="498">
        <v>7.4036000000000044</v>
      </c>
      <c r="S85" s="499">
        <f t="shared" si="104"/>
        <v>0</v>
      </c>
      <c r="T85" s="486">
        <v>0</v>
      </c>
      <c r="U85" s="486">
        <v>-44183</v>
      </c>
      <c r="V85" s="486">
        <f t="shared" si="105"/>
        <v>-44183</v>
      </c>
      <c r="W85" s="486">
        <v>0</v>
      </c>
      <c r="X85" s="486">
        <v>0</v>
      </c>
      <c r="Y85" s="486">
        <f t="shared" si="106"/>
        <v>0</v>
      </c>
      <c r="Z85" s="486">
        <f t="shared" si="107"/>
        <v>-44183</v>
      </c>
      <c r="AA85" s="319">
        <f t="shared" si="108"/>
        <v>-14934</v>
      </c>
      <c r="AB85" s="178">
        <f t="shared" si="109"/>
        <v>-884</v>
      </c>
      <c r="AC85" s="486">
        <v>0</v>
      </c>
      <c r="AD85" s="486">
        <v>60001</v>
      </c>
      <c r="AE85" s="486">
        <f t="shared" si="94"/>
        <v>60001</v>
      </c>
      <c r="AF85" s="486">
        <f t="shared" si="95"/>
        <v>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110"/>
        <v>0</v>
      </c>
      <c r="AM85" s="501">
        <f t="shared" si="111"/>
        <v>0</v>
      </c>
      <c r="AN85" s="529">
        <f t="shared" si="96"/>
        <v>0</v>
      </c>
      <c r="AO85" s="530">
        <f t="shared" si="112"/>
        <v>21652551</v>
      </c>
      <c r="AP85" s="486">
        <f t="shared" si="113"/>
        <v>15420475</v>
      </c>
      <c r="AQ85" s="486">
        <f t="shared" si="114"/>
        <v>41144</v>
      </c>
      <c r="AR85" s="486">
        <f t="shared" si="115"/>
        <v>41144</v>
      </c>
      <c r="AS85" s="486">
        <f t="shared" si="116"/>
        <v>5212121</v>
      </c>
      <c r="AT85" s="486">
        <f t="shared" si="116"/>
        <v>308410</v>
      </c>
      <c r="AU85" s="486">
        <f t="shared" si="117"/>
        <v>670401</v>
      </c>
      <c r="AV85" s="501">
        <f t="shared" si="118"/>
        <v>30.812200000000004</v>
      </c>
      <c r="AW85" s="501">
        <f t="shared" si="119"/>
        <v>23.4086</v>
      </c>
      <c r="AX85" s="502">
        <f t="shared" si="119"/>
        <v>7.4036000000000044</v>
      </c>
    </row>
    <row r="86" spans="1:50" x14ac:dyDescent="0.2">
      <c r="A86" s="710">
        <v>16</v>
      </c>
      <c r="B86" s="711">
        <v>3452</v>
      </c>
      <c r="C86" s="711">
        <v>600078264</v>
      </c>
      <c r="D86" s="711">
        <v>72743557</v>
      </c>
      <c r="E86" s="712" t="s">
        <v>116</v>
      </c>
      <c r="F86" s="711">
        <v>3113</v>
      </c>
      <c r="G86" s="713" t="s">
        <v>318</v>
      </c>
      <c r="H86" s="714" t="s">
        <v>284</v>
      </c>
      <c r="I86" s="495">
        <v>3005497</v>
      </c>
      <c r="J86" s="496">
        <v>2199041</v>
      </c>
      <c r="K86" s="475">
        <v>0</v>
      </c>
      <c r="L86" s="475">
        <v>0</v>
      </c>
      <c r="M86" s="319">
        <v>743276</v>
      </c>
      <c r="N86" s="319">
        <v>43980</v>
      </c>
      <c r="O86" s="496">
        <v>19200</v>
      </c>
      <c r="P86" s="497">
        <v>6.169999999999999</v>
      </c>
      <c r="Q86" s="412">
        <v>6.169999999999999</v>
      </c>
      <c r="R86" s="498">
        <v>0</v>
      </c>
      <c r="S86" s="499">
        <f t="shared" si="104"/>
        <v>0</v>
      </c>
      <c r="T86" s="486">
        <v>0</v>
      </c>
      <c r="U86" s="486">
        <v>0</v>
      </c>
      <c r="V86" s="486">
        <f t="shared" si="105"/>
        <v>0</v>
      </c>
      <c r="W86" s="486">
        <v>0</v>
      </c>
      <c r="X86" s="486">
        <v>0</v>
      </c>
      <c r="Y86" s="486">
        <f t="shared" si="106"/>
        <v>0</v>
      </c>
      <c r="Z86" s="486">
        <f t="shared" si="107"/>
        <v>0</v>
      </c>
      <c r="AA86" s="319">
        <f t="shared" si="108"/>
        <v>0</v>
      </c>
      <c r="AB86" s="178">
        <f t="shared" si="109"/>
        <v>0</v>
      </c>
      <c r="AC86" s="486">
        <v>0</v>
      </c>
      <c r="AD86" s="486">
        <v>0</v>
      </c>
      <c r="AE86" s="486">
        <f t="shared" si="94"/>
        <v>0</v>
      </c>
      <c r="AF86" s="486">
        <f t="shared" si="95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110"/>
        <v>0</v>
      </c>
      <c r="AM86" s="501">
        <f t="shared" si="111"/>
        <v>0</v>
      </c>
      <c r="AN86" s="529">
        <f t="shared" si="96"/>
        <v>0</v>
      </c>
      <c r="AO86" s="530">
        <f t="shared" si="112"/>
        <v>3005497</v>
      </c>
      <c r="AP86" s="486">
        <f t="shared" si="113"/>
        <v>2199041</v>
      </c>
      <c r="AQ86" s="486">
        <f t="shared" si="114"/>
        <v>0</v>
      </c>
      <c r="AR86" s="486">
        <f t="shared" si="115"/>
        <v>0</v>
      </c>
      <c r="AS86" s="486">
        <f t="shared" si="116"/>
        <v>743276</v>
      </c>
      <c r="AT86" s="486">
        <f t="shared" si="116"/>
        <v>43980</v>
      </c>
      <c r="AU86" s="486">
        <f t="shared" si="117"/>
        <v>19200</v>
      </c>
      <c r="AV86" s="501">
        <f t="shared" si="118"/>
        <v>6.169999999999999</v>
      </c>
      <c r="AW86" s="501">
        <f t="shared" si="119"/>
        <v>6.169999999999999</v>
      </c>
      <c r="AX86" s="502">
        <f t="shared" si="119"/>
        <v>0</v>
      </c>
    </row>
    <row r="87" spans="1:50" x14ac:dyDescent="0.2">
      <c r="A87" s="710">
        <v>16</v>
      </c>
      <c r="B87" s="711">
        <v>3452</v>
      </c>
      <c r="C87" s="711">
        <v>600078264</v>
      </c>
      <c r="D87" s="711">
        <v>72743557</v>
      </c>
      <c r="E87" s="712" t="s">
        <v>116</v>
      </c>
      <c r="F87" s="711">
        <v>3141</v>
      </c>
      <c r="G87" s="713" t="s">
        <v>321</v>
      </c>
      <c r="H87" s="714" t="s">
        <v>284</v>
      </c>
      <c r="I87" s="495">
        <v>1999743</v>
      </c>
      <c r="J87" s="496">
        <v>1461333</v>
      </c>
      <c r="K87" s="475">
        <v>0</v>
      </c>
      <c r="L87" s="475">
        <v>0</v>
      </c>
      <c r="M87" s="319">
        <v>493930</v>
      </c>
      <c r="N87" s="319">
        <v>29226</v>
      </c>
      <c r="O87" s="496">
        <v>15254</v>
      </c>
      <c r="P87" s="497">
        <v>4.97</v>
      </c>
      <c r="Q87" s="412">
        <v>0</v>
      </c>
      <c r="R87" s="498">
        <v>4.97</v>
      </c>
      <c r="S87" s="499">
        <f t="shared" si="104"/>
        <v>0</v>
      </c>
      <c r="T87" s="486">
        <v>0</v>
      </c>
      <c r="U87" s="486">
        <v>0</v>
      </c>
      <c r="V87" s="486">
        <f t="shared" si="105"/>
        <v>0</v>
      </c>
      <c r="W87" s="486">
        <v>0</v>
      </c>
      <c r="X87" s="486">
        <v>0</v>
      </c>
      <c r="Y87" s="486">
        <f t="shared" si="106"/>
        <v>0</v>
      </c>
      <c r="Z87" s="486">
        <f t="shared" si="107"/>
        <v>0</v>
      </c>
      <c r="AA87" s="319">
        <f t="shared" si="108"/>
        <v>0</v>
      </c>
      <c r="AB87" s="178">
        <f t="shared" si="109"/>
        <v>0</v>
      </c>
      <c r="AC87" s="486">
        <v>0</v>
      </c>
      <c r="AD87" s="486">
        <v>0</v>
      </c>
      <c r="AE87" s="486">
        <f t="shared" si="94"/>
        <v>0</v>
      </c>
      <c r="AF87" s="486">
        <f t="shared" si="95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10"/>
        <v>0</v>
      </c>
      <c r="AM87" s="501">
        <f t="shared" si="111"/>
        <v>0</v>
      </c>
      <c r="AN87" s="529">
        <f t="shared" si="96"/>
        <v>0</v>
      </c>
      <c r="AO87" s="530">
        <f t="shared" si="112"/>
        <v>1999743</v>
      </c>
      <c r="AP87" s="486">
        <f t="shared" si="113"/>
        <v>1461333</v>
      </c>
      <c r="AQ87" s="486">
        <f t="shared" si="114"/>
        <v>0</v>
      </c>
      <c r="AR87" s="486">
        <f t="shared" si="115"/>
        <v>0</v>
      </c>
      <c r="AS87" s="486">
        <f t="shared" si="116"/>
        <v>493930</v>
      </c>
      <c r="AT87" s="486">
        <f t="shared" si="116"/>
        <v>29226</v>
      </c>
      <c r="AU87" s="486">
        <f t="shared" si="117"/>
        <v>15254</v>
      </c>
      <c r="AV87" s="501">
        <f t="shared" si="118"/>
        <v>4.97</v>
      </c>
      <c r="AW87" s="501">
        <f t="shared" si="119"/>
        <v>0</v>
      </c>
      <c r="AX87" s="502">
        <f t="shared" si="119"/>
        <v>4.97</v>
      </c>
    </row>
    <row r="88" spans="1:50" x14ac:dyDescent="0.2">
      <c r="A88" s="710">
        <v>16</v>
      </c>
      <c r="B88" s="711">
        <v>3452</v>
      </c>
      <c r="C88" s="711">
        <v>600078264</v>
      </c>
      <c r="D88" s="711">
        <v>72743557</v>
      </c>
      <c r="E88" s="712" t="s">
        <v>116</v>
      </c>
      <c r="F88" s="711">
        <v>3143</v>
      </c>
      <c r="G88" s="713" t="s">
        <v>634</v>
      </c>
      <c r="H88" s="701" t="s">
        <v>283</v>
      </c>
      <c r="I88" s="495">
        <v>1790318</v>
      </c>
      <c r="J88" s="496">
        <v>1318349</v>
      </c>
      <c r="K88" s="475">
        <v>0</v>
      </c>
      <c r="L88" s="475">
        <v>0</v>
      </c>
      <c r="M88" s="319">
        <v>445602</v>
      </c>
      <c r="N88" s="319">
        <v>26367</v>
      </c>
      <c r="O88" s="496">
        <v>0</v>
      </c>
      <c r="P88" s="497">
        <v>2.8572000000000002</v>
      </c>
      <c r="Q88" s="497">
        <v>2.8572000000000002</v>
      </c>
      <c r="R88" s="498">
        <v>0</v>
      </c>
      <c r="S88" s="499">
        <f t="shared" si="104"/>
        <v>0</v>
      </c>
      <c r="T88" s="486">
        <v>0</v>
      </c>
      <c r="U88" s="486">
        <v>0</v>
      </c>
      <c r="V88" s="486">
        <f t="shared" si="105"/>
        <v>0</v>
      </c>
      <c r="W88" s="486">
        <v>0</v>
      </c>
      <c r="X88" s="486">
        <v>0</v>
      </c>
      <c r="Y88" s="486">
        <f t="shared" si="106"/>
        <v>0</v>
      </c>
      <c r="Z88" s="486">
        <f t="shared" si="107"/>
        <v>0</v>
      </c>
      <c r="AA88" s="319">
        <f t="shared" si="108"/>
        <v>0</v>
      </c>
      <c r="AB88" s="178">
        <f t="shared" si="109"/>
        <v>0</v>
      </c>
      <c r="AC88" s="486">
        <v>0</v>
      </c>
      <c r="AD88" s="486">
        <v>0</v>
      </c>
      <c r="AE88" s="486">
        <f t="shared" si="94"/>
        <v>0</v>
      </c>
      <c r="AF88" s="486">
        <f t="shared" si="95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10"/>
        <v>0</v>
      </c>
      <c r="AM88" s="501">
        <f t="shared" si="111"/>
        <v>0</v>
      </c>
      <c r="AN88" s="529">
        <f t="shared" si="96"/>
        <v>0</v>
      </c>
      <c r="AO88" s="530">
        <f t="shared" si="112"/>
        <v>1790318</v>
      </c>
      <c r="AP88" s="486">
        <f t="shared" si="113"/>
        <v>1318349</v>
      </c>
      <c r="AQ88" s="486">
        <f t="shared" si="114"/>
        <v>0</v>
      </c>
      <c r="AR88" s="486">
        <f t="shared" si="115"/>
        <v>0</v>
      </c>
      <c r="AS88" s="486">
        <f t="shared" si="116"/>
        <v>445602</v>
      </c>
      <c r="AT88" s="486">
        <f t="shared" si="116"/>
        <v>26367</v>
      </c>
      <c r="AU88" s="486">
        <f t="shared" si="117"/>
        <v>0</v>
      </c>
      <c r="AV88" s="501">
        <f t="shared" si="118"/>
        <v>2.8572000000000002</v>
      </c>
      <c r="AW88" s="501">
        <f t="shared" si="119"/>
        <v>2.8572000000000002</v>
      </c>
      <c r="AX88" s="502">
        <f t="shared" si="119"/>
        <v>0</v>
      </c>
    </row>
    <row r="89" spans="1:50" x14ac:dyDescent="0.2">
      <c r="A89" s="710">
        <v>16</v>
      </c>
      <c r="B89" s="711">
        <v>3452</v>
      </c>
      <c r="C89" s="711">
        <v>600078264</v>
      </c>
      <c r="D89" s="711">
        <v>72743557</v>
      </c>
      <c r="E89" s="712" t="s">
        <v>116</v>
      </c>
      <c r="F89" s="711">
        <v>3143</v>
      </c>
      <c r="G89" s="713" t="s">
        <v>635</v>
      </c>
      <c r="H89" s="701" t="s">
        <v>284</v>
      </c>
      <c r="I89" s="495">
        <v>46345</v>
      </c>
      <c r="J89" s="496">
        <v>32670</v>
      </c>
      <c r="K89" s="475">
        <v>0</v>
      </c>
      <c r="L89" s="475">
        <v>0</v>
      </c>
      <c r="M89" s="319">
        <v>11042</v>
      </c>
      <c r="N89" s="319">
        <v>653</v>
      </c>
      <c r="O89" s="496">
        <v>1980</v>
      </c>
      <c r="P89" s="497">
        <v>0.14000000000000001</v>
      </c>
      <c r="Q89" s="412">
        <v>0</v>
      </c>
      <c r="R89" s="498">
        <v>0.14000000000000001</v>
      </c>
      <c r="S89" s="499">
        <f t="shared" si="104"/>
        <v>0</v>
      </c>
      <c r="T89" s="486">
        <v>0</v>
      </c>
      <c r="U89" s="486">
        <v>0</v>
      </c>
      <c r="V89" s="486">
        <f t="shared" si="105"/>
        <v>0</v>
      </c>
      <c r="W89" s="486">
        <v>0</v>
      </c>
      <c r="X89" s="486">
        <v>0</v>
      </c>
      <c r="Y89" s="486">
        <f t="shared" si="106"/>
        <v>0</v>
      </c>
      <c r="Z89" s="486">
        <f t="shared" si="107"/>
        <v>0</v>
      </c>
      <c r="AA89" s="319">
        <f t="shared" si="108"/>
        <v>0</v>
      </c>
      <c r="AB89" s="178">
        <f t="shared" si="109"/>
        <v>0</v>
      </c>
      <c r="AC89" s="486">
        <v>0</v>
      </c>
      <c r="AD89" s="486">
        <v>0</v>
      </c>
      <c r="AE89" s="486">
        <f t="shared" si="94"/>
        <v>0</v>
      </c>
      <c r="AF89" s="486">
        <f t="shared" si="95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si="110"/>
        <v>0</v>
      </c>
      <c r="AM89" s="501">
        <f t="shared" si="111"/>
        <v>0</v>
      </c>
      <c r="AN89" s="529">
        <f t="shared" si="96"/>
        <v>0</v>
      </c>
      <c r="AO89" s="530">
        <f t="shared" si="112"/>
        <v>46345</v>
      </c>
      <c r="AP89" s="486">
        <f t="shared" si="113"/>
        <v>32670</v>
      </c>
      <c r="AQ89" s="486">
        <f t="shared" si="114"/>
        <v>0</v>
      </c>
      <c r="AR89" s="486">
        <f t="shared" si="115"/>
        <v>0</v>
      </c>
      <c r="AS89" s="486">
        <f t="shared" si="116"/>
        <v>11042</v>
      </c>
      <c r="AT89" s="486">
        <f t="shared" si="116"/>
        <v>653</v>
      </c>
      <c r="AU89" s="486">
        <f t="shared" si="117"/>
        <v>1980</v>
      </c>
      <c r="AV89" s="501">
        <f t="shared" si="118"/>
        <v>0.14000000000000001</v>
      </c>
      <c r="AW89" s="501">
        <f t="shared" si="119"/>
        <v>0</v>
      </c>
      <c r="AX89" s="502">
        <f t="shared" si="119"/>
        <v>0.14000000000000001</v>
      </c>
    </row>
    <row r="90" spans="1:50" x14ac:dyDescent="0.2">
      <c r="A90" s="282">
        <v>16</v>
      </c>
      <c r="B90" s="27">
        <v>3452</v>
      </c>
      <c r="C90" s="27">
        <v>600078264</v>
      </c>
      <c r="D90" s="27">
        <v>72743557</v>
      </c>
      <c r="E90" s="292" t="s">
        <v>117</v>
      </c>
      <c r="F90" s="27"/>
      <c r="G90" s="281"/>
      <c r="H90" s="377"/>
      <c r="I90" s="5">
        <v>29793262</v>
      </c>
      <c r="J90" s="8">
        <v>21422670</v>
      </c>
      <c r="K90" s="8">
        <v>41144</v>
      </c>
      <c r="L90" s="8">
        <v>41144</v>
      </c>
      <c r="M90" s="8">
        <v>7240862</v>
      </c>
      <c r="N90" s="8">
        <v>428452</v>
      </c>
      <c r="O90" s="8">
        <v>660134</v>
      </c>
      <c r="P90" s="9">
        <v>47.265100000000004</v>
      </c>
      <c r="Q90" s="9">
        <v>34.290599999999998</v>
      </c>
      <c r="R90" s="74">
        <v>12.974500000000004</v>
      </c>
      <c r="S90" s="270">
        <f t="shared" ref="S90:AX90" si="120">SUM(S84:S89)</f>
        <v>0</v>
      </c>
      <c r="T90" s="8">
        <f t="shared" si="120"/>
        <v>0</v>
      </c>
      <c r="U90" s="8">
        <f t="shared" si="120"/>
        <v>-44183</v>
      </c>
      <c r="V90" s="8">
        <f t="shared" si="120"/>
        <v>-44183</v>
      </c>
      <c r="W90" s="8">
        <f t="shared" si="120"/>
        <v>0</v>
      </c>
      <c r="X90" s="8">
        <f t="shared" si="120"/>
        <v>0</v>
      </c>
      <c r="Y90" s="8">
        <f t="shared" si="120"/>
        <v>0</v>
      </c>
      <c r="Z90" s="8">
        <f t="shared" si="120"/>
        <v>-44183</v>
      </c>
      <c r="AA90" s="8">
        <f t="shared" si="120"/>
        <v>-14934</v>
      </c>
      <c r="AB90" s="8">
        <f t="shared" si="120"/>
        <v>-884</v>
      </c>
      <c r="AC90" s="8">
        <f t="shared" si="120"/>
        <v>0</v>
      </c>
      <c r="AD90" s="8">
        <f t="shared" si="120"/>
        <v>60001</v>
      </c>
      <c r="AE90" s="8">
        <f t="shared" si="120"/>
        <v>60001</v>
      </c>
      <c r="AF90" s="8">
        <f t="shared" si="120"/>
        <v>0</v>
      </c>
      <c r="AG90" s="9">
        <f t="shared" si="120"/>
        <v>0</v>
      </c>
      <c r="AH90" s="9">
        <f t="shared" si="120"/>
        <v>0</v>
      </c>
      <c r="AI90" s="9">
        <f t="shared" si="120"/>
        <v>0</v>
      </c>
      <c r="AJ90" s="9">
        <f t="shared" si="120"/>
        <v>0</v>
      </c>
      <c r="AK90" s="9">
        <f t="shared" si="120"/>
        <v>0</v>
      </c>
      <c r="AL90" s="9">
        <f t="shared" si="120"/>
        <v>0</v>
      </c>
      <c r="AM90" s="9">
        <f t="shared" si="120"/>
        <v>0</v>
      </c>
      <c r="AN90" s="33">
        <f t="shared" si="120"/>
        <v>0</v>
      </c>
      <c r="AO90" s="5">
        <f t="shared" si="120"/>
        <v>29793262</v>
      </c>
      <c r="AP90" s="8">
        <f t="shared" si="120"/>
        <v>21378487</v>
      </c>
      <c r="AQ90" s="38">
        <f t="shared" si="120"/>
        <v>41144</v>
      </c>
      <c r="AR90" s="38">
        <f t="shared" si="120"/>
        <v>41144</v>
      </c>
      <c r="AS90" s="8">
        <f t="shared" si="120"/>
        <v>7225928</v>
      </c>
      <c r="AT90" s="8">
        <f t="shared" si="120"/>
        <v>427568</v>
      </c>
      <c r="AU90" s="8">
        <f t="shared" si="120"/>
        <v>720135</v>
      </c>
      <c r="AV90" s="9">
        <f t="shared" si="120"/>
        <v>47.265100000000004</v>
      </c>
      <c r="AW90" s="9">
        <f t="shared" si="120"/>
        <v>34.290599999999998</v>
      </c>
      <c r="AX90" s="74">
        <f t="shared" si="120"/>
        <v>12.974500000000004</v>
      </c>
    </row>
    <row r="91" spans="1:50" x14ac:dyDescent="0.2">
      <c r="A91" s="710">
        <v>17</v>
      </c>
      <c r="B91" s="711">
        <v>3445</v>
      </c>
      <c r="C91" s="711">
        <v>600078604</v>
      </c>
      <c r="D91" s="711">
        <v>70695849</v>
      </c>
      <c r="E91" s="712" t="s">
        <v>118</v>
      </c>
      <c r="F91" s="711">
        <v>3111</v>
      </c>
      <c r="G91" s="713" t="s">
        <v>317</v>
      </c>
      <c r="H91" s="714" t="s">
        <v>283</v>
      </c>
      <c r="I91" s="495">
        <v>1522999</v>
      </c>
      <c r="J91" s="496">
        <v>1067279</v>
      </c>
      <c r="K91" s="475">
        <v>43000</v>
      </c>
      <c r="L91" s="475">
        <v>0</v>
      </c>
      <c r="M91" s="319">
        <v>375274</v>
      </c>
      <c r="N91" s="319">
        <v>21346</v>
      </c>
      <c r="O91" s="496">
        <v>16100</v>
      </c>
      <c r="P91" s="497">
        <v>2.2808999999999999</v>
      </c>
      <c r="Q91" s="412">
        <v>2</v>
      </c>
      <c r="R91" s="498">
        <v>0.28090000000000004</v>
      </c>
      <c r="S91" s="499">
        <f t="shared" ref="S91:S96" si="121">W91*-1</f>
        <v>0</v>
      </c>
      <c r="T91" s="486">
        <v>0</v>
      </c>
      <c r="U91" s="486">
        <v>0</v>
      </c>
      <c r="V91" s="486">
        <f t="shared" ref="V91:V96" si="122">SUM(S91:U91)</f>
        <v>0</v>
      </c>
      <c r="W91" s="486">
        <v>0</v>
      </c>
      <c r="X91" s="486">
        <v>0</v>
      </c>
      <c r="Y91" s="486">
        <f t="shared" ref="Y91:Y96" si="123">SUM(W91:X91)</f>
        <v>0</v>
      </c>
      <c r="Z91" s="486">
        <f t="shared" ref="Z91:Z96" si="124">V91+Y91</f>
        <v>0</v>
      </c>
      <c r="AA91" s="319">
        <f t="shared" ref="AA91:AA96" si="125">ROUND((V91+W91)*33.8%,0)</f>
        <v>0</v>
      </c>
      <c r="AB91" s="178">
        <f t="shared" ref="AB91:AB96" si="126">ROUND(V91*2%,0)</f>
        <v>0</v>
      </c>
      <c r="AC91" s="486">
        <v>0</v>
      </c>
      <c r="AD91" s="486">
        <v>0</v>
      </c>
      <c r="AE91" s="486">
        <f t="shared" si="94"/>
        <v>0</v>
      </c>
      <c r="AF91" s="486">
        <f t="shared" si="95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ref="AL91:AL96" si="127">AG91+AI91+AJ91</f>
        <v>0</v>
      </c>
      <c r="AM91" s="501">
        <f t="shared" ref="AM91:AM96" si="128">AH91+AK91</f>
        <v>0</v>
      </c>
      <c r="AN91" s="529">
        <f t="shared" si="96"/>
        <v>0</v>
      </c>
      <c r="AO91" s="530">
        <f t="shared" ref="AO91:AO96" si="129">I91+AF91</f>
        <v>1522999</v>
      </c>
      <c r="AP91" s="486">
        <f t="shared" ref="AP91:AP96" si="130">J91+V91</f>
        <v>1067279</v>
      </c>
      <c r="AQ91" s="486">
        <f t="shared" ref="AQ91:AQ96" si="131">K91+Y91</f>
        <v>43000</v>
      </c>
      <c r="AR91" s="486">
        <f t="shared" ref="AR91:AR96" si="132">L91</f>
        <v>0</v>
      </c>
      <c r="AS91" s="486">
        <f t="shared" ref="AS91:AT96" si="133">M91+AA91</f>
        <v>375274</v>
      </c>
      <c r="AT91" s="486">
        <f t="shared" si="133"/>
        <v>21346</v>
      </c>
      <c r="AU91" s="486">
        <f t="shared" ref="AU91:AU96" si="134">O91+AE91</f>
        <v>16100</v>
      </c>
      <c r="AV91" s="501">
        <f t="shared" ref="AV91:AV96" si="135">P91+AN91</f>
        <v>2.2808999999999999</v>
      </c>
      <c r="AW91" s="501">
        <f t="shared" ref="AW91:AX96" si="136">Q91+AL91</f>
        <v>2</v>
      </c>
      <c r="AX91" s="502">
        <f t="shared" si="136"/>
        <v>0.28090000000000004</v>
      </c>
    </row>
    <row r="92" spans="1:50" x14ac:dyDescent="0.2">
      <c r="A92" s="710">
        <v>17</v>
      </c>
      <c r="B92" s="711">
        <v>3445</v>
      </c>
      <c r="C92" s="711">
        <v>600078604</v>
      </c>
      <c r="D92" s="711">
        <v>70695849</v>
      </c>
      <c r="E92" s="712" t="s">
        <v>118</v>
      </c>
      <c r="F92" s="711">
        <v>3117</v>
      </c>
      <c r="G92" s="713" t="s">
        <v>320</v>
      </c>
      <c r="H92" s="714" t="s">
        <v>283</v>
      </c>
      <c r="I92" s="495">
        <v>2341699</v>
      </c>
      <c r="J92" s="496">
        <v>1647467</v>
      </c>
      <c r="K92" s="496">
        <v>33960</v>
      </c>
      <c r="L92" s="496">
        <v>2960</v>
      </c>
      <c r="M92" s="496">
        <v>567323</v>
      </c>
      <c r="N92" s="496">
        <v>32949</v>
      </c>
      <c r="O92" s="496">
        <v>60000</v>
      </c>
      <c r="P92" s="497">
        <v>3.2702999999999989</v>
      </c>
      <c r="Q92" s="412">
        <v>2.2726000000000002</v>
      </c>
      <c r="R92" s="498">
        <v>0.99769999999999881</v>
      </c>
      <c r="S92" s="499">
        <f t="shared" si="121"/>
        <v>0</v>
      </c>
      <c r="T92" s="486">
        <v>0</v>
      </c>
      <c r="U92" s="486">
        <v>0</v>
      </c>
      <c r="V92" s="486">
        <f t="shared" si="122"/>
        <v>0</v>
      </c>
      <c r="W92" s="486">
        <v>0</v>
      </c>
      <c r="X92" s="486">
        <v>0</v>
      </c>
      <c r="Y92" s="486">
        <f t="shared" si="123"/>
        <v>0</v>
      </c>
      <c r="Z92" s="486">
        <f t="shared" si="124"/>
        <v>0</v>
      </c>
      <c r="AA92" s="319">
        <f t="shared" si="125"/>
        <v>0</v>
      </c>
      <c r="AB92" s="178">
        <f t="shared" si="126"/>
        <v>0</v>
      </c>
      <c r="AC92" s="486">
        <v>0</v>
      </c>
      <c r="AD92" s="486">
        <v>0</v>
      </c>
      <c r="AE92" s="486">
        <f t="shared" si="94"/>
        <v>0</v>
      </c>
      <c r="AF92" s="486">
        <f t="shared" si="95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27"/>
        <v>0</v>
      </c>
      <c r="AM92" s="501">
        <f t="shared" si="128"/>
        <v>0</v>
      </c>
      <c r="AN92" s="529">
        <f t="shared" si="96"/>
        <v>0</v>
      </c>
      <c r="AO92" s="530">
        <f t="shared" si="129"/>
        <v>2341699</v>
      </c>
      <c r="AP92" s="486">
        <f t="shared" si="130"/>
        <v>1647467</v>
      </c>
      <c r="AQ92" s="486">
        <f t="shared" si="131"/>
        <v>33960</v>
      </c>
      <c r="AR92" s="486">
        <f t="shared" si="132"/>
        <v>2960</v>
      </c>
      <c r="AS92" s="486">
        <f t="shared" si="133"/>
        <v>567323</v>
      </c>
      <c r="AT92" s="486">
        <f t="shared" si="133"/>
        <v>32949</v>
      </c>
      <c r="AU92" s="486">
        <f t="shared" si="134"/>
        <v>60000</v>
      </c>
      <c r="AV92" s="501">
        <f t="shared" si="135"/>
        <v>3.2702999999999989</v>
      </c>
      <c r="AW92" s="501">
        <f t="shared" si="136"/>
        <v>2.2726000000000002</v>
      </c>
      <c r="AX92" s="502">
        <f t="shared" si="136"/>
        <v>0.99769999999999881</v>
      </c>
    </row>
    <row r="93" spans="1:50" x14ac:dyDescent="0.2">
      <c r="A93" s="710">
        <v>17</v>
      </c>
      <c r="B93" s="711">
        <v>3445</v>
      </c>
      <c r="C93" s="711">
        <v>600078604</v>
      </c>
      <c r="D93" s="711">
        <v>70695849</v>
      </c>
      <c r="E93" s="712" t="s">
        <v>118</v>
      </c>
      <c r="F93" s="711">
        <v>3117</v>
      </c>
      <c r="G93" s="713" t="s">
        <v>318</v>
      </c>
      <c r="H93" s="714" t="s">
        <v>284</v>
      </c>
      <c r="I93" s="495">
        <v>498753</v>
      </c>
      <c r="J93" s="496">
        <v>365429</v>
      </c>
      <c r="K93" s="475">
        <v>0</v>
      </c>
      <c r="L93" s="475">
        <v>0</v>
      </c>
      <c r="M93" s="319">
        <v>123515</v>
      </c>
      <c r="N93" s="319">
        <v>7309</v>
      </c>
      <c r="O93" s="496">
        <v>2500</v>
      </c>
      <c r="P93" s="497">
        <v>1.06</v>
      </c>
      <c r="Q93" s="412">
        <v>1.06</v>
      </c>
      <c r="R93" s="498">
        <v>0</v>
      </c>
      <c r="S93" s="499">
        <f t="shared" si="121"/>
        <v>0</v>
      </c>
      <c r="T93" s="486">
        <v>0</v>
      </c>
      <c r="U93" s="486">
        <v>0</v>
      </c>
      <c r="V93" s="486">
        <f t="shared" si="122"/>
        <v>0</v>
      </c>
      <c r="W93" s="486">
        <v>0</v>
      </c>
      <c r="X93" s="486">
        <v>0</v>
      </c>
      <c r="Y93" s="486">
        <f t="shared" si="123"/>
        <v>0</v>
      </c>
      <c r="Z93" s="486">
        <f t="shared" si="124"/>
        <v>0</v>
      </c>
      <c r="AA93" s="319">
        <f t="shared" si="125"/>
        <v>0</v>
      </c>
      <c r="AB93" s="178">
        <f t="shared" si="126"/>
        <v>0</v>
      </c>
      <c r="AC93" s="486">
        <v>0</v>
      </c>
      <c r="AD93" s="486">
        <v>0</v>
      </c>
      <c r="AE93" s="486">
        <f t="shared" si="94"/>
        <v>0</v>
      </c>
      <c r="AF93" s="486">
        <f t="shared" si="95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27"/>
        <v>0</v>
      </c>
      <c r="AM93" s="501">
        <f t="shared" si="128"/>
        <v>0</v>
      </c>
      <c r="AN93" s="529">
        <f t="shared" si="96"/>
        <v>0</v>
      </c>
      <c r="AO93" s="530">
        <f t="shared" si="129"/>
        <v>498753</v>
      </c>
      <c r="AP93" s="486">
        <f t="shared" si="130"/>
        <v>365429</v>
      </c>
      <c r="AQ93" s="486">
        <f t="shared" si="131"/>
        <v>0</v>
      </c>
      <c r="AR93" s="486">
        <f t="shared" si="132"/>
        <v>0</v>
      </c>
      <c r="AS93" s="486">
        <f t="shared" si="133"/>
        <v>123515</v>
      </c>
      <c r="AT93" s="486">
        <f t="shared" si="133"/>
        <v>7309</v>
      </c>
      <c r="AU93" s="486">
        <f t="shared" si="134"/>
        <v>2500</v>
      </c>
      <c r="AV93" s="501">
        <f t="shared" si="135"/>
        <v>1.06</v>
      </c>
      <c r="AW93" s="501">
        <f t="shared" si="136"/>
        <v>1.06</v>
      </c>
      <c r="AX93" s="502">
        <f t="shared" si="136"/>
        <v>0</v>
      </c>
    </row>
    <row r="94" spans="1:50" x14ac:dyDescent="0.2">
      <c r="A94" s="710">
        <v>17</v>
      </c>
      <c r="B94" s="711">
        <v>3445</v>
      </c>
      <c r="C94" s="711">
        <v>600078604</v>
      </c>
      <c r="D94" s="711">
        <v>70695849</v>
      </c>
      <c r="E94" s="712" t="s">
        <v>118</v>
      </c>
      <c r="F94" s="711">
        <v>3141</v>
      </c>
      <c r="G94" s="713" t="s">
        <v>321</v>
      </c>
      <c r="H94" s="714" t="s">
        <v>284</v>
      </c>
      <c r="I94" s="495">
        <v>586968</v>
      </c>
      <c r="J94" s="496">
        <v>410688</v>
      </c>
      <c r="K94" s="475">
        <v>20000</v>
      </c>
      <c r="L94" s="475">
        <v>0</v>
      </c>
      <c r="M94" s="319">
        <v>145573</v>
      </c>
      <c r="N94" s="319">
        <v>8213</v>
      </c>
      <c r="O94" s="496">
        <v>2494</v>
      </c>
      <c r="P94" s="497">
        <v>1.46</v>
      </c>
      <c r="Q94" s="412">
        <v>0</v>
      </c>
      <c r="R94" s="498">
        <v>1.46</v>
      </c>
      <c r="S94" s="499">
        <f t="shared" si="121"/>
        <v>0</v>
      </c>
      <c r="T94" s="486">
        <v>0</v>
      </c>
      <c r="U94" s="486">
        <v>0</v>
      </c>
      <c r="V94" s="486">
        <f t="shared" si="122"/>
        <v>0</v>
      </c>
      <c r="W94" s="486">
        <v>0</v>
      </c>
      <c r="X94" s="486">
        <v>0</v>
      </c>
      <c r="Y94" s="486">
        <f t="shared" si="123"/>
        <v>0</v>
      </c>
      <c r="Z94" s="486">
        <f t="shared" si="124"/>
        <v>0</v>
      </c>
      <c r="AA94" s="319">
        <f t="shared" si="125"/>
        <v>0</v>
      </c>
      <c r="AB94" s="178">
        <f t="shared" si="126"/>
        <v>0</v>
      </c>
      <c r="AC94" s="486">
        <v>0</v>
      </c>
      <c r="AD94" s="486">
        <v>0</v>
      </c>
      <c r="AE94" s="486">
        <f t="shared" si="94"/>
        <v>0</v>
      </c>
      <c r="AF94" s="486">
        <f t="shared" si="95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si="127"/>
        <v>0</v>
      </c>
      <c r="AM94" s="501">
        <f t="shared" si="128"/>
        <v>0</v>
      </c>
      <c r="AN94" s="529">
        <f t="shared" si="96"/>
        <v>0</v>
      </c>
      <c r="AO94" s="530">
        <f t="shared" si="129"/>
        <v>586968</v>
      </c>
      <c r="AP94" s="486">
        <f t="shared" si="130"/>
        <v>410688</v>
      </c>
      <c r="AQ94" s="486">
        <f t="shared" si="131"/>
        <v>20000</v>
      </c>
      <c r="AR94" s="486">
        <f t="shared" si="132"/>
        <v>0</v>
      </c>
      <c r="AS94" s="486">
        <f t="shared" si="133"/>
        <v>145573</v>
      </c>
      <c r="AT94" s="486">
        <f t="shared" si="133"/>
        <v>8213</v>
      </c>
      <c r="AU94" s="486">
        <f t="shared" si="134"/>
        <v>2494</v>
      </c>
      <c r="AV94" s="501">
        <f t="shared" si="135"/>
        <v>1.46</v>
      </c>
      <c r="AW94" s="501">
        <f t="shared" si="136"/>
        <v>0</v>
      </c>
      <c r="AX94" s="502">
        <f t="shared" si="136"/>
        <v>1.46</v>
      </c>
    </row>
    <row r="95" spans="1:50" s="3" customFormat="1" x14ac:dyDescent="0.2">
      <c r="A95" s="710">
        <v>17</v>
      </c>
      <c r="B95" s="711">
        <v>3445</v>
      </c>
      <c r="C95" s="711">
        <v>600078604</v>
      </c>
      <c r="D95" s="711">
        <v>70695849</v>
      </c>
      <c r="E95" s="712" t="s">
        <v>118</v>
      </c>
      <c r="F95" s="711">
        <v>3143</v>
      </c>
      <c r="G95" s="713" t="s">
        <v>634</v>
      </c>
      <c r="H95" s="701" t="s">
        <v>283</v>
      </c>
      <c r="I95" s="495">
        <v>513530</v>
      </c>
      <c r="J95" s="496">
        <v>378152</v>
      </c>
      <c r="K95" s="475">
        <v>0</v>
      </c>
      <c r="L95" s="475">
        <v>0</v>
      </c>
      <c r="M95" s="319">
        <v>127815</v>
      </c>
      <c r="N95" s="319">
        <v>7563</v>
      </c>
      <c r="O95" s="496">
        <v>0</v>
      </c>
      <c r="P95" s="497">
        <v>0.88329999999999997</v>
      </c>
      <c r="Q95" s="497">
        <v>0.88329999999999997</v>
      </c>
      <c r="R95" s="498">
        <v>0</v>
      </c>
      <c r="S95" s="499">
        <f t="shared" si="121"/>
        <v>0</v>
      </c>
      <c r="T95" s="486">
        <v>0</v>
      </c>
      <c r="U95" s="486">
        <v>0</v>
      </c>
      <c r="V95" s="486">
        <f t="shared" si="122"/>
        <v>0</v>
      </c>
      <c r="W95" s="486">
        <v>0</v>
      </c>
      <c r="X95" s="486">
        <v>0</v>
      </c>
      <c r="Y95" s="486">
        <f t="shared" si="123"/>
        <v>0</v>
      </c>
      <c r="Z95" s="486">
        <f t="shared" si="124"/>
        <v>0</v>
      </c>
      <c r="AA95" s="319">
        <f t="shared" si="125"/>
        <v>0</v>
      </c>
      <c r="AB95" s="178">
        <f t="shared" si="126"/>
        <v>0</v>
      </c>
      <c r="AC95" s="486">
        <v>0</v>
      </c>
      <c r="AD95" s="486">
        <v>0</v>
      </c>
      <c r="AE95" s="486">
        <f t="shared" si="94"/>
        <v>0</v>
      </c>
      <c r="AF95" s="486">
        <f t="shared" si="95"/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si="127"/>
        <v>0</v>
      </c>
      <c r="AM95" s="501">
        <f t="shared" si="128"/>
        <v>0</v>
      </c>
      <c r="AN95" s="529">
        <f t="shared" si="96"/>
        <v>0</v>
      </c>
      <c r="AO95" s="530">
        <f t="shared" si="129"/>
        <v>513530</v>
      </c>
      <c r="AP95" s="486">
        <f t="shared" si="130"/>
        <v>378152</v>
      </c>
      <c r="AQ95" s="486">
        <f t="shared" si="131"/>
        <v>0</v>
      </c>
      <c r="AR95" s="486">
        <f t="shared" si="132"/>
        <v>0</v>
      </c>
      <c r="AS95" s="486">
        <f t="shared" si="133"/>
        <v>127815</v>
      </c>
      <c r="AT95" s="486">
        <f t="shared" si="133"/>
        <v>7563</v>
      </c>
      <c r="AU95" s="486">
        <f t="shared" si="134"/>
        <v>0</v>
      </c>
      <c r="AV95" s="501">
        <f t="shared" si="135"/>
        <v>0.88329999999999997</v>
      </c>
      <c r="AW95" s="501">
        <f t="shared" si="136"/>
        <v>0.88329999999999997</v>
      </c>
      <c r="AX95" s="502">
        <f t="shared" si="136"/>
        <v>0</v>
      </c>
    </row>
    <row r="96" spans="1:50" s="3" customFormat="1" x14ac:dyDescent="0.2">
      <c r="A96" s="710">
        <v>17</v>
      </c>
      <c r="B96" s="711">
        <v>3445</v>
      </c>
      <c r="C96" s="711">
        <v>600078604</v>
      </c>
      <c r="D96" s="711">
        <v>70695849</v>
      </c>
      <c r="E96" s="712" t="s">
        <v>118</v>
      </c>
      <c r="F96" s="711">
        <v>3143</v>
      </c>
      <c r="G96" s="713" t="s">
        <v>635</v>
      </c>
      <c r="H96" s="701" t="s">
        <v>284</v>
      </c>
      <c r="I96" s="495">
        <v>14044</v>
      </c>
      <c r="J96" s="496">
        <v>9900</v>
      </c>
      <c r="K96" s="475">
        <v>0</v>
      </c>
      <c r="L96" s="475">
        <v>0</v>
      </c>
      <c r="M96" s="319">
        <v>3346</v>
      </c>
      <c r="N96" s="319">
        <v>198</v>
      </c>
      <c r="O96" s="496">
        <v>600</v>
      </c>
      <c r="P96" s="497">
        <v>0.04</v>
      </c>
      <c r="Q96" s="412">
        <v>0</v>
      </c>
      <c r="R96" s="498">
        <v>0.04</v>
      </c>
      <c r="S96" s="499">
        <f t="shared" si="121"/>
        <v>0</v>
      </c>
      <c r="T96" s="486">
        <v>0</v>
      </c>
      <c r="U96" s="486">
        <v>0</v>
      </c>
      <c r="V96" s="486">
        <f t="shared" si="122"/>
        <v>0</v>
      </c>
      <c r="W96" s="486">
        <v>0</v>
      </c>
      <c r="X96" s="486">
        <v>0</v>
      </c>
      <c r="Y96" s="486">
        <f t="shared" si="123"/>
        <v>0</v>
      </c>
      <c r="Z96" s="486">
        <f t="shared" si="124"/>
        <v>0</v>
      </c>
      <c r="AA96" s="319">
        <f t="shared" si="125"/>
        <v>0</v>
      </c>
      <c r="AB96" s="178">
        <f t="shared" si="126"/>
        <v>0</v>
      </c>
      <c r="AC96" s="486">
        <v>0</v>
      </c>
      <c r="AD96" s="486">
        <v>0</v>
      </c>
      <c r="AE96" s="486">
        <f t="shared" si="94"/>
        <v>0</v>
      </c>
      <c r="AF96" s="486">
        <f t="shared" si="95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127"/>
        <v>0</v>
      </c>
      <c r="AM96" s="501">
        <f t="shared" si="128"/>
        <v>0</v>
      </c>
      <c r="AN96" s="529">
        <f t="shared" si="96"/>
        <v>0</v>
      </c>
      <c r="AO96" s="530">
        <f t="shared" si="129"/>
        <v>14044</v>
      </c>
      <c r="AP96" s="486">
        <f t="shared" si="130"/>
        <v>9900</v>
      </c>
      <c r="AQ96" s="486">
        <f t="shared" si="131"/>
        <v>0</v>
      </c>
      <c r="AR96" s="486">
        <f t="shared" si="132"/>
        <v>0</v>
      </c>
      <c r="AS96" s="486">
        <f t="shared" si="133"/>
        <v>3346</v>
      </c>
      <c r="AT96" s="486">
        <f t="shared" si="133"/>
        <v>198</v>
      </c>
      <c r="AU96" s="486">
        <f t="shared" si="134"/>
        <v>600</v>
      </c>
      <c r="AV96" s="501">
        <f t="shared" si="135"/>
        <v>0.04</v>
      </c>
      <c r="AW96" s="501">
        <f t="shared" si="136"/>
        <v>0</v>
      </c>
      <c r="AX96" s="502">
        <f t="shared" si="136"/>
        <v>0.04</v>
      </c>
    </row>
    <row r="97" spans="1:50" ht="13.5" thickBot="1" x14ac:dyDescent="0.25">
      <c r="A97" s="287">
        <v>17</v>
      </c>
      <c r="B97" s="45">
        <v>3445</v>
      </c>
      <c r="C97" s="45">
        <v>600078604</v>
      </c>
      <c r="D97" s="45">
        <v>70695849</v>
      </c>
      <c r="E97" s="715" t="s">
        <v>119</v>
      </c>
      <c r="F97" s="45"/>
      <c r="G97" s="288"/>
      <c r="H97" s="716"/>
      <c r="I97" s="760">
        <v>5477993</v>
      </c>
      <c r="J97" s="71">
        <v>3878915</v>
      </c>
      <c r="K97" s="71">
        <v>96960</v>
      </c>
      <c r="L97" s="71">
        <v>2960</v>
      </c>
      <c r="M97" s="71">
        <v>1342846</v>
      </c>
      <c r="N97" s="71">
        <v>77578</v>
      </c>
      <c r="O97" s="71">
        <v>81694</v>
      </c>
      <c r="P97" s="268">
        <v>8.9944999999999968</v>
      </c>
      <c r="Q97" s="268">
        <v>6.2159000000000013</v>
      </c>
      <c r="R97" s="269">
        <v>2.7785999999999991</v>
      </c>
      <c r="S97" s="280">
        <f t="shared" ref="S97:AX97" si="137">SUM(S91:S96)</f>
        <v>0</v>
      </c>
      <c r="T97" s="71">
        <f t="shared" si="137"/>
        <v>0</v>
      </c>
      <c r="U97" s="71">
        <f t="shared" si="137"/>
        <v>0</v>
      </c>
      <c r="V97" s="71">
        <f t="shared" si="137"/>
        <v>0</v>
      </c>
      <c r="W97" s="71">
        <f t="shared" si="137"/>
        <v>0</v>
      </c>
      <c r="X97" s="71">
        <f t="shared" si="137"/>
        <v>0</v>
      </c>
      <c r="Y97" s="71">
        <f t="shared" si="137"/>
        <v>0</v>
      </c>
      <c r="Z97" s="71">
        <f t="shared" si="137"/>
        <v>0</v>
      </c>
      <c r="AA97" s="71">
        <f t="shared" si="137"/>
        <v>0</v>
      </c>
      <c r="AB97" s="71">
        <f t="shared" si="137"/>
        <v>0</v>
      </c>
      <c r="AC97" s="71">
        <f t="shared" si="137"/>
        <v>0</v>
      </c>
      <c r="AD97" s="71">
        <f t="shared" si="137"/>
        <v>0</v>
      </c>
      <c r="AE97" s="71">
        <f t="shared" si="137"/>
        <v>0</v>
      </c>
      <c r="AF97" s="71">
        <f t="shared" si="137"/>
        <v>0</v>
      </c>
      <c r="AG97" s="268">
        <f t="shared" si="137"/>
        <v>0</v>
      </c>
      <c r="AH97" s="268">
        <f t="shared" si="137"/>
        <v>0</v>
      </c>
      <c r="AI97" s="268">
        <f t="shared" si="137"/>
        <v>0</v>
      </c>
      <c r="AJ97" s="268">
        <f t="shared" si="137"/>
        <v>0</v>
      </c>
      <c r="AK97" s="268">
        <f t="shared" si="137"/>
        <v>0</v>
      </c>
      <c r="AL97" s="268">
        <f t="shared" si="137"/>
        <v>0</v>
      </c>
      <c r="AM97" s="268">
        <f t="shared" si="137"/>
        <v>0</v>
      </c>
      <c r="AN97" s="761">
        <f t="shared" si="137"/>
        <v>0</v>
      </c>
      <c r="AO97" s="760">
        <f t="shared" si="137"/>
        <v>5477993</v>
      </c>
      <c r="AP97" s="71">
        <f t="shared" si="137"/>
        <v>3878915</v>
      </c>
      <c r="AQ97" s="71">
        <f t="shared" si="137"/>
        <v>96960</v>
      </c>
      <c r="AR97" s="71">
        <f t="shared" si="137"/>
        <v>2960</v>
      </c>
      <c r="AS97" s="71">
        <f t="shared" si="137"/>
        <v>1342846</v>
      </c>
      <c r="AT97" s="71">
        <f t="shared" si="137"/>
        <v>77578</v>
      </c>
      <c r="AU97" s="71">
        <f t="shared" si="137"/>
        <v>81694</v>
      </c>
      <c r="AV97" s="268">
        <f t="shared" si="137"/>
        <v>8.9944999999999968</v>
      </c>
      <c r="AW97" s="268">
        <f t="shared" si="137"/>
        <v>6.2159000000000013</v>
      </c>
      <c r="AX97" s="269">
        <f t="shared" si="137"/>
        <v>2.7785999999999991</v>
      </c>
    </row>
    <row r="98" spans="1:50" ht="13.5" thickBot="1" x14ac:dyDescent="0.25">
      <c r="A98" s="289"/>
      <c r="B98" s="42"/>
      <c r="C98" s="42"/>
      <c r="D98" s="42"/>
      <c r="E98" s="189" t="s">
        <v>795</v>
      </c>
      <c r="F98" s="42"/>
      <c r="G98" s="290"/>
      <c r="H98" s="762"/>
      <c r="I98" s="53">
        <f>I15+I17+I23+I28+I30+I36+I43+I47+I53+I60+I64+I70+I73+I79+I83+I90+I97</f>
        <v>230660556</v>
      </c>
      <c r="J98" s="43">
        <f t="shared" ref="J98:AX98" si="138">J15+J17+J23+J28+J30+J36+J43+J47+J53+J60+J64+J70+J73+J79+J83+J90+J97</f>
        <v>164858299</v>
      </c>
      <c r="K98" s="43">
        <f t="shared" si="138"/>
        <v>1403974</v>
      </c>
      <c r="L98" s="43">
        <f t="shared" si="138"/>
        <v>411174</v>
      </c>
      <c r="M98" s="43">
        <f t="shared" si="138"/>
        <v>56057671</v>
      </c>
      <c r="N98" s="43">
        <f t="shared" si="138"/>
        <v>3297166</v>
      </c>
      <c r="O98" s="43">
        <f t="shared" si="138"/>
        <v>5043446</v>
      </c>
      <c r="P98" s="44">
        <f t="shared" si="138"/>
        <v>370.88509999999997</v>
      </c>
      <c r="Q98" s="44">
        <f t="shared" si="138"/>
        <v>268.4658</v>
      </c>
      <c r="R98" s="73">
        <f t="shared" si="138"/>
        <v>102.41929999999999</v>
      </c>
      <c r="S98" s="72">
        <f t="shared" si="138"/>
        <v>0</v>
      </c>
      <c r="T98" s="43">
        <f t="shared" si="138"/>
        <v>0</v>
      </c>
      <c r="U98" s="43">
        <f t="shared" si="138"/>
        <v>-109591</v>
      </c>
      <c r="V98" s="43">
        <f t="shared" si="138"/>
        <v>-109591</v>
      </c>
      <c r="W98" s="43">
        <f t="shared" si="138"/>
        <v>0</v>
      </c>
      <c r="X98" s="43">
        <f t="shared" si="138"/>
        <v>0</v>
      </c>
      <c r="Y98" s="43">
        <f t="shared" si="138"/>
        <v>0</v>
      </c>
      <c r="Z98" s="43">
        <f t="shared" si="138"/>
        <v>-109591</v>
      </c>
      <c r="AA98" s="43">
        <f t="shared" si="138"/>
        <v>-37042</v>
      </c>
      <c r="AB98" s="43">
        <f t="shared" si="138"/>
        <v>-2193</v>
      </c>
      <c r="AC98" s="43">
        <f t="shared" si="138"/>
        <v>34750</v>
      </c>
      <c r="AD98" s="43">
        <f t="shared" si="138"/>
        <v>148826</v>
      </c>
      <c r="AE98" s="43">
        <f t="shared" si="138"/>
        <v>183576</v>
      </c>
      <c r="AF98" s="43">
        <f t="shared" si="138"/>
        <v>34750</v>
      </c>
      <c r="AG98" s="44">
        <f t="shared" si="138"/>
        <v>0</v>
      </c>
      <c r="AH98" s="44">
        <f t="shared" si="138"/>
        <v>0</v>
      </c>
      <c r="AI98" s="44">
        <f t="shared" si="138"/>
        <v>0</v>
      </c>
      <c r="AJ98" s="44">
        <f t="shared" si="138"/>
        <v>0</v>
      </c>
      <c r="AK98" s="44">
        <f t="shared" si="138"/>
        <v>0</v>
      </c>
      <c r="AL98" s="44">
        <f t="shared" si="138"/>
        <v>0</v>
      </c>
      <c r="AM98" s="44">
        <f t="shared" si="138"/>
        <v>0</v>
      </c>
      <c r="AN98" s="54">
        <f t="shared" si="138"/>
        <v>0</v>
      </c>
      <c r="AO98" s="53">
        <f t="shared" si="138"/>
        <v>230695306</v>
      </c>
      <c r="AP98" s="43">
        <f t="shared" si="138"/>
        <v>164748708</v>
      </c>
      <c r="AQ98" s="43">
        <f t="shared" si="138"/>
        <v>1403974</v>
      </c>
      <c r="AR98" s="43">
        <f t="shared" si="138"/>
        <v>411174</v>
      </c>
      <c r="AS98" s="43">
        <f t="shared" si="138"/>
        <v>56020629</v>
      </c>
      <c r="AT98" s="43">
        <f t="shared" si="138"/>
        <v>3294973</v>
      </c>
      <c r="AU98" s="43">
        <f t="shared" si="138"/>
        <v>5227022</v>
      </c>
      <c r="AV98" s="44">
        <f t="shared" si="138"/>
        <v>370.88509999999997</v>
      </c>
      <c r="AW98" s="44">
        <f t="shared" si="138"/>
        <v>268.4658</v>
      </c>
      <c r="AX98" s="73">
        <f t="shared" si="138"/>
        <v>102.41929999999999</v>
      </c>
    </row>
    <row r="99" spans="1:50" x14ac:dyDescent="0.2">
      <c r="D99" s="16"/>
      <c r="E99" s="12"/>
      <c r="F99" s="16"/>
      <c r="G99" s="36"/>
      <c r="H99" s="12"/>
      <c r="I99" s="509">
        <f>J98+K98+M98+N98+O98</f>
        <v>230660556</v>
      </c>
      <c r="J99" s="509"/>
      <c r="K99" s="509"/>
      <c r="L99" s="509"/>
      <c r="M99" s="509"/>
      <c r="N99" s="509"/>
      <c r="O99" s="509"/>
      <c r="P99" s="510">
        <f>SUM(Q98:R98)</f>
        <v>370.88509999999997</v>
      </c>
      <c r="Q99" s="510"/>
      <c r="R99" s="510"/>
      <c r="S99" s="509">
        <f>W98</f>
        <v>0</v>
      </c>
      <c r="T99" s="510"/>
      <c r="U99" s="510"/>
      <c r="V99" s="739">
        <f>SUM(S98:U98)</f>
        <v>-109591</v>
      </c>
      <c r="W99" s="607"/>
      <c r="X99" s="607"/>
      <c r="Y99" s="606">
        <f>SUM(W98:X98)</f>
        <v>0</v>
      </c>
      <c r="Z99" s="739">
        <f>V98+Y98</f>
        <v>-109591</v>
      </c>
      <c r="AA99" s="741"/>
      <c r="AB99" s="741"/>
      <c r="AC99" s="740"/>
      <c r="AD99" s="740"/>
      <c r="AE99" s="739">
        <f>SUM(AC98:AD98)</f>
        <v>183576</v>
      </c>
      <c r="AF99" s="739">
        <f>Z98+AA98+AB98+AE98</f>
        <v>34750</v>
      </c>
      <c r="AG99" s="742"/>
      <c r="AH99" s="742"/>
      <c r="AI99" s="742"/>
      <c r="AJ99" s="742"/>
      <c r="AK99" s="742"/>
      <c r="AL99" s="743">
        <f>AG98+AI98+AJ98</f>
        <v>0</v>
      </c>
      <c r="AM99" s="743">
        <f>AH98+AK98</f>
        <v>0</v>
      </c>
      <c r="AN99" s="743">
        <f>SUM(AL98:AM98)</f>
        <v>0</v>
      </c>
      <c r="AO99" s="509">
        <f>AP98+AQ98+AS98+AT98+AU98</f>
        <v>230695306</v>
      </c>
      <c r="AP99" s="177"/>
      <c r="AQ99" s="177"/>
      <c r="AR99" s="509"/>
      <c r="AS99" s="177"/>
      <c r="AT99" s="177"/>
      <c r="AU99" s="177"/>
      <c r="AV99" s="510">
        <f>SUM(AW98:AX98)</f>
        <v>370.88509999999997</v>
      </c>
      <c r="AW99" s="177"/>
      <c r="AX99" s="177"/>
    </row>
    <row r="100" spans="1:50" ht="13.5" thickBot="1" x14ac:dyDescent="0.25">
      <c r="D100" s="16"/>
      <c r="E100" s="12"/>
      <c r="F100" s="16"/>
      <c r="G100" s="36"/>
      <c r="H100" s="12"/>
      <c r="I100" s="192">
        <f ca="1">J101+K101+M101+N101+O101</f>
        <v>230660556</v>
      </c>
      <c r="J100" s="193"/>
      <c r="K100" s="193"/>
      <c r="L100" s="193"/>
      <c r="M100" s="193"/>
      <c r="N100" s="193"/>
      <c r="O100" s="193"/>
      <c r="P100" s="194">
        <f ca="1">SUM(Q101:R101)</f>
        <v>370.88509999999997</v>
      </c>
      <c r="Q100" s="339"/>
      <c r="R100" s="339"/>
      <c r="S100" s="355"/>
      <c r="T100" s="355"/>
      <c r="U100" s="355"/>
      <c r="V100" s="511">
        <f ca="1">SUM(S101:U101)</f>
        <v>-109591</v>
      </c>
      <c r="W100" s="512"/>
      <c r="X100" s="512"/>
      <c r="Y100" s="511">
        <f ca="1">SUM(W101:X101)</f>
        <v>0</v>
      </c>
      <c r="Z100" s="511">
        <f ca="1">V101+Y101</f>
        <v>-109591</v>
      </c>
      <c r="AA100" s="354"/>
      <c r="AB100" s="354"/>
      <c r="AC100" s="512"/>
      <c r="AD100" s="512"/>
      <c r="AE100" s="511">
        <f ca="1">SUM(AC101:AD101)</f>
        <v>183576</v>
      </c>
      <c r="AF100" s="511">
        <f ca="1">Z101+AA101+AB101+AE101</f>
        <v>34750</v>
      </c>
      <c r="AG100" s="513"/>
      <c r="AH100" s="513"/>
      <c r="AI100" s="513"/>
      <c r="AJ100" s="513"/>
      <c r="AK100" s="513"/>
      <c r="AL100" s="514">
        <f ca="1">AG101+AI101+AJ101</f>
        <v>0</v>
      </c>
      <c r="AM100" s="514">
        <f ca="1">AH101+AK101</f>
        <v>0</v>
      </c>
      <c r="AN100" s="514">
        <f ca="1">SUM(AL101:AM101)</f>
        <v>0</v>
      </c>
      <c r="AO100" s="362">
        <f ca="1">AP101+AQ101+AS101+AT101+AU101</f>
        <v>230695306</v>
      </c>
      <c r="AP100" s="363"/>
      <c r="AQ100" s="363"/>
      <c r="AR100" s="683"/>
      <c r="AS100" s="363"/>
      <c r="AT100" s="363"/>
      <c r="AU100" s="363"/>
      <c r="AV100" s="355">
        <f ca="1">SUM(AW101:AX101)</f>
        <v>370.88509999999997</v>
      </c>
      <c r="AW100" s="363"/>
      <c r="AX100" s="363"/>
    </row>
    <row r="101" spans="1:50" ht="13.5" thickBot="1" x14ac:dyDescent="0.25">
      <c r="D101" s="16"/>
      <c r="E101" s="12"/>
      <c r="F101" s="16"/>
      <c r="G101" s="36"/>
      <c r="H101" s="252" t="s">
        <v>0</v>
      </c>
      <c r="I101" s="255">
        <f t="shared" ref="I101:AX101" ca="1" si="139">SUM(I102:I111)</f>
        <v>230660556</v>
      </c>
      <c r="J101" s="46">
        <f t="shared" ca="1" si="139"/>
        <v>164858299</v>
      </c>
      <c r="K101" s="46">
        <f t="shared" ca="1" si="139"/>
        <v>1403974</v>
      </c>
      <c r="L101" s="46">
        <f t="shared" ca="1" si="139"/>
        <v>411174</v>
      </c>
      <c r="M101" s="46">
        <f t="shared" ca="1" si="139"/>
        <v>56057671</v>
      </c>
      <c r="N101" s="46">
        <f t="shared" ca="1" si="139"/>
        <v>3297166</v>
      </c>
      <c r="O101" s="46">
        <f t="shared" ca="1" si="139"/>
        <v>5043446</v>
      </c>
      <c r="P101" s="47">
        <f t="shared" ca="1" si="139"/>
        <v>370.88510000000008</v>
      </c>
      <c r="Q101" s="47">
        <f t="shared" ca="1" si="139"/>
        <v>268.4658</v>
      </c>
      <c r="R101" s="263">
        <f t="shared" ca="1" si="139"/>
        <v>102.41929999999999</v>
      </c>
      <c r="S101" s="255">
        <f t="shared" ca="1" si="139"/>
        <v>0</v>
      </c>
      <c r="T101" s="264">
        <f t="shared" ca="1" si="139"/>
        <v>0</v>
      </c>
      <c r="U101" s="264">
        <f t="shared" ca="1" si="139"/>
        <v>-109591</v>
      </c>
      <c r="V101" s="264">
        <f t="shared" ca="1" si="139"/>
        <v>-109591</v>
      </c>
      <c r="W101" s="264">
        <f t="shared" ca="1" si="139"/>
        <v>0</v>
      </c>
      <c r="X101" s="264">
        <f t="shared" ca="1" si="139"/>
        <v>0</v>
      </c>
      <c r="Y101" s="264">
        <f t="shared" ca="1" si="139"/>
        <v>0</v>
      </c>
      <c r="Z101" s="264">
        <f t="shared" ca="1" si="139"/>
        <v>-109591</v>
      </c>
      <c r="AA101" s="264">
        <f t="shared" ca="1" si="139"/>
        <v>-37042</v>
      </c>
      <c r="AB101" s="264">
        <f t="shared" ca="1" si="139"/>
        <v>-2193</v>
      </c>
      <c r="AC101" s="264">
        <f t="shared" ca="1" si="139"/>
        <v>34750</v>
      </c>
      <c r="AD101" s="264">
        <f t="shared" ca="1" si="139"/>
        <v>148826</v>
      </c>
      <c r="AE101" s="264">
        <f t="shared" ca="1" si="139"/>
        <v>183576</v>
      </c>
      <c r="AF101" s="264">
        <f t="shared" ca="1" si="139"/>
        <v>34750</v>
      </c>
      <c r="AG101" s="384">
        <f t="shared" ca="1" si="139"/>
        <v>0</v>
      </c>
      <c r="AH101" s="384">
        <f t="shared" ca="1" si="139"/>
        <v>0</v>
      </c>
      <c r="AI101" s="384">
        <f t="shared" ca="1" si="139"/>
        <v>0</v>
      </c>
      <c r="AJ101" s="384">
        <f t="shared" ca="1" si="139"/>
        <v>0</v>
      </c>
      <c r="AK101" s="384">
        <f t="shared" ca="1" si="139"/>
        <v>0</v>
      </c>
      <c r="AL101" s="384">
        <f t="shared" ca="1" si="139"/>
        <v>0</v>
      </c>
      <c r="AM101" s="384">
        <f t="shared" ca="1" si="139"/>
        <v>0</v>
      </c>
      <c r="AN101" s="400">
        <f t="shared" ca="1" si="139"/>
        <v>0</v>
      </c>
      <c r="AO101" s="264">
        <f t="shared" ca="1" si="139"/>
        <v>230695306</v>
      </c>
      <c r="AP101" s="264">
        <f t="shared" ca="1" si="139"/>
        <v>164748708</v>
      </c>
      <c r="AQ101" s="264">
        <f t="shared" ca="1" si="139"/>
        <v>1403974</v>
      </c>
      <c r="AR101" s="264">
        <f t="shared" ca="1" si="139"/>
        <v>411174</v>
      </c>
      <c r="AS101" s="264">
        <f t="shared" ca="1" si="139"/>
        <v>56020629</v>
      </c>
      <c r="AT101" s="264">
        <f t="shared" ca="1" si="139"/>
        <v>3294973</v>
      </c>
      <c r="AU101" s="264">
        <f t="shared" ca="1" si="139"/>
        <v>5227022</v>
      </c>
      <c r="AV101" s="384">
        <f t="shared" ca="1" si="139"/>
        <v>370.88510000000008</v>
      </c>
      <c r="AW101" s="384">
        <f t="shared" ca="1" si="139"/>
        <v>268.4658</v>
      </c>
      <c r="AX101" s="384">
        <f t="shared" ca="1" si="139"/>
        <v>102.41929999999999</v>
      </c>
    </row>
    <row r="102" spans="1:50" x14ac:dyDescent="0.2">
      <c r="D102" s="16"/>
      <c r="E102" s="12"/>
      <c r="F102" s="16"/>
      <c r="G102" s="36"/>
      <c r="H102" s="253">
        <v>3111</v>
      </c>
      <c r="I102" s="321">
        <f t="shared" ref="I102:AX102" ca="1" si="140">SUMIF($F$12:$F$425,"=3111",I$12:I$381)</f>
        <v>44841176</v>
      </c>
      <c r="J102" s="322">
        <f t="shared" ca="1" si="140"/>
        <v>32369137</v>
      </c>
      <c r="K102" s="322">
        <f t="shared" ca="1" si="140"/>
        <v>205000</v>
      </c>
      <c r="L102" s="322">
        <f t="shared" ca="1" si="140"/>
        <v>0</v>
      </c>
      <c r="M102" s="322">
        <f t="shared" ca="1" si="140"/>
        <v>11010056</v>
      </c>
      <c r="N102" s="322">
        <f t="shared" ca="1" si="140"/>
        <v>647383</v>
      </c>
      <c r="O102" s="322">
        <f t="shared" ca="1" si="140"/>
        <v>609600</v>
      </c>
      <c r="P102" s="323">
        <f t="shared" ca="1" si="140"/>
        <v>77.12700000000001</v>
      </c>
      <c r="Q102" s="323">
        <f t="shared" ca="1" si="140"/>
        <v>59.434799999999996</v>
      </c>
      <c r="R102" s="326">
        <f t="shared" ca="1" si="140"/>
        <v>17.692199999999993</v>
      </c>
      <c r="S102" s="321">
        <f t="shared" ca="1" si="140"/>
        <v>0</v>
      </c>
      <c r="T102" s="325">
        <f t="shared" ca="1" si="140"/>
        <v>0</v>
      </c>
      <c r="U102" s="325">
        <f t="shared" ca="1" si="140"/>
        <v>-44184</v>
      </c>
      <c r="V102" s="325">
        <f t="shared" ca="1" si="140"/>
        <v>-44184</v>
      </c>
      <c r="W102" s="325">
        <f t="shared" ca="1" si="140"/>
        <v>0</v>
      </c>
      <c r="X102" s="325">
        <f t="shared" ca="1" si="140"/>
        <v>0</v>
      </c>
      <c r="Y102" s="325">
        <f t="shared" ca="1" si="140"/>
        <v>0</v>
      </c>
      <c r="Z102" s="325">
        <f t="shared" ca="1" si="140"/>
        <v>-44184</v>
      </c>
      <c r="AA102" s="325">
        <f t="shared" ca="1" si="140"/>
        <v>-14934</v>
      </c>
      <c r="AB102" s="325">
        <f t="shared" ca="1" si="140"/>
        <v>-885</v>
      </c>
      <c r="AC102" s="325">
        <f t="shared" ca="1" si="140"/>
        <v>0</v>
      </c>
      <c r="AD102" s="325">
        <f t="shared" ca="1" si="140"/>
        <v>60003</v>
      </c>
      <c r="AE102" s="325">
        <f t="shared" ca="1" si="140"/>
        <v>60003</v>
      </c>
      <c r="AF102" s="325">
        <f t="shared" ca="1" si="140"/>
        <v>0</v>
      </c>
      <c r="AG102" s="368">
        <f t="shared" ca="1" si="140"/>
        <v>0</v>
      </c>
      <c r="AH102" s="368">
        <f t="shared" ca="1" si="140"/>
        <v>0</v>
      </c>
      <c r="AI102" s="368">
        <f t="shared" ca="1" si="140"/>
        <v>0</v>
      </c>
      <c r="AJ102" s="368">
        <f t="shared" ca="1" si="140"/>
        <v>0</v>
      </c>
      <c r="AK102" s="368">
        <f t="shared" ca="1" si="140"/>
        <v>0</v>
      </c>
      <c r="AL102" s="368">
        <f t="shared" ca="1" si="140"/>
        <v>0</v>
      </c>
      <c r="AM102" s="368">
        <f t="shared" ca="1" si="140"/>
        <v>0</v>
      </c>
      <c r="AN102" s="401">
        <f t="shared" ca="1" si="140"/>
        <v>0</v>
      </c>
      <c r="AO102" s="325">
        <f t="shared" ca="1" si="140"/>
        <v>44841176</v>
      </c>
      <c r="AP102" s="325">
        <f t="shared" ca="1" si="140"/>
        <v>32324953</v>
      </c>
      <c r="AQ102" s="325">
        <f t="shared" ca="1" si="140"/>
        <v>205000</v>
      </c>
      <c r="AR102" s="325">
        <f t="shared" ca="1" si="140"/>
        <v>0</v>
      </c>
      <c r="AS102" s="325">
        <f t="shared" ca="1" si="140"/>
        <v>10995122</v>
      </c>
      <c r="AT102" s="325">
        <f t="shared" ca="1" si="140"/>
        <v>646498</v>
      </c>
      <c r="AU102" s="325">
        <f t="shared" ca="1" si="140"/>
        <v>669603</v>
      </c>
      <c r="AV102" s="368">
        <f t="shared" ca="1" si="140"/>
        <v>77.12700000000001</v>
      </c>
      <c r="AW102" s="368">
        <f t="shared" ca="1" si="140"/>
        <v>59.434799999999996</v>
      </c>
      <c r="AX102" s="368">
        <f t="shared" ca="1" si="140"/>
        <v>17.692199999999993</v>
      </c>
    </row>
    <row r="103" spans="1:50" x14ac:dyDescent="0.2">
      <c r="D103" s="16"/>
      <c r="E103" s="12"/>
      <c r="F103" s="16"/>
      <c r="G103" s="36"/>
      <c r="H103" s="28">
        <v>3113</v>
      </c>
      <c r="I103" s="327">
        <f t="shared" ref="I103:AX103" si="141">SUMIF($F$12:$F$425,"=3113",I$12:I$425)</f>
        <v>129058928</v>
      </c>
      <c r="J103" s="328">
        <f t="shared" si="141"/>
        <v>91726499</v>
      </c>
      <c r="K103" s="328">
        <f t="shared" si="141"/>
        <v>568597</v>
      </c>
      <c r="L103" s="328">
        <f t="shared" si="141"/>
        <v>380597</v>
      </c>
      <c r="M103" s="328">
        <f t="shared" si="141"/>
        <v>31067100</v>
      </c>
      <c r="N103" s="328">
        <f t="shared" si="141"/>
        <v>1834532</v>
      </c>
      <c r="O103" s="328">
        <f t="shared" si="141"/>
        <v>3862200</v>
      </c>
      <c r="P103" s="329">
        <f t="shared" si="141"/>
        <v>193.5984</v>
      </c>
      <c r="Q103" s="329">
        <f t="shared" si="141"/>
        <v>155.9332</v>
      </c>
      <c r="R103" s="332">
        <f t="shared" si="141"/>
        <v>37.665200000000006</v>
      </c>
      <c r="S103" s="327">
        <f t="shared" si="141"/>
        <v>0</v>
      </c>
      <c r="T103" s="331">
        <f t="shared" si="141"/>
        <v>0</v>
      </c>
      <c r="U103" s="331">
        <f t="shared" si="141"/>
        <v>-44183</v>
      </c>
      <c r="V103" s="331">
        <f t="shared" si="141"/>
        <v>-44183</v>
      </c>
      <c r="W103" s="331">
        <f t="shared" si="141"/>
        <v>0</v>
      </c>
      <c r="X103" s="331">
        <f t="shared" si="141"/>
        <v>0</v>
      </c>
      <c r="Y103" s="331">
        <f t="shared" si="141"/>
        <v>0</v>
      </c>
      <c r="Z103" s="331">
        <f t="shared" si="141"/>
        <v>-44183</v>
      </c>
      <c r="AA103" s="331">
        <f t="shared" si="141"/>
        <v>-14934</v>
      </c>
      <c r="AB103" s="331">
        <f t="shared" si="141"/>
        <v>-884</v>
      </c>
      <c r="AC103" s="331">
        <f t="shared" si="141"/>
        <v>34750</v>
      </c>
      <c r="AD103" s="331">
        <f t="shared" si="141"/>
        <v>60001</v>
      </c>
      <c r="AE103" s="331">
        <f t="shared" si="141"/>
        <v>94751</v>
      </c>
      <c r="AF103" s="331">
        <f t="shared" si="141"/>
        <v>34750</v>
      </c>
      <c r="AG103" s="369">
        <f t="shared" si="141"/>
        <v>0</v>
      </c>
      <c r="AH103" s="369">
        <f t="shared" si="141"/>
        <v>0</v>
      </c>
      <c r="AI103" s="369">
        <f t="shared" si="141"/>
        <v>0</v>
      </c>
      <c r="AJ103" s="369">
        <f t="shared" si="141"/>
        <v>0</v>
      </c>
      <c r="AK103" s="369">
        <f t="shared" si="141"/>
        <v>0</v>
      </c>
      <c r="AL103" s="369">
        <f t="shared" si="141"/>
        <v>0</v>
      </c>
      <c r="AM103" s="369">
        <f t="shared" si="141"/>
        <v>0</v>
      </c>
      <c r="AN103" s="402">
        <f t="shared" si="141"/>
        <v>0</v>
      </c>
      <c r="AO103" s="331">
        <f t="shared" si="141"/>
        <v>129093678</v>
      </c>
      <c r="AP103" s="331">
        <f t="shared" si="141"/>
        <v>91682316</v>
      </c>
      <c r="AQ103" s="331">
        <f t="shared" si="141"/>
        <v>568597</v>
      </c>
      <c r="AR103" s="331">
        <f t="shared" si="141"/>
        <v>380597</v>
      </c>
      <c r="AS103" s="331">
        <f t="shared" si="141"/>
        <v>31052166</v>
      </c>
      <c r="AT103" s="331">
        <f t="shared" si="141"/>
        <v>1833648</v>
      </c>
      <c r="AU103" s="331">
        <f t="shared" si="141"/>
        <v>3956951</v>
      </c>
      <c r="AV103" s="369">
        <f t="shared" si="141"/>
        <v>193.5984</v>
      </c>
      <c r="AW103" s="369">
        <f t="shared" si="141"/>
        <v>155.9332</v>
      </c>
      <c r="AX103" s="369">
        <f t="shared" si="141"/>
        <v>37.665200000000006</v>
      </c>
    </row>
    <row r="104" spans="1:50" x14ac:dyDescent="0.2">
      <c r="D104" s="16"/>
      <c r="E104" s="12"/>
      <c r="F104" s="16"/>
      <c r="G104" s="36"/>
      <c r="H104" s="28">
        <v>3114</v>
      </c>
      <c r="I104" s="327">
        <f t="shared" ref="I104:AX104" si="142">SUMIF($F$12:$F$425,"=3114",I$12:I$425)</f>
        <v>0</v>
      </c>
      <c r="J104" s="328">
        <f t="shared" si="142"/>
        <v>0</v>
      </c>
      <c r="K104" s="328">
        <f t="shared" si="142"/>
        <v>0</v>
      </c>
      <c r="L104" s="328">
        <f t="shared" si="142"/>
        <v>0</v>
      </c>
      <c r="M104" s="328">
        <f t="shared" si="142"/>
        <v>0</v>
      </c>
      <c r="N104" s="328">
        <f t="shared" si="142"/>
        <v>0</v>
      </c>
      <c r="O104" s="328">
        <f t="shared" si="142"/>
        <v>0</v>
      </c>
      <c r="P104" s="329">
        <f t="shared" si="142"/>
        <v>0</v>
      </c>
      <c r="Q104" s="329">
        <f t="shared" si="142"/>
        <v>0</v>
      </c>
      <c r="R104" s="332">
        <f t="shared" si="142"/>
        <v>0</v>
      </c>
      <c r="S104" s="327">
        <f t="shared" si="142"/>
        <v>0</v>
      </c>
      <c r="T104" s="331">
        <f t="shared" si="142"/>
        <v>0</v>
      </c>
      <c r="U104" s="331">
        <f t="shared" si="142"/>
        <v>0</v>
      </c>
      <c r="V104" s="331">
        <f t="shared" si="142"/>
        <v>0</v>
      </c>
      <c r="W104" s="331">
        <f t="shared" si="142"/>
        <v>0</v>
      </c>
      <c r="X104" s="331">
        <f t="shared" si="142"/>
        <v>0</v>
      </c>
      <c r="Y104" s="331">
        <f t="shared" si="142"/>
        <v>0</v>
      </c>
      <c r="Z104" s="331">
        <f t="shared" si="142"/>
        <v>0</v>
      </c>
      <c r="AA104" s="331">
        <f t="shared" si="142"/>
        <v>0</v>
      </c>
      <c r="AB104" s="331">
        <f t="shared" si="142"/>
        <v>0</v>
      </c>
      <c r="AC104" s="331">
        <f t="shared" si="142"/>
        <v>0</v>
      </c>
      <c r="AD104" s="331">
        <f t="shared" si="142"/>
        <v>0</v>
      </c>
      <c r="AE104" s="331">
        <f t="shared" si="142"/>
        <v>0</v>
      </c>
      <c r="AF104" s="331">
        <f t="shared" si="142"/>
        <v>0</v>
      </c>
      <c r="AG104" s="369">
        <f t="shared" si="142"/>
        <v>0</v>
      </c>
      <c r="AH104" s="369">
        <f t="shared" si="142"/>
        <v>0</v>
      </c>
      <c r="AI104" s="369">
        <f t="shared" si="142"/>
        <v>0</v>
      </c>
      <c r="AJ104" s="369">
        <f t="shared" si="142"/>
        <v>0</v>
      </c>
      <c r="AK104" s="369">
        <f t="shared" si="142"/>
        <v>0</v>
      </c>
      <c r="AL104" s="369">
        <f t="shared" si="142"/>
        <v>0</v>
      </c>
      <c r="AM104" s="369">
        <f t="shared" si="142"/>
        <v>0</v>
      </c>
      <c r="AN104" s="402">
        <f t="shared" si="142"/>
        <v>0</v>
      </c>
      <c r="AO104" s="331">
        <f t="shared" si="142"/>
        <v>0</v>
      </c>
      <c r="AP104" s="331">
        <f t="shared" si="142"/>
        <v>0</v>
      </c>
      <c r="AQ104" s="331">
        <f t="shared" si="142"/>
        <v>0</v>
      </c>
      <c r="AR104" s="331">
        <f t="shared" si="142"/>
        <v>0</v>
      </c>
      <c r="AS104" s="331">
        <f t="shared" si="142"/>
        <v>0</v>
      </c>
      <c r="AT104" s="331">
        <f t="shared" si="142"/>
        <v>0</v>
      </c>
      <c r="AU104" s="331">
        <f t="shared" si="142"/>
        <v>0</v>
      </c>
      <c r="AV104" s="369">
        <f t="shared" si="142"/>
        <v>0</v>
      </c>
      <c r="AW104" s="369">
        <f t="shared" si="142"/>
        <v>0</v>
      </c>
      <c r="AX104" s="369">
        <f t="shared" si="142"/>
        <v>0</v>
      </c>
    </row>
    <row r="105" spans="1:50" x14ac:dyDescent="0.2">
      <c r="D105" s="16"/>
      <c r="E105" s="12"/>
      <c r="F105" s="16"/>
      <c r="G105" s="36"/>
      <c r="H105" s="28">
        <v>3117</v>
      </c>
      <c r="I105" s="327">
        <f t="shared" ref="I105:AX105" si="143">SUMIF($F$12:$F$425,"=3117",I$12:I$425)</f>
        <v>13737133</v>
      </c>
      <c r="J105" s="328">
        <f t="shared" si="143"/>
        <v>9656229</v>
      </c>
      <c r="K105" s="328">
        <f t="shared" si="143"/>
        <v>183377</v>
      </c>
      <c r="L105" s="328">
        <f t="shared" si="143"/>
        <v>30577</v>
      </c>
      <c r="M105" s="328">
        <f t="shared" si="143"/>
        <v>3315453</v>
      </c>
      <c r="N105" s="328">
        <f t="shared" si="143"/>
        <v>193124</v>
      </c>
      <c r="O105" s="328">
        <f t="shared" si="143"/>
        <v>388950</v>
      </c>
      <c r="P105" s="329">
        <f t="shared" si="143"/>
        <v>20.591199999999997</v>
      </c>
      <c r="Q105" s="329">
        <f t="shared" si="143"/>
        <v>15.558400000000001</v>
      </c>
      <c r="R105" s="332">
        <f t="shared" si="143"/>
        <v>5.0327999999999991</v>
      </c>
      <c r="S105" s="327">
        <f t="shared" si="143"/>
        <v>0</v>
      </c>
      <c r="T105" s="331">
        <f t="shared" si="143"/>
        <v>0</v>
      </c>
      <c r="U105" s="331">
        <f t="shared" si="143"/>
        <v>-21224</v>
      </c>
      <c r="V105" s="331">
        <f t="shared" si="143"/>
        <v>-21224</v>
      </c>
      <c r="W105" s="331">
        <f t="shared" si="143"/>
        <v>0</v>
      </c>
      <c r="X105" s="331">
        <f t="shared" si="143"/>
        <v>0</v>
      </c>
      <c r="Y105" s="331">
        <f t="shared" si="143"/>
        <v>0</v>
      </c>
      <c r="Z105" s="331">
        <f t="shared" si="143"/>
        <v>-21224</v>
      </c>
      <c r="AA105" s="331">
        <f t="shared" si="143"/>
        <v>-7174</v>
      </c>
      <c r="AB105" s="331">
        <f t="shared" si="143"/>
        <v>-424</v>
      </c>
      <c r="AC105" s="331">
        <f t="shared" si="143"/>
        <v>0</v>
      </c>
      <c r="AD105" s="331">
        <f t="shared" si="143"/>
        <v>28822</v>
      </c>
      <c r="AE105" s="331">
        <f t="shared" si="143"/>
        <v>28822</v>
      </c>
      <c r="AF105" s="331">
        <f t="shared" si="143"/>
        <v>0</v>
      </c>
      <c r="AG105" s="369">
        <f t="shared" si="143"/>
        <v>0</v>
      </c>
      <c r="AH105" s="369">
        <f t="shared" si="143"/>
        <v>0</v>
      </c>
      <c r="AI105" s="369">
        <f t="shared" si="143"/>
        <v>0</v>
      </c>
      <c r="AJ105" s="369">
        <f t="shared" si="143"/>
        <v>0</v>
      </c>
      <c r="AK105" s="369">
        <f t="shared" si="143"/>
        <v>0</v>
      </c>
      <c r="AL105" s="369">
        <f t="shared" si="143"/>
        <v>0</v>
      </c>
      <c r="AM105" s="369">
        <f t="shared" si="143"/>
        <v>0</v>
      </c>
      <c r="AN105" s="402">
        <f t="shared" si="143"/>
        <v>0</v>
      </c>
      <c r="AO105" s="331">
        <f t="shared" si="143"/>
        <v>13737133</v>
      </c>
      <c r="AP105" s="331">
        <f t="shared" si="143"/>
        <v>9635005</v>
      </c>
      <c r="AQ105" s="331">
        <f t="shared" si="143"/>
        <v>183377</v>
      </c>
      <c r="AR105" s="331">
        <f t="shared" si="143"/>
        <v>30577</v>
      </c>
      <c r="AS105" s="331">
        <f t="shared" si="143"/>
        <v>3308279</v>
      </c>
      <c r="AT105" s="331">
        <f t="shared" si="143"/>
        <v>192700</v>
      </c>
      <c r="AU105" s="331">
        <f t="shared" si="143"/>
        <v>417772</v>
      </c>
      <c r="AV105" s="369">
        <f t="shared" si="143"/>
        <v>20.591199999999997</v>
      </c>
      <c r="AW105" s="369">
        <f t="shared" si="143"/>
        <v>15.558400000000001</v>
      </c>
      <c r="AX105" s="369">
        <f t="shared" si="143"/>
        <v>5.0327999999999991</v>
      </c>
    </row>
    <row r="106" spans="1:50" x14ac:dyDescent="0.2">
      <c r="D106" s="16"/>
      <c r="E106" s="12"/>
      <c r="F106" s="16"/>
      <c r="G106" s="36"/>
      <c r="H106" s="28">
        <v>3122</v>
      </c>
      <c r="I106" s="327">
        <f t="shared" ref="I106:AX106" si="144">SUMIF($F$12:$F$381,"=3122",I$12:I$381)</f>
        <v>0</v>
      </c>
      <c r="J106" s="328">
        <f t="shared" si="144"/>
        <v>0</v>
      </c>
      <c r="K106" s="328">
        <f t="shared" si="144"/>
        <v>0</v>
      </c>
      <c r="L106" s="328">
        <f t="shared" si="144"/>
        <v>0</v>
      </c>
      <c r="M106" s="328">
        <f t="shared" si="144"/>
        <v>0</v>
      </c>
      <c r="N106" s="328">
        <f t="shared" si="144"/>
        <v>0</v>
      </c>
      <c r="O106" s="328">
        <f t="shared" si="144"/>
        <v>0</v>
      </c>
      <c r="P106" s="329">
        <f t="shared" si="144"/>
        <v>0</v>
      </c>
      <c r="Q106" s="329">
        <f t="shared" si="144"/>
        <v>0</v>
      </c>
      <c r="R106" s="332">
        <f t="shared" si="144"/>
        <v>0</v>
      </c>
      <c r="S106" s="327">
        <f t="shared" si="144"/>
        <v>0</v>
      </c>
      <c r="T106" s="331">
        <f t="shared" si="144"/>
        <v>0</v>
      </c>
      <c r="U106" s="331">
        <f t="shared" si="144"/>
        <v>0</v>
      </c>
      <c r="V106" s="331">
        <f t="shared" si="144"/>
        <v>0</v>
      </c>
      <c r="W106" s="331">
        <f t="shared" si="144"/>
        <v>0</v>
      </c>
      <c r="X106" s="331">
        <f t="shared" si="144"/>
        <v>0</v>
      </c>
      <c r="Y106" s="331">
        <f t="shared" si="144"/>
        <v>0</v>
      </c>
      <c r="Z106" s="331">
        <f t="shared" si="144"/>
        <v>0</v>
      </c>
      <c r="AA106" s="331">
        <f t="shared" si="144"/>
        <v>0</v>
      </c>
      <c r="AB106" s="331">
        <f t="shared" si="144"/>
        <v>0</v>
      </c>
      <c r="AC106" s="331">
        <f t="shared" si="144"/>
        <v>0</v>
      </c>
      <c r="AD106" s="331">
        <f t="shared" si="144"/>
        <v>0</v>
      </c>
      <c r="AE106" s="331">
        <f t="shared" si="144"/>
        <v>0</v>
      </c>
      <c r="AF106" s="331">
        <f t="shared" si="144"/>
        <v>0</v>
      </c>
      <c r="AG106" s="369">
        <f t="shared" si="144"/>
        <v>0</v>
      </c>
      <c r="AH106" s="369">
        <f t="shared" si="144"/>
        <v>0</v>
      </c>
      <c r="AI106" s="369">
        <f t="shared" si="144"/>
        <v>0</v>
      </c>
      <c r="AJ106" s="369">
        <f t="shared" si="144"/>
        <v>0</v>
      </c>
      <c r="AK106" s="369">
        <f t="shared" si="144"/>
        <v>0</v>
      </c>
      <c r="AL106" s="369">
        <f t="shared" si="144"/>
        <v>0</v>
      </c>
      <c r="AM106" s="369">
        <f t="shared" si="144"/>
        <v>0</v>
      </c>
      <c r="AN106" s="402">
        <f t="shared" si="144"/>
        <v>0</v>
      </c>
      <c r="AO106" s="331">
        <f t="shared" si="144"/>
        <v>0</v>
      </c>
      <c r="AP106" s="331">
        <f t="shared" si="144"/>
        <v>0</v>
      </c>
      <c r="AQ106" s="331">
        <f t="shared" si="144"/>
        <v>0</v>
      </c>
      <c r="AR106" s="331">
        <f t="shared" si="144"/>
        <v>0</v>
      </c>
      <c r="AS106" s="331">
        <f t="shared" si="144"/>
        <v>0</v>
      </c>
      <c r="AT106" s="331">
        <f t="shared" si="144"/>
        <v>0</v>
      </c>
      <c r="AU106" s="331">
        <f t="shared" si="144"/>
        <v>0</v>
      </c>
      <c r="AV106" s="369">
        <f t="shared" si="144"/>
        <v>0</v>
      </c>
      <c r="AW106" s="369">
        <f t="shared" si="144"/>
        <v>0</v>
      </c>
      <c r="AX106" s="369">
        <f t="shared" si="144"/>
        <v>0</v>
      </c>
    </row>
    <row r="107" spans="1:50" x14ac:dyDescent="0.2">
      <c r="D107" s="16"/>
      <c r="E107" s="12"/>
      <c r="F107" s="16"/>
      <c r="G107" s="36"/>
      <c r="H107" s="28">
        <v>3124</v>
      </c>
      <c r="I107" s="327">
        <f t="shared" ref="I107:AX107" si="145">SUMIF($F$12:$F$381,"=3124",I$12:I$381)</f>
        <v>0</v>
      </c>
      <c r="J107" s="328">
        <f t="shared" si="145"/>
        <v>0</v>
      </c>
      <c r="K107" s="328">
        <f t="shared" si="145"/>
        <v>0</v>
      </c>
      <c r="L107" s="328">
        <f t="shared" si="145"/>
        <v>0</v>
      </c>
      <c r="M107" s="328">
        <f t="shared" si="145"/>
        <v>0</v>
      </c>
      <c r="N107" s="328">
        <f t="shared" si="145"/>
        <v>0</v>
      </c>
      <c r="O107" s="328">
        <f t="shared" si="145"/>
        <v>0</v>
      </c>
      <c r="P107" s="329">
        <f t="shared" si="145"/>
        <v>0</v>
      </c>
      <c r="Q107" s="329">
        <f t="shared" si="145"/>
        <v>0</v>
      </c>
      <c r="R107" s="332">
        <f t="shared" si="145"/>
        <v>0</v>
      </c>
      <c r="S107" s="327">
        <f t="shared" si="145"/>
        <v>0</v>
      </c>
      <c r="T107" s="331">
        <f t="shared" si="145"/>
        <v>0</v>
      </c>
      <c r="U107" s="331">
        <f t="shared" si="145"/>
        <v>0</v>
      </c>
      <c r="V107" s="331">
        <f t="shared" si="145"/>
        <v>0</v>
      </c>
      <c r="W107" s="331">
        <f t="shared" si="145"/>
        <v>0</v>
      </c>
      <c r="X107" s="331">
        <f t="shared" si="145"/>
        <v>0</v>
      </c>
      <c r="Y107" s="331">
        <f t="shared" si="145"/>
        <v>0</v>
      </c>
      <c r="Z107" s="331">
        <f t="shared" si="145"/>
        <v>0</v>
      </c>
      <c r="AA107" s="331">
        <f t="shared" si="145"/>
        <v>0</v>
      </c>
      <c r="AB107" s="331">
        <f t="shared" si="145"/>
        <v>0</v>
      </c>
      <c r="AC107" s="331">
        <f t="shared" si="145"/>
        <v>0</v>
      </c>
      <c r="AD107" s="331">
        <f t="shared" si="145"/>
        <v>0</v>
      </c>
      <c r="AE107" s="331">
        <f t="shared" si="145"/>
        <v>0</v>
      </c>
      <c r="AF107" s="331">
        <f t="shared" si="145"/>
        <v>0</v>
      </c>
      <c r="AG107" s="369">
        <f t="shared" si="145"/>
        <v>0</v>
      </c>
      <c r="AH107" s="369">
        <f t="shared" si="145"/>
        <v>0</v>
      </c>
      <c r="AI107" s="369">
        <f t="shared" si="145"/>
        <v>0</v>
      </c>
      <c r="AJ107" s="369">
        <f t="shared" si="145"/>
        <v>0</v>
      </c>
      <c r="AK107" s="369">
        <f t="shared" si="145"/>
        <v>0</v>
      </c>
      <c r="AL107" s="369">
        <f t="shared" si="145"/>
        <v>0</v>
      </c>
      <c r="AM107" s="369">
        <f t="shared" si="145"/>
        <v>0</v>
      </c>
      <c r="AN107" s="402">
        <f t="shared" si="145"/>
        <v>0</v>
      </c>
      <c r="AO107" s="331">
        <f t="shared" si="145"/>
        <v>0</v>
      </c>
      <c r="AP107" s="331">
        <f t="shared" si="145"/>
        <v>0</v>
      </c>
      <c r="AQ107" s="331">
        <f t="shared" si="145"/>
        <v>0</v>
      </c>
      <c r="AR107" s="331">
        <f t="shared" si="145"/>
        <v>0</v>
      </c>
      <c r="AS107" s="331">
        <f t="shared" si="145"/>
        <v>0</v>
      </c>
      <c r="AT107" s="331">
        <f t="shared" si="145"/>
        <v>0</v>
      </c>
      <c r="AU107" s="331">
        <f t="shared" si="145"/>
        <v>0</v>
      </c>
      <c r="AV107" s="369">
        <f t="shared" si="145"/>
        <v>0</v>
      </c>
      <c r="AW107" s="369">
        <f t="shared" si="145"/>
        <v>0</v>
      </c>
      <c r="AX107" s="369">
        <f t="shared" si="145"/>
        <v>0</v>
      </c>
    </row>
    <row r="108" spans="1:50" x14ac:dyDescent="0.2">
      <c r="D108" s="16"/>
      <c r="E108" s="12"/>
      <c r="F108" s="16"/>
      <c r="G108" s="36"/>
      <c r="H108" s="28">
        <v>3141</v>
      </c>
      <c r="I108" s="327">
        <f t="shared" ref="I108:AX108" si="146">SUMIF($F$12:$F$425,"=3141",I$12:I$425)</f>
        <v>15018360</v>
      </c>
      <c r="J108" s="328">
        <f t="shared" si="146"/>
        <v>10910788</v>
      </c>
      <c r="K108" s="328">
        <f t="shared" si="146"/>
        <v>80000</v>
      </c>
      <c r="L108" s="328">
        <f t="shared" si="146"/>
        <v>0</v>
      </c>
      <c r="M108" s="328">
        <f t="shared" si="146"/>
        <v>3714888</v>
      </c>
      <c r="N108" s="328">
        <f t="shared" si="146"/>
        <v>218214</v>
      </c>
      <c r="O108" s="328">
        <f t="shared" si="146"/>
        <v>94470</v>
      </c>
      <c r="P108" s="329">
        <f t="shared" si="146"/>
        <v>37.21</v>
      </c>
      <c r="Q108" s="329">
        <f t="shared" si="146"/>
        <v>0</v>
      </c>
      <c r="R108" s="332">
        <f t="shared" si="146"/>
        <v>37.21</v>
      </c>
      <c r="S108" s="327">
        <f t="shared" si="146"/>
        <v>0</v>
      </c>
      <c r="T108" s="331">
        <f t="shared" si="146"/>
        <v>0</v>
      </c>
      <c r="U108" s="331">
        <f t="shared" si="146"/>
        <v>0</v>
      </c>
      <c r="V108" s="331">
        <f t="shared" si="146"/>
        <v>0</v>
      </c>
      <c r="W108" s="331">
        <f t="shared" si="146"/>
        <v>0</v>
      </c>
      <c r="X108" s="331">
        <f t="shared" si="146"/>
        <v>0</v>
      </c>
      <c r="Y108" s="331">
        <f t="shared" si="146"/>
        <v>0</v>
      </c>
      <c r="Z108" s="331">
        <f t="shared" si="146"/>
        <v>0</v>
      </c>
      <c r="AA108" s="331">
        <f t="shared" si="146"/>
        <v>0</v>
      </c>
      <c r="AB108" s="331">
        <f t="shared" si="146"/>
        <v>0</v>
      </c>
      <c r="AC108" s="331">
        <f t="shared" si="146"/>
        <v>0</v>
      </c>
      <c r="AD108" s="331">
        <f t="shared" si="146"/>
        <v>0</v>
      </c>
      <c r="AE108" s="331">
        <f t="shared" si="146"/>
        <v>0</v>
      </c>
      <c r="AF108" s="331">
        <f t="shared" si="146"/>
        <v>0</v>
      </c>
      <c r="AG108" s="369">
        <f t="shared" si="146"/>
        <v>0</v>
      </c>
      <c r="AH108" s="369">
        <f t="shared" si="146"/>
        <v>0</v>
      </c>
      <c r="AI108" s="369">
        <f t="shared" si="146"/>
        <v>0</v>
      </c>
      <c r="AJ108" s="369">
        <f t="shared" si="146"/>
        <v>0</v>
      </c>
      <c r="AK108" s="369">
        <f t="shared" si="146"/>
        <v>0</v>
      </c>
      <c r="AL108" s="369">
        <f t="shared" si="146"/>
        <v>0</v>
      </c>
      <c r="AM108" s="369">
        <f t="shared" si="146"/>
        <v>0</v>
      </c>
      <c r="AN108" s="402">
        <f t="shared" si="146"/>
        <v>0</v>
      </c>
      <c r="AO108" s="331">
        <f t="shared" si="146"/>
        <v>15018360</v>
      </c>
      <c r="AP108" s="331">
        <f t="shared" si="146"/>
        <v>10910788</v>
      </c>
      <c r="AQ108" s="331">
        <f t="shared" si="146"/>
        <v>80000</v>
      </c>
      <c r="AR108" s="331">
        <f t="shared" si="146"/>
        <v>0</v>
      </c>
      <c r="AS108" s="331">
        <f t="shared" si="146"/>
        <v>3714888</v>
      </c>
      <c r="AT108" s="331">
        <f t="shared" si="146"/>
        <v>218214</v>
      </c>
      <c r="AU108" s="331">
        <f t="shared" si="146"/>
        <v>94470</v>
      </c>
      <c r="AV108" s="369">
        <f t="shared" si="146"/>
        <v>37.21</v>
      </c>
      <c r="AW108" s="369">
        <f t="shared" si="146"/>
        <v>0</v>
      </c>
      <c r="AX108" s="369">
        <f t="shared" si="146"/>
        <v>37.21</v>
      </c>
    </row>
    <row r="109" spans="1:50" x14ac:dyDescent="0.2">
      <c r="D109" s="16"/>
      <c r="E109" s="12"/>
      <c r="F109" s="16"/>
      <c r="G109" s="36"/>
      <c r="H109" s="28">
        <v>3143</v>
      </c>
      <c r="I109" s="327">
        <f t="shared" ref="I109:AX109" si="147">SUMIF($F$12:$F$425,"=3143",I$12:I$425)</f>
        <v>11816524</v>
      </c>
      <c r="J109" s="328">
        <f t="shared" si="147"/>
        <v>8663460</v>
      </c>
      <c r="K109" s="328">
        <f t="shared" si="147"/>
        <v>27000</v>
      </c>
      <c r="L109" s="328">
        <f t="shared" si="147"/>
        <v>0</v>
      </c>
      <c r="M109" s="328">
        <f t="shared" si="147"/>
        <v>2937375</v>
      </c>
      <c r="N109" s="328">
        <f t="shared" si="147"/>
        <v>173269</v>
      </c>
      <c r="O109" s="328">
        <f t="shared" si="147"/>
        <v>15420</v>
      </c>
      <c r="P109" s="329">
        <f t="shared" si="147"/>
        <v>18.946099999999998</v>
      </c>
      <c r="Q109" s="329">
        <f t="shared" si="147"/>
        <v>17.876099999999997</v>
      </c>
      <c r="R109" s="332">
        <f t="shared" si="147"/>
        <v>1.0700000000000003</v>
      </c>
      <c r="S109" s="327">
        <f t="shared" si="147"/>
        <v>0</v>
      </c>
      <c r="T109" s="331">
        <f t="shared" si="147"/>
        <v>0</v>
      </c>
      <c r="U109" s="331">
        <f t="shared" si="147"/>
        <v>0</v>
      </c>
      <c r="V109" s="331">
        <f t="shared" si="147"/>
        <v>0</v>
      </c>
      <c r="W109" s="331">
        <f t="shared" si="147"/>
        <v>0</v>
      </c>
      <c r="X109" s="331">
        <f t="shared" si="147"/>
        <v>0</v>
      </c>
      <c r="Y109" s="331">
        <f t="shared" si="147"/>
        <v>0</v>
      </c>
      <c r="Z109" s="331">
        <f t="shared" si="147"/>
        <v>0</v>
      </c>
      <c r="AA109" s="331">
        <f t="shared" si="147"/>
        <v>0</v>
      </c>
      <c r="AB109" s="331">
        <f t="shared" si="147"/>
        <v>0</v>
      </c>
      <c r="AC109" s="331">
        <f t="shared" si="147"/>
        <v>0</v>
      </c>
      <c r="AD109" s="331">
        <f t="shared" si="147"/>
        <v>0</v>
      </c>
      <c r="AE109" s="331">
        <f t="shared" si="147"/>
        <v>0</v>
      </c>
      <c r="AF109" s="331">
        <f t="shared" si="147"/>
        <v>0</v>
      </c>
      <c r="AG109" s="369">
        <f t="shared" si="147"/>
        <v>0</v>
      </c>
      <c r="AH109" s="369">
        <f t="shared" si="147"/>
        <v>0</v>
      </c>
      <c r="AI109" s="369">
        <f t="shared" si="147"/>
        <v>0</v>
      </c>
      <c r="AJ109" s="369">
        <f t="shared" si="147"/>
        <v>0</v>
      </c>
      <c r="AK109" s="369">
        <f t="shared" si="147"/>
        <v>0</v>
      </c>
      <c r="AL109" s="369">
        <f t="shared" si="147"/>
        <v>0</v>
      </c>
      <c r="AM109" s="369">
        <f t="shared" si="147"/>
        <v>0</v>
      </c>
      <c r="AN109" s="402">
        <f t="shared" si="147"/>
        <v>0</v>
      </c>
      <c r="AO109" s="331">
        <f t="shared" si="147"/>
        <v>11816524</v>
      </c>
      <c r="AP109" s="331">
        <f t="shared" si="147"/>
        <v>8663460</v>
      </c>
      <c r="AQ109" s="331">
        <f t="shared" si="147"/>
        <v>27000</v>
      </c>
      <c r="AR109" s="331">
        <f t="shared" si="147"/>
        <v>0</v>
      </c>
      <c r="AS109" s="331">
        <f t="shared" si="147"/>
        <v>2937375</v>
      </c>
      <c r="AT109" s="331">
        <f t="shared" si="147"/>
        <v>173269</v>
      </c>
      <c r="AU109" s="331">
        <f t="shared" si="147"/>
        <v>15420</v>
      </c>
      <c r="AV109" s="369">
        <f t="shared" si="147"/>
        <v>18.946099999999998</v>
      </c>
      <c r="AW109" s="369">
        <f t="shared" si="147"/>
        <v>17.876099999999997</v>
      </c>
      <c r="AX109" s="369">
        <f t="shared" si="147"/>
        <v>1.0700000000000003</v>
      </c>
    </row>
    <row r="110" spans="1:50" x14ac:dyDescent="0.2">
      <c r="D110" s="16"/>
      <c r="E110" s="12"/>
      <c r="F110" s="16"/>
      <c r="G110" s="36"/>
      <c r="H110" s="28">
        <v>3231</v>
      </c>
      <c r="I110" s="327">
        <f t="shared" ref="I110:AX110" si="148">SUMIF($F$12:$F$425,"=3231",I$12:I$425)</f>
        <v>12990220</v>
      </c>
      <c r="J110" s="328">
        <f t="shared" si="148"/>
        <v>9297489</v>
      </c>
      <c r="K110" s="328">
        <f t="shared" si="148"/>
        <v>240000</v>
      </c>
      <c r="L110" s="328">
        <f t="shared" si="148"/>
        <v>0</v>
      </c>
      <c r="M110" s="328">
        <f t="shared" si="148"/>
        <v>3223671</v>
      </c>
      <c r="N110" s="328">
        <f t="shared" si="148"/>
        <v>185950</v>
      </c>
      <c r="O110" s="328">
        <f t="shared" si="148"/>
        <v>43110</v>
      </c>
      <c r="P110" s="329">
        <f t="shared" si="148"/>
        <v>18.182400000000001</v>
      </c>
      <c r="Q110" s="329">
        <f t="shared" si="148"/>
        <v>16.273299999999999</v>
      </c>
      <c r="R110" s="332">
        <f t="shared" si="148"/>
        <v>1.9090999999999998</v>
      </c>
      <c r="S110" s="327">
        <f t="shared" si="148"/>
        <v>0</v>
      </c>
      <c r="T110" s="331">
        <f t="shared" si="148"/>
        <v>0</v>
      </c>
      <c r="U110" s="331">
        <f t="shared" si="148"/>
        <v>0</v>
      </c>
      <c r="V110" s="331">
        <f t="shared" si="148"/>
        <v>0</v>
      </c>
      <c r="W110" s="331">
        <f t="shared" si="148"/>
        <v>0</v>
      </c>
      <c r="X110" s="331">
        <f t="shared" si="148"/>
        <v>0</v>
      </c>
      <c r="Y110" s="331">
        <f t="shared" si="148"/>
        <v>0</v>
      </c>
      <c r="Z110" s="331">
        <f t="shared" si="148"/>
        <v>0</v>
      </c>
      <c r="AA110" s="331">
        <f t="shared" si="148"/>
        <v>0</v>
      </c>
      <c r="AB110" s="331">
        <f t="shared" si="148"/>
        <v>0</v>
      </c>
      <c r="AC110" s="331">
        <f t="shared" si="148"/>
        <v>0</v>
      </c>
      <c r="AD110" s="331">
        <f t="shared" si="148"/>
        <v>0</v>
      </c>
      <c r="AE110" s="331">
        <f t="shared" si="148"/>
        <v>0</v>
      </c>
      <c r="AF110" s="331">
        <f t="shared" si="148"/>
        <v>0</v>
      </c>
      <c r="AG110" s="369">
        <f t="shared" si="148"/>
        <v>0</v>
      </c>
      <c r="AH110" s="369">
        <f t="shared" si="148"/>
        <v>0</v>
      </c>
      <c r="AI110" s="369">
        <f t="shared" si="148"/>
        <v>0</v>
      </c>
      <c r="AJ110" s="369">
        <f t="shared" si="148"/>
        <v>0</v>
      </c>
      <c r="AK110" s="369">
        <f t="shared" si="148"/>
        <v>0</v>
      </c>
      <c r="AL110" s="369">
        <f t="shared" si="148"/>
        <v>0</v>
      </c>
      <c r="AM110" s="369">
        <f t="shared" si="148"/>
        <v>0</v>
      </c>
      <c r="AN110" s="402">
        <f t="shared" si="148"/>
        <v>0</v>
      </c>
      <c r="AO110" s="331">
        <f t="shared" si="148"/>
        <v>12990220</v>
      </c>
      <c r="AP110" s="331">
        <f t="shared" si="148"/>
        <v>9297489</v>
      </c>
      <c r="AQ110" s="331">
        <f t="shared" si="148"/>
        <v>240000</v>
      </c>
      <c r="AR110" s="331">
        <f t="shared" si="148"/>
        <v>0</v>
      </c>
      <c r="AS110" s="331">
        <f t="shared" si="148"/>
        <v>3223671</v>
      </c>
      <c r="AT110" s="331">
        <f t="shared" si="148"/>
        <v>185950</v>
      </c>
      <c r="AU110" s="331">
        <f t="shared" si="148"/>
        <v>43110</v>
      </c>
      <c r="AV110" s="369">
        <f t="shared" si="148"/>
        <v>18.182400000000001</v>
      </c>
      <c r="AW110" s="369">
        <f t="shared" si="148"/>
        <v>16.273299999999999</v>
      </c>
      <c r="AX110" s="369">
        <f t="shared" si="148"/>
        <v>1.9090999999999998</v>
      </c>
    </row>
    <row r="111" spans="1:50" ht="13.5" thickBot="1" x14ac:dyDescent="0.25">
      <c r="D111" s="16"/>
      <c r="E111" s="12"/>
      <c r="F111" s="16"/>
      <c r="G111" s="36"/>
      <c r="H111" s="254">
        <v>3233</v>
      </c>
      <c r="I111" s="333">
        <f t="shared" ref="I111:AX111" si="149">SUMIF($F$12:$F$425,"=3233",I$12:I$425)</f>
        <v>3198215</v>
      </c>
      <c r="J111" s="334">
        <f t="shared" si="149"/>
        <v>2234697</v>
      </c>
      <c r="K111" s="334">
        <f t="shared" si="149"/>
        <v>100000</v>
      </c>
      <c r="L111" s="334">
        <f t="shared" si="149"/>
        <v>0</v>
      </c>
      <c r="M111" s="334">
        <f t="shared" si="149"/>
        <v>789128</v>
      </c>
      <c r="N111" s="334">
        <f t="shared" si="149"/>
        <v>44694</v>
      </c>
      <c r="O111" s="334">
        <f t="shared" si="149"/>
        <v>29696</v>
      </c>
      <c r="P111" s="335">
        <f t="shared" si="149"/>
        <v>5.2299999999999995</v>
      </c>
      <c r="Q111" s="335">
        <f t="shared" si="149"/>
        <v>3.3899999999999997</v>
      </c>
      <c r="R111" s="338">
        <f t="shared" si="149"/>
        <v>1.84</v>
      </c>
      <c r="S111" s="333">
        <f t="shared" si="149"/>
        <v>0</v>
      </c>
      <c r="T111" s="337">
        <f t="shared" si="149"/>
        <v>0</v>
      </c>
      <c r="U111" s="337">
        <f t="shared" si="149"/>
        <v>0</v>
      </c>
      <c r="V111" s="337">
        <f t="shared" si="149"/>
        <v>0</v>
      </c>
      <c r="W111" s="337">
        <f t="shared" si="149"/>
        <v>0</v>
      </c>
      <c r="X111" s="337">
        <f t="shared" si="149"/>
        <v>0</v>
      </c>
      <c r="Y111" s="337">
        <f t="shared" si="149"/>
        <v>0</v>
      </c>
      <c r="Z111" s="337">
        <f t="shared" si="149"/>
        <v>0</v>
      </c>
      <c r="AA111" s="337">
        <f t="shared" si="149"/>
        <v>0</v>
      </c>
      <c r="AB111" s="337">
        <f t="shared" si="149"/>
        <v>0</v>
      </c>
      <c r="AC111" s="337">
        <f t="shared" si="149"/>
        <v>0</v>
      </c>
      <c r="AD111" s="337">
        <f t="shared" si="149"/>
        <v>0</v>
      </c>
      <c r="AE111" s="337">
        <f t="shared" si="149"/>
        <v>0</v>
      </c>
      <c r="AF111" s="337">
        <f t="shared" si="149"/>
        <v>0</v>
      </c>
      <c r="AG111" s="370">
        <f t="shared" si="149"/>
        <v>0</v>
      </c>
      <c r="AH111" s="370">
        <f t="shared" si="149"/>
        <v>0</v>
      </c>
      <c r="AI111" s="370">
        <f t="shared" si="149"/>
        <v>0</v>
      </c>
      <c r="AJ111" s="370">
        <f t="shared" si="149"/>
        <v>0</v>
      </c>
      <c r="AK111" s="370">
        <f t="shared" si="149"/>
        <v>0</v>
      </c>
      <c r="AL111" s="370">
        <f t="shared" si="149"/>
        <v>0</v>
      </c>
      <c r="AM111" s="370">
        <f t="shared" si="149"/>
        <v>0</v>
      </c>
      <c r="AN111" s="403">
        <f t="shared" si="149"/>
        <v>0</v>
      </c>
      <c r="AO111" s="337">
        <f t="shared" si="149"/>
        <v>3198215</v>
      </c>
      <c r="AP111" s="337">
        <f t="shared" si="149"/>
        <v>2234697</v>
      </c>
      <c r="AQ111" s="337">
        <f t="shared" si="149"/>
        <v>100000</v>
      </c>
      <c r="AR111" s="337">
        <f t="shared" si="149"/>
        <v>0</v>
      </c>
      <c r="AS111" s="337">
        <f t="shared" si="149"/>
        <v>789128</v>
      </c>
      <c r="AT111" s="337">
        <f t="shared" si="149"/>
        <v>44694</v>
      </c>
      <c r="AU111" s="337">
        <f t="shared" si="149"/>
        <v>29696</v>
      </c>
      <c r="AV111" s="370">
        <f t="shared" si="149"/>
        <v>5.2299999999999995</v>
      </c>
      <c r="AW111" s="370">
        <f t="shared" si="149"/>
        <v>3.3899999999999997</v>
      </c>
      <c r="AX111" s="370">
        <f t="shared" si="149"/>
        <v>1.84</v>
      </c>
    </row>
    <row r="112" spans="1:50" x14ac:dyDescent="0.2">
      <c r="D112" s="12"/>
      <c r="E112" s="12"/>
      <c r="F112" s="12"/>
      <c r="G112" s="36"/>
      <c r="H112" s="12"/>
      <c r="I112" s="26"/>
      <c r="J112" s="26"/>
      <c r="K112" s="26"/>
      <c r="L112" s="26"/>
      <c r="M112" s="26"/>
      <c r="N112" s="26"/>
      <c r="O112" s="26"/>
      <c r="P112" s="7"/>
      <c r="Q112" s="7"/>
      <c r="R112" s="7"/>
    </row>
    <row r="114" spans="16:18" x14ac:dyDescent="0.2">
      <c r="P114" s="15"/>
      <c r="Q114" s="15"/>
      <c r="R114" s="15"/>
    </row>
    <row r="116" spans="16:18" x14ac:dyDescent="0.2">
      <c r="P116" s="15"/>
      <c r="Q116" s="15"/>
      <c r="R116" s="15"/>
    </row>
  </sheetData>
  <mergeCells count="24">
    <mergeCell ref="Z7:Z10"/>
    <mergeCell ref="AO8:AO10"/>
    <mergeCell ref="AP8:AU9"/>
    <mergeCell ref="AV8:AV10"/>
    <mergeCell ref="AG8:AH9"/>
    <mergeCell ref="AI8:AI9"/>
    <mergeCell ref="AJ8:AK9"/>
    <mergeCell ref="AL8:AN9"/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91"/>
  <sheetViews>
    <sheetView workbookViewId="0">
      <pane xSplit="8" ySplit="11" topLeftCell="AI12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RowHeight="12.75" x14ac:dyDescent="0.2"/>
  <cols>
    <col min="1" max="1" width="5" style="738" customWidth="1"/>
    <col min="2" max="2" width="7.140625" style="738" bestFit="1" customWidth="1"/>
    <col min="3" max="3" width="8.7109375" style="738" bestFit="1" customWidth="1"/>
    <col min="4" max="4" width="7.85546875" style="738" bestFit="1" customWidth="1"/>
    <col min="5" max="5" width="28.7109375" style="738" customWidth="1"/>
    <col min="6" max="6" width="4.42578125" style="738" bestFit="1" customWidth="1"/>
    <col min="7" max="7" width="10.28515625" style="78" bestFit="1" customWidth="1"/>
    <col min="8" max="8" width="8" style="738" customWidth="1"/>
    <col min="9" max="9" width="10.42578125" style="15" customWidth="1"/>
    <col min="10" max="10" width="11.5703125" style="15" customWidth="1"/>
    <col min="11" max="12" width="11.140625" style="15" customWidth="1"/>
    <col min="13" max="13" width="12" style="15" customWidth="1"/>
    <col min="14" max="14" width="11.42578125" style="15" customWidth="1"/>
    <col min="15" max="15" width="10.7109375" style="15" customWidth="1"/>
    <col min="16" max="16" width="11.85546875" style="14" customWidth="1"/>
    <col min="17" max="17" width="8.7109375" style="14" customWidth="1"/>
    <col min="18" max="18" width="8.42578125" style="14" customWidth="1"/>
    <col min="19" max="19" width="9.140625" style="15" customWidth="1"/>
    <col min="20" max="20" width="9.140625" style="738" customWidth="1"/>
    <col min="21" max="21" width="9.7109375" style="738" customWidth="1"/>
    <col min="22" max="22" width="9.28515625" style="738" customWidth="1"/>
    <col min="23" max="25" width="9.140625" style="738" customWidth="1"/>
    <col min="26" max="26" width="9.5703125" style="738" customWidth="1"/>
    <col min="27" max="32" width="9.140625" style="738" customWidth="1"/>
    <col min="33" max="40" width="9.140625" style="14" customWidth="1"/>
    <col min="41" max="41" width="9.85546875" style="738" customWidth="1"/>
    <col min="42" max="43" width="9.140625" style="738" customWidth="1"/>
    <col min="44" max="44" width="10.28515625" style="738" customWidth="1"/>
    <col min="45" max="46" width="9.140625" style="738" customWidth="1"/>
    <col min="47" max="47" width="9.140625" style="738"/>
    <col min="48" max="50" width="9.140625" style="14"/>
    <col min="51" max="222" width="9.140625" style="738"/>
    <col min="223" max="223" width="7" style="738" customWidth="1"/>
    <col min="224" max="224" width="33.140625" style="738" customWidth="1"/>
    <col min="225" max="225" width="6.42578125" style="738" customWidth="1"/>
    <col min="226" max="226" width="29" style="738" customWidth="1"/>
    <col min="227" max="227" width="11.42578125" style="738" customWidth="1"/>
    <col min="228" max="228" width="10.7109375" style="738" customWidth="1"/>
    <col min="229" max="229" width="10.85546875" style="738" customWidth="1"/>
    <col min="230" max="230" width="11.28515625" style="738" customWidth="1"/>
    <col min="231" max="231" width="9.140625" style="738"/>
    <col min="232" max="232" width="9.7109375" style="738" customWidth="1"/>
    <col min="233" max="234" width="9.140625" style="738"/>
    <col min="235" max="235" width="10.42578125" style="738" customWidth="1"/>
    <col min="236" max="478" width="9.140625" style="738"/>
    <col min="479" max="479" width="7" style="738" customWidth="1"/>
    <col min="480" max="480" width="33.140625" style="738" customWidth="1"/>
    <col min="481" max="481" width="6.42578125" style="738" customWidth="1"/>
    <col min="482" max="482" width="29" style="738" customWidth="1"/>
    <col min="483" max="483" width="11.42578125" style="738" customWidth="1"/>
    <col min="484" max="484" width="10.7109375" style="738" customWidth="1"/>
    <col min="485" max="485" width="10.85546875" style="738" customWidth="1"/>
    <col min="486" max="486" width="11.28515625" style="738" customWidth="1"/>
    <col min="487" max="487" width="9.140625" style="738"/>
    <col min="488" max="488" width="9.7109375" style="738" customWidth="1"/>
    <col min="489" max="490" width="9.140625" style="738"/>
    <col min="491" max="491" width="10.42578125" style="738" customWidth="1"/>
    <col min="492" max="734" width="9.140625" style="738"/>
    <col min="735" max="735" width="7" style="738" customWidth="1"/>
    <col min="736" max="736" width="33.140625" style="738" customWidth="1"/>
    <col min="737" max="737" width="6.42578125" style="738" customWidth="1"/>
    <col min="738" max="738" width="29" style="738" customWidth="1"/>
    <col min="739" max="739" width="11.42578125" style="738" customWidth="1"/>
    <col min="740" max="740" width="10.7109375" style="738" customWidth="1"/>
    <col min="741" max="741" width="10.85546875" style="738" customWidth="1"/>
    <col min="742" max="742" width="11.28515625" style="738" customWidth="1"/>
    <col min="743" max="743" width="9.140625" style="738"/>
    <col min="744" max="744" width="9.7109375" style="738" customWidth="1"/>
    <col min="745" max="746" width="9.140625" style="738"/>
    <col min="747" max="747" width="10.42578125" style="738" customWidth="1"/>
    <col min="748" max="990" width="9.140625" style="738"/>
    <col min="991" max="991" width="7" style="738" customWidth="1"/>
    <col min="992" max="992" width="33.140625" style="738" customWidth="1"/>
    <col min="993" max="993" width="6.42578125" style="738" customWidth="1"/>
    <col min="994" max="994" width="29" style="738" customWidth="1"/>
    <col min="995" max="995" width="11.42578125" style="738" customWidth="1"/>
    <col min="996" max="996" width="10.7109375" style="738" customWidth="1"/>
    <col min="997" max="997" width="10.85546875" style="738" customWidth="1"/>
    <col min="998" max="998" width="11.28515625" style="738" customWidth="1"/>
    <col min="999" max="999" width="9.140625" style="738"/>
    <col min="1000" max="1000" width="9.7109375" style="738" customWidth="1"/>
    <col min="1001" max="1002" width="9.140625" style="738"/>
    <col min="1003" max="1003" width="10.42578125" style="738" customWidth="1"/>
    <col min="1004" max="1246" width="9.140625" style="738"/>
    <col min="1247" max="1247" width="7" style="738" customWidth="1"/>
    <col min="1248" max="1248" width="33.140625" style="738" customWidth="1"/>
    <col min="1249" max="1249" width="6.42578125" style="738" customWidth="1"/>
    <col min="1250" max="1250" width="29" style="738" customWidth="1"/>
    <col min="1251" max="1251" width="11.42578125" style="738" customWidth="1"/>
    <col min="1252" max="1252" width="10.7109375" style="738" customWidth="1"/>
    <col min="1253" max="1253" width="10.85546875" style="738" customWidth="1"/>
    <col min="1254" max="1254" width="11.28515625" style="738" customWidth="1"/>
    <col min="1255" max="1255" width="9.140625" style="738"/>
    <col min="1256" max="1256" width="9.7109375" style="738" customWidth="1"/>
    <col min="1257" max="1258" width="9.140625" style="738"/>
    <col min="1259" max="1259" width="10.42578125" style="738" customWidth="1"/>
    <col min="1260" max="1502" width="9.140625" style="738"/>
    <col min="1503" max="1503" width="7" style="738" customWidth="1"/>
    <col min="1504" max="1504" width="33.140625" style="738" customWidth="1"/>
    <col min="1505" max="1505" width="6.42578125" style="738" customWidth="1"/>
    <col min="1506" max="1506" width="29" style="738" customWidth="1"/>
    <col min="1507" max="1507" width="11.42578125" style="738" customWidth="1"/>
    <col min="1508" max="1508" width="10.7109375" style="738" customWidth="1"/>
    <col min="1509" max="1509" width="10.85546875" style="738" customWidth="1"/>
    <col min="1510" max="1510" width="11.28515625" style="738" customWidth="1"/>
    <col min="1511" max="1511" width="9.140625" style="738"/>
    <col min="1512" max="1512" width="9.7109375" style="738" customWidth="1"/>
    <col min="1513" max="1514" width="9.140625" style="738"/>
    <col min="1515" max="1515" width="10.42578125" style="738" customWidth="1"/>
    <col min="1516" max="1758" width="9.140625" style="738"/>
    <col min="1759" max="1759" width="7" style="738" customWidth="1"/>
    <col min="1760" max="1760" width="33.140625" style="738" customWidth="1"/>
    <col min="1761" max="1761" width="6.42578125" style="738" customWidth="1"/>
    <col min="1762" max="1762" width="29" style="738" customWidth="1"/>
    <col min="1763" max="1763" width="11.42578125" style="738" customWidth="1"/>
    <col min="1764" max="1764" width="10.7109375" style="738" customWidth="1"/>
    <col min="1765" max="1765" width="10.85546875" style="738" customWidth="1"/>
    <col min="1766" max="1766" width="11.28515625" style="738" customWidth="1"/>
    <col min="1767" max="1767" width="9.140625" style="738"/>
    <col min="1768" max="1768" width="9.7109375" style="738" customWidth="1"/>
    <col min="1769" max="1770" width="9.140625" style="738"/>
    <col min="1771" max="1771" width="10.42578125" style="738" customWidth="1"/>
    <col min="1772" max="2014" width="9.140625" style="738"/>
    <col min="2015" max="2015" width="7" style="738" customWidth="1"/>
    <col min="2016" max="2016" width="33.140625" style="738" customWidth="1"/>
    <col min="2017" max="2017" width="6.42578125" style="738" customWidth="1"/>
    <col min="2018" max="2018" width="29" style="738" customWidth="1"/>
    <col min="2019" max="2019" width="11.42578125" style="738" customWidth="1"/>
    <col min="2020" max="2020" width="10.7109375" style="738" customWidth="1"/>
    <col min="2021" max="2021" width="10.85546875" style="738" customWidth="1"/>
    <col min="2022" max="2022" width="11.28515625" style="738" customWidth="1"/>
    <col min="2023" max="2023" width="9.140625" style="738"/>
    <col min="2024" max="2024" width="9.7109375" style="738" customWidth="1"/>
    <col min="2025" max="2026" width="9.140625" style="738"/>
    <col min="2027" max="2027" width="10.42578125" style="738" customWidth="1"/>
    <col min="2028" max="2270" width="9.140625" style="738"/>
    <col min="2271" max="2271" width="7" style="738" customWidth="1"/>
    <col min="2272" max="2272" width="33.140625" style="738" customWidth="1"/>
    <col min="2273" max="2273" width="6.42578125" style="738" customWidth="1"/>
    <col min="2274" max="2274" width="29" style="738" customWidth="1"/>
    <col min="2275" max="2275" width="11.42578125" style="738" customWidth="1"/>
    <col min="2276" max="2276" width="10.7109375" style="738" customWidth="1"/>
    <col min="2277" max="2277" width="10.85546875" style="738" customWidth="1"/>
    <col min="2278" max="2278" width="11.28515625" style="738" customWidth="1"/>
    <col min="2279" max="2279" width="9.140625" style="738"/>
    <col min="2280" max="2280" width="9.7109375" style="738" customWidth="1"/>
    <col min="2281" max="2282" width="9.140625" style="738"/>
    <col min="2283" max="2283" width="10.42578125" style="738" customWidth="1"/>
    <col min="2284" max="2526" width="9.140625" style="738"/>
    <col min="2527" max="2527" width="7" style="738" customWidth="1"/>
    <col min="2528" max="2528" width="33.140625" style="738" customWidth="1"/>
    <col min="2529" max="2529" width="6.42578125" style="738" customWidth="1"/>
    <col min="2530" max="2530" width="29" style="738" customWidth="1"/>
    <col min="2531" max="2531" width="11.42578125" style="738" customWidth="1"/>
    <col min="2532" max="2532" width="10.7109375" style="738" customWidth="1"/>
    <col min="2533" max="2533" width="10.85546875" style="738" customWidth="1"/>
    <col min="2534" max="2534" width="11.28515625" style="738" customWidth="1"/>
    <col min="2535" max="2535" width="9.140625" style="738"/>
    <col min="2536" max="2536" width="9.7109375" style="738" customWidth="1"/>
    <col min="2537" max="2538" width="9.140625" style="738"/>
    <col min="2539" max="2539" width="10.42578125" style="738" customWidth="1"/>
    <col min="2540" max="2782" width="9.140625" style="738"/>
    <col min="2783" max="2783" width="7" style="738" customWidth="1"/>
    <col min="2784" max="2784" width="33.140625" style="738" customWidth="1"/>
    <col min="2785" max="2785" width="6.42578125" style="738" customWidth="1"/>
    <col min="2786" max="2786" width="29" style="738" customWidth="1"/>
    <col min="2787" max="2787" width="11.42578125" style="738" customWidth="1"/>
    <col min="2788" max="2788" width="10.7109375" style="738" customWidth="1"/>
    <col min="2789" max="2789" width="10.85546875" style="738" customWidth="1"/>
    <col min="2790" max="2790" width="11.28515625" style="738" customWidth="1"/>
    <col min="2791" max="2791" width="9.140625" style="738"/>
    <col min="2792" max="2792" width="9.7109375" style="738" customWidth="1"/>
    <col min="2793" max="2794" width="9.140625" style="738"/>
    <col min="2795" max="2795" width="10.42578125" style="738" customWidth="1"/>
    <col min="2796" max="3038" width="9.140625" style="738"/>
    <col min="3039" max="3039" width="7" style="738" customWidth="1"/>
    <col min="3040" max="3040" width="33.140625" style="738" customWidth="1"/>
    <col min="3041" max="3041" width="6.42578125" style="738" customWidth="1"/>
    <col min="3042" max="3042" width="29" style="738" customWidth="1"/>
    <col min="3043" max="3043" width="11.42578125" style="738" customWidth="1"/>
    <col min="3044" max="3044" width="10.7109375" style="738" customWidth="1"/>
    <col min="3045" max="3045" width="10.85546875" style="738" customWidth="1"/>
    <col min="3046" max="3046" width="11.28515625" style="738" customWidth="1"/>
    <col min="3047" max="3047" width="9.140625" style="738"/>
    <col min="3048" max="3048" width="9.7109375" style="738" customWidth="1"/>
    <col min="3049" max="3050" width="9.140625" style="738"/>
    <col min="3051" max="3051" width="10.42578125" style="738" customWidth="1"/>
    <col min="3052" max="3294" width="9.140625" style="738"/>
    <col min="3295" max="3295" width="7" style="738" customWidth="1"/>
    <col min="3296" max="3296" width="33.140625" style="738" customWidth="1"/>
    <col min="3297" max="3297" width="6.42578125" style="738" customWidth="1"/>
    <col min="3298" max="3298" width="29" style="738" customWidth="1"/>
    <col min="3299" max="3299" width="11.42578125" style="738" customWidth="1"/>
    <col min="3300" max="3300" width="10.7109375" style="738" customWidth="1"/>
    <col min="3301" max="3301" width="10.85546875" style="738" customWidth="1"/>
    <col min="3302" max="3302" width="11.28515625" style="738" customWidth="1"/>
    <col min="3303" max="3303" width="9.140625" style="738"/>
    <col min="3304" max="3304" width="9.7109375" style="738" customWidth="1"/>
    <col min="3305" max="3306" width="9.140625" style="738"/>
    <col min="3307" max="3307" width="10.42578125" style="738" customWidth="1"/>
    <col min="3308" max="3550" width="9.140625" style="738"/>
    <col min="3551" max="3551" width="7" style="738" customWidth="1"/>
    <col min="3552" max="3552" width="33.140625" style="738" customWidth="1"/>
    <col min="3553" max="3553" width="6.42578125" style="738" customWidth="1"/>
    <col min="3554" max="3554" width="29" style="738" customWidth="1"/>
    <col min="3555" max="3555" width="11.42578125" style="738" customWidth="1"/>
    <col min="3556" max="3556" width="10.7109375" style="738" customWidth="1"/>
    <col min="3557" max="3557" width="10.85546875" style="738" customWidth="1"/>
    <col min="3558" max="3558" width="11.28515625" style="738" customWidth="1"/>
    <col min="3559" max="3559" width="9.140625" style="738"/>
    <col min="3560" max="3560" width="9.7109375" style="738" customWidth="1"/>
    <col min="3561" max="3562" width="9.140625" style="738"/>
    <col min="3563" max="3563" width="10.42578125" style="738" customWidth="1"/>
    <col min="3564" max="3806" width="9.140625" style="738"/>
    <col min="3807" max="3807" width="7" style="738" customWidth="1"/>
    <col min="3808" max="3808" width="33.140625" style="738" customWidth="1"/>
    <col min="3809" max="3809" width="6.42578125" style="738" customWidth="1"/>
    <col min="3810" max="3810" width="29" style="738" customWidth="1"/>
    <col min="3811" max="3811" width="11.42578125" style="738" customWidth="1"/>
    <col min="3812" max="3812" width="10.7109375" style="738" customWidth="1"/>
    <col min="3813" max="3813" width="10.85546875" style="738" customWidth="1"/>
    <col min="3814" max="3814" width="11.28515625" style="738" customWidth="1"/>
    <col min="3815" max="3815" width="9.140625" style="738"/>
    <col min="3816" max="3816" width="9.7109375" style="738" customWidth="1"/>
    <col min="3817" max="3818" width="9.140625" style="738"/>
    <col min="3819" max="3819" width="10.42578125" style="738" customWidth="1"/>
    <col min="3820" max="4062" width="9.140625" style="738"/>
    <col min="4063" max="4063" width="7" style="738" customWidth="1"/>
    <col min="4064" max="4064" width="33.140625" style="738" customWidth="1"/>
    <col min="4065" max="4065" width="6.42578125" style="738" customWidth="1"/>
    <col min="4066" max="4066" width="29" style="738" customWidth="1"/>
    <col min="4067" max="4067" width="11.42578125" style="738" customWidth="1"/>
    <col min="4068" max="4068" width="10.7109375" style="738" customWidth="1"/>
    <col min="4069" max="4069" width="10.85546875" style="738" customWidth="1"/>
    <col min="4070" max="4070" width="11.28515625" style="738" customWidth="1"/>
    <col min="4071" max="4071" width="9.140625" style="738"/>
    <col min="4072" max="4072" width="9.7109375" style="738" customWidth="1"/>
    <col min="4073" max="4074" width="9.140625" style="738"/>
    <col min="4075" max="4075" width="10.42578125" style="738" customWidth="1"/>
    <col min="4076" max="4318" width="9.140625" style="738"/>
    <col min="4319" max="4319" width="7" style="738" customWidth="1"/>
    <col min="4320" max="4320" width="33.140625" style="738" customWidth="1"/>
    <col min="4321" max="4321" width="6.42578125" style="738" customWidth="1"/>
    <col min="4322" max="4322" width="29" style="738" customWidth="1"/>
    <col min="4323" max="4323" width="11.42578125" style="738" customWidth="1"/>
    <col min="4324" max="4324" width="10.7109375" style="738" customWidth="1"/>
    <col min="4325" max="4325" width="10.85546875" style="738" customWidth="1"/>
    <col min="4326" max="4326" width="11.28515625" style="738" customWidth="1"/>
    <col min="4327" max="4327" width="9.140625" style="738"/>
    <col min="4328" max="4328" width="9.7109375" style="738" customWidth="1"/>
    <col min="4329" max="4330" width="9.140625" style="738"/>
    <col min="4331" max="4331" width="10.42578125" style="738" customWidth="1"/>
    <col min="4332" max="4574" width="9.140625" style="738"/>
    <col min="4575" max="4575" width="7" style="738" customWidth="1"/>
    <col min="4576" max="4576" width="33.140625" style="738" customWidth="1"/>
    <col min="4577" max="4577" width="6.42578125" style="738" customWidth="1"/>
    <col min="4578" max="4578" width="29" style="738" customWidth="1"/>
    <col min="4579" max="4579" width="11.42578125" style="738" customWidth="1"/>
    <col min="4580" max="4580" width="10.7109375" style="738" customWidth="1"/>
    <col min="4581" max="4581" width="10.85546875" style="738" customWidth="1"/>
    <col min="4582" max="4582" width="11.28515625" style="738" customWidth="1"/>
    <col min="4583" max="4583" width="9.140625" style="738"/>
    <col min="4584" max="4584" width="9.7109375" style="738" customWidth="1"/>
    <col min="4585" max="4586" width="9.140625" style="738"/>
    <col min="4587" max="4587" width="10.42578125" style="738" customWidth="1"/>
    <col min="4588" max="4830" width="9.140625" style="738"/>
    <col min="4831" max="4831" width="7" style="738" customWidth="1"/>
    <col min="4832" max="4832" width="33.140625" style="738" customWidth="1"/>
    <col min="4833" max="4833" width="6.42578125" style="738" customWidth="1"/>
    <col min="4834" max="4834" width="29" style="738" customWidth="1"/>
    <col min="4835" max="4835" width="11.42578125" style="738" customWidth="1"/>
    <col min="4836" max="4836" width="10.7109375" style="738" customWidth="1"/>
    <col min="4837" max="4837" width="10.85546875" style="738" customWidth="1"/>
    <col min="4838" max="4838" width="11.28515625" style="738" customWidth="1"/>
    <col min="4839" max="4839" width="9.140625" style="738"/>
    <col min="4840" max="4840" width="9.7109375" style="738" customWidth="1"/>
    <col min="4841" max="4842" width="9.140625" style="738"/>
    <col min="4843" max="4843" width="10.42578125" style="738" customWidth="1"/>
    <col min="4844" max="5086" width="9.140625" style="738"/>
    <col min="5087" max="5087" width="7" style="738" customWidth="1"/>
    <col min="5088" max="5088" width="33.140625" style="738" customWidth="1"/>
    <col min="5089" max="5089" width="6.42578125" style="738" customWidth="1"/>
    <col min="5090" max="5090" width="29" style="738" customWidth="1"/>
    <col min="5091" max="5091" width="11.42578125" style="738" customWidth="1"/>
    <col min="5092" max="5092" width="10.7109375" style="738" customWidth="1"/>
    <col min="5093" max="5093" width="10.85546875" style="738" customWidth="1"/>
    <col min="5094" max="5094" width="11.28515625" style="738" customWidth="1"/>
    <col min="5095" max="5095" width="9.140625" style="738"/>
    <col min="5096" max="5096" width="9.7109375" style="738" customWidth="1"/>
    <col min="5097" max="5098" width="9.140625" style="738"/>
    <col min="5099" max="5099" width="10.42578125" style="738" customWidth="1"/>
    <col min="5100" max="5342" width="9.140625" style="738"/>
    <col min="5343" max="5343" width="7" style="738" customWidth="1"/>
    <col min="5344" max="5344" width="33.140625" style="738" customWidth="1"/>
    <col min="5345" max="5345" width="6.42578125" style="738" customWidth="1"/>
    <col min="5346" max="5346" width="29" style="738" customWidth="1"/>
    <col min="5347" max="5347" width="11.42578125" style="738" customWidth="1"/>
    <col min="5348" max="5348" width="10.7109375" style="738" customWidth="1"/>
    <col min="5349" max="5349" width="10.85546875" style="738" customWidth="1"/>
    <col min="5350" max="5350" width="11.28515625" style="738" customWidth="1"/>
    <col min="5351" max="5351" width="9.140625" style="738"/>
    <col min="5352" max="5352" width="9.7109375" style="738" customWidth="1"/>
    <col min="5353" max="5354" width="9.140625" style="738"/>
    <col min="5355" max="5355" width="10.42578125" style="738" customWidth="1"/>
    <col min="5356" max="5598" width="9.140625" style="738"/>
    <col min="5599" max="5599" width="7" style="738" customWidth="1"/>
    <col min="5600" max="5600" width="33.140625" style="738" customWidth="1"/>
    <col min="5601" max="5601" width="6.42578125" style="738" customWidth="1"/>
    <col min="5602" max="5602" width="29" style="738" customWidth="1"/>
    <col min="5603" max="5603" width="11.42578125" style="738" customWidth="1"/>
    <col min="5604" max="5604" width="10.7109375" style="738" customWidth="1"/>
    <col min="5605" max="5605" width="10.85546875" style="738" customWidth="1"/>
    <col min="5606" max="5606" width="11.28515625" style="738" customWidth="1"/>
    <col min="5607" max="5607" width="9.140625" style="738"/>
    <col min="5608" max="5608" width="9.7109375" style="738" customWidth="1"/>
    <col min="5609" max="5610" width="9.140625" style="738"/>
    <col min="5611" max="5611" width="10.42578125" style="738" customWidth="1"/>
    <col min="5612" max="5854" width="9.140625" style="738"/>
    <col min="5855" max="5855" width="7" style="738" customWidth="1"/>
    <col min="5856" max="5856" width="33.140625" style="738" customWidth="1"/>
    <col min="5857" max="5857" width="6.42578125" style="738" customWidth="1"/>
    <col min="5858" max="5858" width="29" style="738" customWidth="1"/>
    <col min="5859" max="5859" width="11.42578125" style="738" customWidth="1"/>
    <col min="5860" max="5860" width="10.7109375" style="738" customWidth="1"/>
    <col min="5861" max="5861" width="10.85546875" style="738" customWidth="1"/>
    <col min="5862" max="5862" width="11.28515625" style="738" customWidth="1"/>
    <col min="5863" max="5863" width="9.140625" style="738"/>
    <col min="5864" max="5864" width="9.7109375" style="738" customWidth="1"/>
    <col min="5865" max="5866" width="9.140625" style="738"/>
    <col min="5867" max="5867" width="10.42578125" style="738" customWidth="1"/>
    <col min="5868" max="6110" width="9.140625" style="738"/>
    <col min="6111" max="6111" width="7" style="738" customWidth="1"/>
    <col min="6112" max="6112" width="33.140625" style="738" customWidth="1"/>
    <col min="6113" max="6113" width="6.42578125" style="738" customWidth="1"/>
    <col min="6114" max="6114" width="29" style="738" customWidth="1"/>
    <col min="6115" max="6115" width="11.42578125" style="738" customWidth="1"/>
    <col min="6116" max="6116" width="10.7109375" style="738" customWidth="1"/>
    <col min="6117" max="6117" width="10.85546875" style="738" customWidth="1"/>
    <col min="6118" max="6118" width="11.28515625" style="738" customWidth="1"/>
    <col min="6119" max="6119" width="9.140625" style="738"/>
    <col min="6120" max="6120" width="9.7109375" style="738" customWidth="1"/>
    <col min="6121" max="6122" width="9.140625" style="738"/>
    <col min="6123" max="6123" width="10.42578125" style="738" customWidth="1"/>
    <col min="6124" max="6366" width="9.140625" style="738"/>
    <col min="6367" max="6367" width="7" style="738" customWidth="1"/>
    <col min="6368" max="6368" width="33.140625" style="738" customWidth="1"/>
    <col min="6369" max="6369" width="6.42578125" style="738" customWidth="1"/>
    <col min="6370" max="6370" width="29" style="738" customWidth="1"/>
    <col min="6371" max="6371" width="11.42578125" style="738" customWidth="1"/>
    <col min="6372" max="6372" width="10.7109375" style="738" customWidth="1"/>
    <col min="6373" max="6373" width="10.85546875" style="738" customWidth="1"/>
    <col min="6374" max="6374" width="11.28515625" style="738" customWidth="1"/>
    <col min="6375" max="6375" width="9.140625" style="738"/>
    <col min="6376" max="6376" width="9.7109375" style="738" customWidth="1"/>
    <col min="6377" max="6378" width="9.140625" style="738"/>
    <col min="6379" max="6379" width="10.42578125" style="738" customWidth="1"/>
    <col min="6380" max="6622" width="9.140625" style="738"/>
    <col min="6623" max="6623" width="7" style="738" customWidth="1"/>
    <col min="6624" max="6624" width="33.140625" style="738" customWidth="1"/>
    <col min="6625" max="6625" width="6.42578125" style="738" customWidth="1"/>
    <col min="6626" max="6626" width="29" style="738" customWidth="1"/>
    <col min="6627" max="6627" width="11.42578125" style="738" customWidth="1"/>
    <col min="6628" max="6628" width="10.7109375" style="738" customWidth="1"/>
    <col min="6629" max="6629" width="10.85546875" style="738" customWidth="1"/>
    <col min="6630" max="6630" width="11.28515625" style="738" customWidth="1"/>
    <col min="6631" max="6631" width="9.140625" style="738"/>
    <col min="6632" max="6632" width="9.7109375" style="738" customWidth="1"/>
    <col min="6633" max="6634" width="9.140625" style="738"/>
    <col min="6635" max="6635" width="10.42578125" style="738" customWidth="1"/>
    <col min="6636" max="6878" width="9.140625" style="738"/>
    <col min="6879" max="6879" width="7" style="738" customWidth="1"/>
    <col min="6880" max="6880" width="33.140625" style="738" customWidth="1"/>
    <col min="6881" max="6881" width="6.42578125" style="738" customWidth="1"/>
    <col min="6882" max="6882" width="29" style="738" customWidth="1"/>
    <col min="6883" max="6883" width="11.42578125" style="738" customWidth="1"/>
    <col min="6884" max="6884" width="10.7109375" style="738" customWidth="1"/>
    <col min="6885" max="6885" width="10.85546875" style="738" customWidth="1"/>
    <col min="6886" max="6886" width="11.28515625" style="738" customWidth="1"/>
    <col min="6887" max="6887" width="9.140625" style="738"/>
    <col min="6888" max="6888" width="9.7109375" style="738" customWidth="1"/>
    <col min="6889" max="6890" width="9.140625" style="738"/>
    <col min="6891" max="6891" width="10.42578125" style="738" customWidth="1"/>
    <col min="6892" max="7134" width="9.140625" style="738"/>
    <col min="7135" max="7135" width="7" style="738" customWidth="1"/>
    <col min="7136" max="7136" width="33.140625" style="738" customWidth="1"/>
    <col min="7137" max="7137" width="6.42578125" style="738" customWidth="1"/>
    <col min="7138" max="7138" width="29" style="738" customWidth="1"/>
    <col min="7139" max="7139" width="11.42578125" style="738" customWidth="1"/>
    <col min="7140" max="7140" width="10.7109375" style="738" customWidth="1"/>
    <col min="7141" max="7141" width="10.85546875" style="738" customWidth="1"/>
    <col min="7142" max="7142" width="11.28515625" style="738" customWidth="1"/>
    <col min="7143" max="7143" width="9.140625" style="738"/>
    <col min="7144" max="7144" width="9.7109375" style="738" customWidth="1"/>
    <col min="7145" max="7146" width="9.140625" style="738"/>
    <col min="7147" max="7147" width="10.42578125" style="738" customWidth="1"/>
    <col min="7148" max="7390" width="9.140625" style="738"/>
    <col min="7391" max="7391" width="7" style="738" customWidth="1"/>
    <col min="7392" max="7392" width="33.140625" style="738" customWidth="1"/>
    <col min="7393" max="7393" width="6.42578125" style="738" customWidth="1"/>
    <col min="7394" max="7394" width="29" style="738" customWidth="1"/>
    <col min="7395" max="7395" width="11.42578125" style="738" customWidth="1"/>
    <col min="7396" max="7396" width="10.7109375" style="738" customWidth="1"/>
    <col min="7397" max="7397" width="10.85546875" style="738" customWidth="1"/>
    <col min="7398" max="7398" width="11.28515625" style="738" customWidth="1"/>
    <col min="7399" max="7399" width="9.140625" style="738"/>
    <col min="7400" max="7400" width="9.7109375" style="738" customWidth="1"/>
    <col min="7401" max="7402" width="9.140625" style="738"/>
    <col min="7403" max="7403" width="10.42578125" style="738" customWidth="1"/>
    <col min="7404" max="7646" width="9.140625" style="738"/>
    <col min="7647" max="7647" width="7" style="738" customWidth="1"/>
    <col min="7648" max="7648" width="33.140625" style="738" customWidth="1"/>
    <col min="7649" max="7649" width="6.42578125" style="738" customWidth="1"/>
    <col min="7650" max="7650" width="29" style="738" customWidth="1"/>
    <col min="7651" max="7651" width="11.42578125" style="738" customWidth="1"/>
    <col min="7652" max="7652" width="10.7109375" style="738" customWidth="1"/>
    <col min="7653" max="7653" width="10.85546875" style="738" customWidth="1"/>
    <col min="7654" max="7654" width="11.28515625" style="738" customWidth="1"/>
    <col min="7655" max="7655" width="9.140625" style="738"/>
    <col min="7656" max="7656" width="9.7109375" style="738" customWidth="1"/>
    <col min="7657" max="7658" width="9.140625" style="738"/>
    <col min="7659" max="7659" width="10.42578125" style="738" customWidth="1"/>
    <col min="7660" max="7902" width="9.140625" style="738"/>
    <col min="7903" max="7903" width="7" style="738" customWidth="1"/>
    <col min="7904" max="7904" width="33.140625" style="738" customWidth="1"/>
    <col min="7905" max="7905" width="6.42578125" style="738" customWidth="1"/>
    <col min="7906" max="7906" width="29" style="738" customWidth="1"/>
    <col min="7907" max="7907" width="11.42578125" style="738" customWidth="1"/>
    <col min="7908" max="7908" width="10.7109375" style="738" customWidth="1"/>
    <col min="7909" max="7909" width="10.85546875" style="738" customWidth="1"/>
    <col min="7910" max="7910" width="11.28515625" style="738" customWidth="1"/>
    <col min="7911" max="7911" width="9.140625" style="738"/>
    <col min="7912" max="7912" width="9.7109375" style="738" customWidth="1"/>
    <col min="7913" max="7914" width="9.140625" style="738"/>
    <col min="7915" max="7915" width="10.42578125" style="738" customWidth="1"/>
    <col min="7916" max="8158" width="9.140625" style="738"/>
    <col min="8159" max="8159" width="7" style="738" customWidth="1"/>
    <col min="8160" max="8160" width="33.140625" style="738" customWidth="1"/>
    <col min="8161" max="8161" width="6.42578125" style="738" customWidth="1"/>
    <col min="8162" max="8162" width="29" style="738" customWidth="1"/>
    <col min="8163" max="8163" width="11.42578125" style="738" customWidth="1"/>
    <col min="8164" max="8164" width="10.7109375" style="738" customWidth="1"/>
    <col min="8165" max="8165" width="10.85546875" style="738" customWidth="1"/>
    <col min="8166" max="8166" width="11.28515625" style="738" customWidth="1"/>
    <col min="8167" max="8167" width="9.140625" style="738"/>
    <col min="8168" max="8168" width="9.7109375" style="738" customWidth="1"/>
    <col min="8169" max="8170" width="9.140625" style="738"/>
    <col min="8171" max="8171" width="10.42578125" style="738" customWidth="1"/>
    <col min="8172" max="8414" width="9.140625" style="738"/>
    <col min="8415" max="8415" width="7" style="738" customWidth="1"/>
    <col min="8416" max="8416" width="33.140625" style="738" customWidth="1"/>
    <col min="8417" max="8417" width="6.42578125" style="738" customWidth="1"/>
    <col min="8418" max="8418" width="29" style="738" customWidth="1"/>
    <col min="8419" max="8419" width="11.42578125" style="738" customWidth="1"/>
    <col min="8420" max="8420" width="10.7109375" style="738" customWidth="1"/>
    <col min="8421" max="8421" width="10.85546875" style="738" customWidth="1"/>
    <col min="8422" max="8422" width="11.28515625" style="738" customWidth="1"/>
    <col min="8423" max="8423" width="9.140625" style="738"/>
    <col min="8424" max="8424" width="9.7109375" style="738" customWidth="1"/>
    <col min="8425" max="8426" width="9.140625" style="738"/>
    <col min="8427" max="8427" width="10.42578125" style="738" customWidth="1"/>
    <col min="8428" max="8670" width="9.140625" style="738"/>
    <col min="8671" max="8671" width="7" style="738" customWidth="1"/>
    <col min="8672" max="8672" width="33.140625" style="738" customWidth="1"/>
    <col min="8673" max="8673" width="6.42578125" style="738" customWidth="1"/>
    <col min="8674" max="8674" width="29" style="738" customWidth="1"/>
    <col min="8675" max="8675" width="11.42578125" style="738" customWidth="1"/>
    <col min="8676" max="8676" width="10.7109375" style="738" customWidth="1"/>
    <col min="8677" max="8677" width="10.85546875" style="738" customWidth="1"/>
    <col min="8678" max="8678" width="11.28515625" style="738" customWidth="1"/>
    <col min="8679" max="8679" width="9.140625" style="738"/>
    <col min="8680" max="8680" width="9.7109375" style="738" customWidth="1"/>
    <col min="8681" max="8682" width="9.140625" style="738"/>
    <col min="8683" max="8683" width="10.42578125" style="738" customWidth="1"/>
    <col min="8684" max="8926" width="9.140625" style="738"/>
    <col min="8927" max="8927" width="7" style="738" customWidth="1"/>
    <col min="8928" max="8928" width="33.140625" style="738" customWidth="1"/>
    <col min="8929" max="8929" width="6.42578125" style="738" customWidth="1"/>
    <col min="8930" max="8930" width="29" style="738" customWidth="1"/>
    <col min="8931" max="8931" width="11.42578125" style="738" customWidth="1"/>
    <col min="8932" max="8932" width="10.7109375" style="738" customWidth="1"/>
    <col min="8933" max="8933" width="10.85546875" style="738" customWidth="1"/>
    <col min="8934" max="8934" width="11.28515625" style="738" customWidth="1"/>
    <col min="8935" max="8935" width="9.140625" style="738"/>
    <col min="8936" max="8936" width="9.7109375" style="738" customWidth="1"/>
    <col min="8937" max="8938" width="9.140625" style="738"/>
    <col min="8939" max="8939" width="10.42578125" style="738" customWidth="1"/>
    <col min="8940" max="9182" width="9.140625" style="738"/>
    <col min="9183" max="9183" width="7" style="738" customWidth="1"/>
    <col min="9184" max="9184" width="33.140625" style="738" customWidth="1"/>
    <col min="9185" max="9185" width="6.42578125" style="738" customWidth="1"/>
    <col min="9186" max="9186" width="29" style="738" customWidth="1"/>
    <col min="9187" max="9187" width="11.42578125" style="738" customWidth="1"/>
    <col min="9188" max="9188" width="10.7109375" style="738" customWidth="1"/>
    <col min="9189" max="9189" width="10.85546875" style="738" customWidth="1"/>
    <col min="9190" max="9190" width="11.28515625" style="738" customWidth="1"/>
    <col min="9191" max="9191" width="9.140625" style="738"/>
    <col min="9192" max="9192" width="9.7109375" style="738" customWidth="1"/>
    <col min="9193" max="9194" width="9.140625" style="738"/>
    <col min="9195" max="9195" width="10.42578125" style="738" customWidth="1"/>
    <col min="9196" max="9438" width="9.140625" style="738"/>
    <col min="9439" max="9439" width="7" style="738" customWidth="1"/>
    <col min="9440" max="9440" width="33.140625" style="738" customWidth="1"/>
    <col min="9441" max="9441" width="6.42578125" style="738" customWidth="1"/>
    <col min="9442" max="9442" width="29" style="738" customWidth="1"/>
    <col min="9443" max="9443" width="11.42578125" style="738" customWidth="1"/>
    <col min="9444" max="9444" width="10.7109375" style="738" customWidth="1"/>
    <col min="9445" max="9445" width="10.85546875" style="738" customWidth="1"/>
    <col min="9446" max="9446" width="11.28515625" style="738" customWidth="1"/>
    <col min="9447" max="9447" width="9.140625" style="738"/>
    <col min="9448" max="9448" width="9.7109375" style="738" customWidth="1"/>
    <col min="9449" max="9450" width="9.140625" style="738"/>
    <col min="9451" max="9451" width="10.42578125" style="738" customWidth="1"/>
    <col min="9452" max="9694" width="9.140625" style="738"/>
    <col min="9695" max="9695" width="7" style="738" customWidth="1"/>
    <col min="9696" max="9696" width="33.140625" style="738" customWidth="1"/>
    <col min="9697" max="9697" width="6.42578125" style="738" customWidth="1"/>
    <col min="9698" max="9698" width="29" style="738" customWidth="1"/>
    <col min="9699" max="9699" width="11.42578125" style="738" customWidth="1"/>
    <col min="9700" max="9700" width="10.7109375" style="738" customWidth="1"/>
    <col min="9701" max="9701" width="10.85546875" style="738" customWidth="1"/>
    <col min="9702" max="9702" width="11.28515625" style="738" customWidth="1"/>
    <col min="9703" max="9703" width="9.140625" style="738"/>
    <col min="9704" max="9704" width="9.7109375" style="738" customWidth="1"/>
    <col min="9705" max="9706" width="9.140625" style="738"/>
    <col min="9707" max="9707" width="10.42578125" style="738" customWidth="1"/>
    <col min="9708" max="9950" width="9.140625" style="738"/>
    <col min="9951" max="9951" width="7" style="738" customWidth="1"/>
    <col min="9952" max="9952" width="33.140625" style="738" customWidth="1"/>
    <col min="9953" max="9953" width="6.42578125" style="738" customWidth="1"/>
    <col min="9954" max="9954" width="29" style="738" customWidth="1"/>
    <col min="9955" max="9955" width="11.42578125" style="738" customWidth="1"/>
    <col min="9956" max="9956" width="10.7109375" style="738" customWidth="1"/>
    <col min="9957" max="9957" width="10.85546875" style="738" customWidth="1"/>
    <col min="9958" max="9958" width="11.28515625" style="738" customWidth="1"/>
    <col min="9959" max="9959" width="9.140625" style="738"/>
    <col min="9960" max="9960" width="9.7109375" style="738" customWidth="1"/>
    <col min="9961" max="9962" width="9.140625" style="738"/>
    <col min="9963" max="9963" width="10.42578125" style="738" customWidth="1"/>
    <col min="9964" max="10206" width="9.140625" style="738"/>
    <col min="10207" max="10207" width="7" style="738" customWidth="1"/>
    <col min="10208" max="10208" width="33.140625" style="738" customWidth="1"/>
    <col min="10209" max="10209" width="6.42578125" style="738" customWidth="1"/>
    <col min="10210" max="10210" width="29" style="738" customWidth="1"/>
    <col min="10211" max="10211" width="11.42578125" style="738" customWidth="1"/>
    <col min="10212" max="10212" width="10.7109375" style="738" customWidth="1"/>
    <col min="10213" max="10213" width="10.85546875" style="738" customWidth="1"/>
    <col min="10214" max="10214" width="11.28515625" style="738" customWidth="1"/>
    <col min="10215" max="10215" width="9.140625" style="738"/>
    <col min="10216" max="10216" width="9.7109375" style="738" customWidth="1"/>
    <col min="10217" max="10218" width="9.140625" style="738"/>
    <col min="10219" max="10219" width="10.42578125" style="738" customWidth="1"/>
    <col min="10220" max="10462" width="9.140625" style="738"/>
    <col min="10463" max="10463" width="7" style="738" customWidth="1"/>
    <col min="10464" max="10464" width="33.140625" style="738" customWidth="1"/>
    <col min="10465" max="10465" width="6.42578125" style="738" customWidth="1"/>
    <col min="10466" max="10466" width="29" style="738" customWidth="1"/>
    <col min="10467" max="10467" width="11.42578125" style="738" customWidth="1"/>
    <col min="10468" max="10468" width="10.7109375" style="738" customWidth="1"/>
    <col min="10469" max="10469" width="10.85546875" style="738" customWidth="1"/>
    <col min="10470" max="10470" width="11.28515625" style="738" customWidth="1"/>
    <col min="10471" max="10471" width="9.140625" style="738"/>
    <col min="10472" max="10472" width="9.7109375" style="738" customWidth="1"/>
    <col min="10473" max="10474" width="9.140625" style="738"/>
    <col min="10475" max="10475" width="10.42578125" style="738" customWidth="1"/>
    <col min="10476" max="10718" width="9.140625" style="738"/>
    <col min="10719" max="10719" width="7" style="738" customWidth="1"/>
    <col min="10720" max="10720" width="33.140625" style="738" customWidth="1"/>
    <col min="10721" max="10721" width="6.42578125" style="738" customWidth="1"/>
    <col min="10722" max="10722" width="29" style="738" customWidth="1"/>
    <col min="10723" max="10723" width="11.42578125" style="738" customWidth="1"/>
    <col min="10724" max="10724" width="10.7109375" style="738" customWidth="1"/>
    <col min="10725" max="10725" width="10.85546875" style="738" customWidth="1"/>
    <col min="10726" max="10726" width="11.28515625" style="738" customWidth="1"/>
    <col min="10727" max="10727" width="9.140625" style="738"/>
    <col min="10728" max="10728" width="9.7109375" style="738" customWidth="1"/>
    <col min="10729" max="10730" width="9.140625" style="738"/>
    <col min="10731" max="10731" width="10.42578125" style="738" customWidth="1"/>
    <col min="10732" max="10974" width="9.140625" style="738"/>
    <col min="10975" max="10975" width="7" style="738" customWidth="1"/>
    <col min="10976" max="10976" width="33.140625" style="738" customWidth="1"/>
    <col min="10977" max="10977" width="6.42578125" style="738" customWidth="1"/>
    <col min="10978" max="10978" width="29" style="738" customWidth="1"/>
    <col min="10979" max="10979" width="11.42578125" style="738" customWidth="1"/>
    <col min="10980" max="10980" width="10.7109375" style="738" customWidth="1"/>
    <col min="10981" max="10981" width="10.85546875" style="738" customWidth="1"/>
    <col min="10982" max="10982" width="11.28515625" style="738" customWidth="1"/>
    <col min="10983" max="10983" width="9.140625" style="738"/>
    <col min="10984" max="10984" width="9.7109375" style="738" customWidth="1"/>
    <col min="10985" max="10986" width="9.140625" style="738"/>
    <col min="10987" max="10987" width="10.42578125" style="738" customWidth="1"/>
    <col min="10988" max="11230" width="9.140625" style="738"/>
    <col min="11231" max="11231" width="7" style="738" customWidth="1"/>
    <col min="11232" max="11232" width="33.140625" style="738" customWidth="1"/>
    <col min="11233" max="11233" width="6.42578125" style="738" customWidth="1"/>
    <col min="11234" max="11234" width="29" style="738" customWidth="1"/>
    <col min="11235" max="11235" width="11.42578125" style="738" customWidth="1"/>
    <col min="11236" max="11236" width="10.7109375" style="738" customWidth="1"/>
    <col min="11237" max="11237" width="10.85546875" style="738" customWidth="1"/>
    <col min="11238" max="11238" width="11.28515625" style="738" customWidth="1"/>
    <col min="11239" max="11239" width="9.140625" style="738"/>
    <col min="11240" max="11240" width="9.7109375" style="738" customWidth="1"/>
    <col min="11241" max="11242" width="9.140625" style="738"/>
    <col min="11243" max="11243" width="10.42578125" style="738" customWidth="1"/>
    <col min="11244" max="11486" width="9.140625" style="738"/>
    <col min="11487" max="11487" width="7" style="738" customWidth="1"/>
    <col min="11488" max="11488" width="33.140625" style="738" customWidth="1"/>
    <col min="11489" max="11489" width="6.42578125" style="738" customWidth="1"/>
    <col min="11490" max="11490" width="29" style="738" customWidth="1"/>
    <col min="11491" max="11491" width="11.42578125" style="738" customWidth="1"/>
    <col min="11492" max="11492" width="10.7109375" style="738" customWidth="1"/>
    <col min="11493" max="11493" width="10.85546875" style="738" customWidth="1"/>
    <col min="11494" max="11494" width="11.28515625" style="738" customWidth="1"/>
    <col min="11495" max="11495" width="9.140625" style="738"/>
    <col min="11496" max="11496" width="9.7109375" style="738" customWidth="1"/>
    <col min="11497" max="11498" width="9.140625" style="738"/>
    <col min="11499" max="11499" width="10.42578125" style="738" customWidth="1"/>
    <col min="11500" max="11742" width="9.140625" style="738"/>
    <col min="11743" max="11743" width="7" style="738" customWidth="1"/>
    <col min="11744" max="11744" width="33.140625" style="738" customWidth="1"/>
    <col min="11745" max="11745" width="6.42578125" style="738" customWidth="1"/>
    <col min="11746" max="11746" width="29" style="738" customWidth="1"/>
    <col min="11747" max="11747" width="11.42578125" style="738" customWidth="1"/>
    <col min="11748" max="11748" width="10.7109375" style="738" customWidth="1"/>
    <col min="11749" max="11749" width="10.85546875" style="738" customWidth="1"/>
    <col min="11750" max="11750" width="11.28515625" style="738" customWidth="1"/>
    <col min="11751" max="11751" width="9.140625" style="738"/>
    <col min="11752" max="11752" width="9.7109375" style="738" customWidth="1"/>
    <col min="11753" max="11754" width="9.140625" style="738"/>
    <col min="11755" max="11755" width="10.42578125" style="738" customWidth="1"/>
    <col min="11756" max="11998" width="9.140625" style="738"/>
    <col min="11999" max="11999" width="7" style="738" customWidth="1"/>
    <col min="12000" max="12000" width="33.140625" style="738" customWidth="1"/>
    <col min="12001" max="12001" width="6.42578125" style="738" customWidth="1"/>
    <col min="12002" max="12002" width="29" style="738" customWidth="1"/>
    <col min="12003" max="12003" width="11.42578125" style="738" customWidth="1"/>
    <col min="12004" max="12004" width="10.7109375" style="738" customWidth="1"/>
    <col min="12005" max="12005" width="10.85546875" style="738" customWidth="1"/>
    <col min="12006" max="12006" width="11.28515625" style="738" customWidth="1"/>
    <col min="12007" max="12007" width="9.140625" style="738"/>
    <col min="12008" max="12008" width="9.7109375" style="738" customWidth="1"/>
    <col min="12009" max="12010" width="9.140625" style="738"/>
    <col min="12011" max="12011" width="10.42578125" style="738" customWidth="1"/>
    <col min="12012" max="12254" width="9.140625" style="738"/>
    <col min="12255" max="12255" width="7" style="738" customWidth="1"/>
    <col min="12256" max="12256" width="33.140625" style="738" customWidth="1"/>
    <col min="12257" max="12257" width="6.42578125" style="738" customWidth="1"/>
    <col min="12258" max="12258" width="29" style="738" customWidth="1"/>
    <col min="12259" max="12259" width="11.42578125" style="738" customWidth="1"/>
    <col min="12260" max="12260" width="10.7109375" style="738" customWidth="1"/>
    <col min="12261" max="12261" width="10.85546875" style="738" customWidth="1"/>
    <col min="12262" max="12262" width="11.28515625" style="738" customWidth="1"/>
    <col min="12263" max="12263" width="9.140625" style="738"/>
    <col min="12264" max="12264" width="9.7109375" style="738" customWidth="1"/>
    <col min="12265" max="12266" width="9.140625" style="738"/>
    <col min="12267" max="12267" width="10.42578125" style="738" customWidth="1"/>
    <col min="12268" max="12510" width="9.140625" style="738"/>
    <col min="12511" max="12511" width="7" style="738" customWidth="1"/>
    <col min="12512" max="12512" width="33.140625" style="738" customWidth="1"/>
    <col min="12513" max="12513" width="6.42578125" style="738" customWidth="1"/>
    <col min="12514" max="12514" width="29" style="738" customWidth="1"/>
    <col min="12515" max="12515" width="11.42578125" style="738" customWidth="1"/>
    <col min="12516" max="12516" width="10.7109375" style="738" customWidth="1"/>
    <col min="12517" max="12517" width="10.85546875" style="738" customWidth="1"/>
    <col min="12518" max="12518" width="11.28515625" style="738" customWidth="1"/>
    <col min="12519" max="12519" width="9.140625" style="738"/>
    <col min="12520" max="12520" width="9.7109375" style="738" customWidth="1"/>
    <col min="12521" max="12522" width="9.140625" style="738"/>
    <col min="12523" max="12523" width="10.42578125" style="738" customWidth="1"/>
    <col min="12524" max="12766" width="9.140625" style="738"/>
    <col min="12767" max="12767" width="7" style="738" customWidth="1"/>
    <col min="12768" max="12768" width="33.140625" style="738" customWidth="1"/>
    <col min="12769" max="12769" width="6.42578125" style="738" customWidth="1"/>
    <col min="12770" max="12770" width="29" style="738" customWidth="1"/>
    <col min="12771" max="12771" width="11.42578125" style="738" customWidth="1"/>
    <col min="12772" max="12772" width="10.7109375" style="738" customWidth="1"/>
    <col min="12773" max="12773" width="10.85546875" style="738" customWidth="1"/>
    <col min="12774" max="12774" width="11.28515625" style="738" customWidth="1"/>
    <col min="12775" max="12775" width="9.140625" style="738"/>
    <col min="12776" max="12776" width="9.7109375" style="738" customWidth="1"/>
    <col min="12777" max="12778" width="9.140625" style="738"/>
    <col min="12779" max="12779" width="10.42578125" style="738" customWidth="1"/>
    <col min="12780" max="13022" width="9.140625" style="738"/>
    <col min="13023" max="13023" width="7" style="738" customWidth="1"/>
    <col min="13024" max="13024" width="33.140625" style="738" customWidth="1"/>
    <col min="13025" max="13025" width="6.42578125" style="738" customWidth="1"/>
    <col min="13026" max="13026" width="29" style="738" customWidth="1"/>
    <col min="13027" max="13027" width="11.42578125" style="738" customWidth="1"/>
    <col min="13028" max="13028" width="10.7109375" style="738" customWidth="1"/>
    <col min="13029" max="13029" width="10.85546875" style="738" customWidth="1"/>
    <col min="13030" max="13030" width="11.28515625" style="738" customWidth="1"/>
    <col min="13031" max="13031" width="9.140625" style="738"/>
    <col min="13032" max="13032" width="9.7109375" style="738" customWidth="1"/>
    <col min="13033" max="13034" width="9.140625" style="738"/>
    <col min="13035" max="13035" width="10.42578125" style="738" customWidth="1"/>
    <col min="13036" max="13278" width="9.140625" style="738"/>
    <col min="13279" max="13279" width="7" style="738" customWidth="1"/>
    <col min="13280" max="13280" width="33.140625" style="738" customWidth="1"/>
    <col min="13281" max="13281" width="6.42578125" style="738" customWidth="1"/>
    <col min="13282" max="13282" width="29" style="738" customWidth="1"/>
    <col min="13283" max="13283" width="11.42578125" style="738" customWidth="1"/>
    <col min="13284" max="13284" width="10.7109375" style="738" customWidth="1"/>
    <col min="13285" max="13285" width="10.85546875" style="738" customWidth="1"/>
    <col min="13286" max="13286" width="11.28515625" style="738" customWidth="1"/>
    <col min="13287" max="13287" width="9.140625" style="738"/>
    <col min="13288" max="13288" width="9.7109375" style="738" customWidth="1"/>
    <col min="13289" max="13290" width="9.140625" style="738"/>
    <col min="13291" max="13291" width="10.42578125" style="738" customWidth="1"/>
    <col min="13292" max="13534" width="9.140625" style="738"/>
    <col min="13535" max="13535" width="7" style="738" customWidth="1"/>
    <col min="13536" max="13536" width="33.140625" style="738" customWidth="1"/>
    <col min="13537" max="13537" width="6.42578125" style="738" customWidth="1"/>
    <col min="13538" max="13538" width="29" style="738" customWidth="1"/>
    <col min="13539" max="13539" width="11.42578125" style="738" customWidth="1"/>
    <col min="13540" max="13540" width="10.7109375" style="738" customWidth="1"/>
    <col min="13541" max="13541" width="10.85546875" style="738" customWidth="1"/>
    <col min="13542" max="13542" width="11.28515625" style="738" customWidth="1"/>
    <col min="13543" max="13543" width="9.140625" style="738"/>
    <col min="13544" max="13544" width="9.7109375" style="738" customWidth="1"/>
    <col min="13545" max="13546" width="9.140625" style="738"/>
    <col min="13547" max="13547" width="10.42578125" style="738" customWidth="1"/>
    <col min="13548" max="13790" width="9.140625" style="738"/>
    <col min="13791" max="13791" width="7" style="738" customWidth="1"/>
    <col min="13792" max="13792" width="33.140625" style="738" customWidth="1"/>
    <col min="13793" max="13793" width="6.42578125" style="738" customWidth="1"/>
    <col min="13794" max="13794" width="29" style="738" customWidth="1"/>
    <col min="13795" max="13795" width="11.42578125" style="738" customWidth="1"/>
    <col min="13796" max="13796" width="10.7109375" style="738" customWidth="1"/>
    <col min="13797" max="13797" width="10.85546875" style="738" customWidth="1"/>
    <col min="13798" max="13798" width="11.28515625" style="738" customWidth="1"/>
    <col min="13799" max="13799" width="9.140625" style="738"/>
    <col min="13800" max="13800" width="9.7109375" style="738" customWidth="1"/>
    <col min="13801" max="13802" width="9.140625" style="738"/>
    <col min="13803" max="13803" width="10.42578125" style="738" customWidth="1"/>
    <col min="13804" max="14046" width="9.140625" style="738"/>
    <col min="14047" max="14047" width="7" style="738" customWidth="1"/>
    <col min="14048" max="14048" width="33.140625" style="738" customWidth="1"/>
    <col min="14049" max="14049" width="6.42578125" style="738" customWidth="1"/>
    <col min="14050" max="14050" width="29" style="738" customWidth="1"/>
    <col min="14051" max="14051" width="11.42578125" style="738" customWidth="1"/>
    <col min="14052" max="14052" width="10.7109375" style="738" customWidth="1"/>
    <col min="14053" max="14053" width="10.85546875" style="738" customWidth="1"/>
    <col min="14054" max="14054" width="11.28515625" style="738" customWidth="1"/>
    <col min="14055" max="14055" width="9.140625" style="738"/>
    <col min="14056" max="14056" width="9.7109375" style="738" customWidth="1"/>
    <col min="14057" max="14058" width="9.140625" style="738"/>
    <col min="14059" max="14059" width="10.42578125" style="738" customWidth="1"/>
    <col min="14060" max="14302" width="9.140625" style="738"/>
    <col min="14303" max="14303" width="7" style="738" customWidth="1"/>
    <col min="14304" max="14304" width="33.140625" style="738" customWidth="1"/>
    <col min="14305" max="14305" width="6.42578125" style="738" customWidth="1"/>
    <col min="14306" max="14306" width="29" style="738" customWidth="1"/>
    <col min="14307" max="14307" width="11.42578125" style="738" customWidth="1"/>
    <col min="14308" max="14308" width="10.7109375" style="738" customWidth="1"/>
    <col min="14309" max="14309" width="10.85546875" style="738" customWidth="1"/>
    <col min="14310" max="14310" width="11.28515625" style="738" customWidth="1"/>
    <col min="14311" max="14311" width="9.140625" style="738"/>
    <col min="14312" max="14312" width="9.7109375" style="738" customWidth="1"/>
    <col min="14313" max="14314" width="9.140625" style="738"/>
    <col min="14315" max="14315" width="10.42578125" style="738" customWidth="1"/>
    <col min="14316" max="14558" width="9.140625" style="738"/>
    <col min="14559" max="14559" width="7" style="738" customWidth="1"/>
    <col min="14560" max="14560" width="33.140625" style="738" customWidth="1"/>
    <col min="14561" max="14561" width="6.42578125" style="738" customWidth="1"/>
    <col min="14562" max="14562" width="29" style="738" customWidth="1"/>
    <col min="14563" max="14563" width="11.42578125" style="738" customWidth="1"/>
    <col min="14564" max="14564" width="10.7109375" style="738" customWidth="1"/>
    <col min="14565" max="14565" width="10.85546875" style="738" customWidth="1"/>
    <col min="14566" max="14566" width="11.28515625" style="738" customWidth="1"/>
    <col min="14567" max="14567" width="9.140625" style="738"/>
    <col min="14568" max="14568" width="9.7109375" style="738" customWidth="1"/>
    <col min="14569" max="14570" width="9.140625" style="738"/>
    <col min="14571" max="14571" width="10.42578125" style="738" customWidth="1"/>
    <col min="14572" max="14814" width="9.140625" style="738"/>
    <col min="14815" max="14815" width="7" style="738" customWidth="1"/>
    <col min="14816" max="14816" width="33.140625" style="738" customWidth="1"/>
    <col min="14817" max="14817" width="6.42578125" style="738" customWidth="1"/>
    <col min="14818" max="14818" width="29" style="738" customWidth="1"/>
    <col min="14819" max="14819" width="11.42578125" style="738" customWidth="1"/>
    <col min="14820" max="14820" width="10.7109375" style="738" customWidth="1"/>
    <col min="14821" max="14821" width="10.85546875" style="738" customWidth="1"/>
    <col min="14822" max="14822" width="11.28515625" style="738" customWidth="1"/>
    <col min="14823" max="14823" width="9.140625" style="738"/>
    <col min="14824" max="14824" width="9.7109375" style="738" customWidth="1"/>
    <col min="14825" max="14826" width="9.140625" style="738"/>
    <col min="14827" max="14827" width="10.42578125" style="738" customWidth="1"/>
    <col min="14828" max="15070" width="9.140625" style="738"/>
    <col min="15071" max="15071" width="7" style="738" customWidth="1"/>
    <col min="15072" max="15072" width="33.140625" style="738" customWidth="1"/>
    <col min="15073" max="15073" width="6.42578125" style="738" customWidth="1"/>
    <col min="15074" max="15074" width="29" style="738" customWidth="1"/>
    <col min="15075" max="15075" width="11.42578125" style="738" customWidth="1"/>
    <col min="15076" max="15076" width="10.7109375" style="738" customWidth="1"/>
    <col min="15077" max="15077" width="10.85546875" style="738" customWidth="1"/>
    <col min="15078" max="15078" width="11.28515625" style="738" customWidth="1"/>
    <col min="15079" max="15079" width="9.140625" style="738"/>
    <col min="15080" max="15080" width="9.7109375" style="738" customWidth="1"/>
    <col min="15081" max="15082" width="9.140625" style="738"/>
    <col min="15083" max="15083" width="10.42578125" style="738" customWidth="1"/>
    <col min="15084" max="15326" width="9.140625" style="738"/>
    <col min="15327" max="15327" width="7" style="738" customWidth="1"/>
    <col min="15328" max="15328" width="33.140625" style="738" customWidth="1"/>
    <col min="15329" max="15329" width="6.42578125" style="738" customWidth="1"/>
    <col min="15330" max="15330" width="29" style="738" customWidth="1"/>
    <col min="15331" max="15331" width="11.42578125" style="738" customWidth="1"/>
    <col min="15332" max="15332" width="10.7109375" style="738" customWidth="1"/>
    <col min="15333" max="15333" width="10.85546875" style="738" customWidth="1"/>
    <col min="15334" max="15334" width="11.28515625" style="738" customWidth="1"/>
    <col min="15335" max="15335" width="9.140625" style="738"/>
    <col min="15336" max="15336" width="9.7109375" style="738" customWidth="1"/>
    <col min="15337" max="15338" width="9.140625" style="738"/>
    <col min="15339" max="15339" width="10.42578125" style="738" customWidth="1"/>
    <col min="15340" max="15582" width="9.140625" style="738"/>
    <col min="15583" max="15583" width="7" style="738" customWidth="1"/>
    <col min="15584" max="15584" width="33.140625" style="738" customWidth="1"/>
    <col min="15585" max="15585" width="6.42578125" style="738" customWidth="1"/>
    <col min="15586" max="15586" width="29" style="738" customWidth="1"/>
    <col min="15587" max="15587" width="11.42578125" style="738" customWidth="1"/>
    <col min="15588" max="15588" width="10.7109375" style="738" customWidth="1"/>
    <col min="15589" max="15589" width="10.85546875" style="738" customWidth="1"/>
    <col min="15590" max="15590" width="11.28515625" style="738" customWidth="1"/>
    <col min="15591" max="15591" width="9.140625" style="738"/>
    <col min="15592" max="15592" width="9.7109375" style="738" customWidth="1"/>
    <col min="15593" max="15594" width="9.140625" style="738"/>
    <col min="15595" max="15595" width="10.42578125" style="738" customWidth="1"/>
    <col min="15596" max="15838" width="9.140625" style="738"/>
    <col min="15839" max="15839" width="7" style="738" customWidth="1"/>
    <col min="15840" max="15840" width="33.140625" style="738" customWidth="1"/>
    <col min="15841" max="15841" width="6.42578125" style="738" customWidth="1"/>
    <col min="15842" max="15842" width="29" style="738" customWidth="1"/>
    <col min="15843" max="15843" width="11.42578125" style="738" customWidth="1"/>
    <col min="15844" max="15844" width="10.7109375" style="738" customWidth="1"/>
    <col min="15845" max="15845" width="10.85546875" style="738" customWidth="1"/>
    <col min="15846" max="15846" width="11.28515625" style="738" customWidth="1"/>
    <col min="15847" max="15847" width="9.140625" style="738"/>
    <col min="15848" max="15848" width="9.7109375" style="738" customWidth="1"/>
    <col min="15849" max="15850" width="9.140625" style="738"/>
    <col min="15851" max="15851" width="10.42578125" style="738" customWidth="1"/>
    <col min="15852" max="16094" width="9.140625" style="738"/>
    <col min="16095" max="16095" width="7" style="738" customWidth="1"/>
    <col min="16096" max="16096" width="33.140625" style="738" customWidth="1"/>
    <col min="16097" max="16097" width="6.42578125" style="738" customWidth="1"/>
    <col min="16098" max="16098" width="29" style="738" customWidth="1"/>
    <col min="16099" max="16099" width="11.42578125" style="738" customWidth="1"/>
    <col min="16100" max="16100" width="10.7109375" style="738" customWidth="1"/>
    <col min="16101" max="16101" width="10.85546875" style="738" customWidth="1"/>
    <col min="16102" max="16102" width="11.28515625" style="738" customWidth="1"/>
    <col min="16103" max="16103" width="9.140625" style="738"/>
    <col min="16104" max="16104" width="9.7109375" style="738" customWidth="1"/>
    <col min="16105" max="16106" width="9.140625" style="738"/>
    <col min="16107" max="16107" width="10.42578125" style="738" customWidth="1"/>
    <col min="16108" max="16384" width="9.140625" style="738"/>
  </cols>
  <sheetData>
    <row r="1" spans="1:50" ht="15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5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.75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.75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5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customHeight="1" thickBot="1" x14ac:dyDescent="0.3">
      <c r="A7" s="203"/>
      <c r="B7" s="460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.75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3.5" thickBot="1" x14ac:dyDescent="0.25">
      <c r="A9" s="462" t="s">
        <v>838</v>
      </c>
      <c r="D9" s="462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6.5" customHeight="1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7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6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9" t="s">
        <v>313</v>
      </c>
      <c r="AL11" s="747" t="s">
        <v>312</v>
      </c>
      <c r="AM11" s="413" t="s">
        <v>313</v>
      </c>
      <c r="AN11" s="414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ht="13.5" customHeight="1" x14ac:dyDescent="0.2">
      <c r="A12" s="705">
        <v>1</v>
      </c>
      <c r="B12" s="706">
        <v>3475</v>
      </c>
      <c r="C12" s="706">
        <v>691008604</v>
      </c>
      <c r="D12" s="706">
        <v>4624548</v>
      </c>
      <c r="E12" s="707" t="s">
        <v>120</v>
      </c>
      <c r="F12" s="706">
        <v>3111</v>
      </c>
      <c r="G12" s="708" t="s">
        <v>317</v>
      </c>
      <c r="H12" s="709" t="s">
        <v>283</v>
      </c>
      <c r="I12" s="473">
        <v>3368186</v>
      </c>
      <c r="J12" s="474">
        <v>2447117</v>
      </c>
      <c r="K12" s="474">
        <v>0</v>
      </c>
      <c r="L12" s="474">
        <v>0</v>
      </c>
      <c r="M12" s="474">
        <v>827126</v>
      </c>
      <c r="N12" s="474">
        <v>48943</v>
      </c>
      <c r="O12" s="474">
        <v>45000</v>
      </c>
      <c r="P12" s="476">
        <v>5.5542999999999996</v>
      </c>
      <c r="Q12" s="477">
        <v>4.0644999999999998</v>
      </c>
      <c r="R12" s="763">
        <v>1.4897999999999998</v>
      </c>
      <c r="S12" s="547">
        <f>W12*-1</f>
        <v>0</v>
      </c>
      <c r="T12" s="485">
        <v>0</v>
      </c>
      <c r="U12" s="485">
        <v>-14728</v>
      </c>
      <c r="V12" s="485">
        <f>SUM(S12:U12)</f>
        <v>-14728</v>
      </c>
      <c r="W12" s="485">
        <v>0</v>
      </c>
      <c r="X12" s="485">
        <v>0</v>
      </c>
      <c r="Y12" s="485">
        <f>SUM(W12:X12)</f>
        <v>0</v>
      </c>
      <c r="Z12" s="485">
        <f>V12+Y12</f>
        <v>-14728</v>
      </c>
      <c r="AA12" s="319">
        <f>ROUND((V12+W12)*33.8%,0)</f>
        <v>-4978</v>
      </c>
      <c r="AB12" s="261">
        <f>ROUND(V12*2%,0)</f>
        <v>-295</v>
      </c>
      <c r="AC12" s="485">
        <v>0</v>
      </c>
      <c r="AD12" s="485">
        <v>20001</v>
      </c>
      <c r="AE12" s="485">
        <f>SUM(AC12:AD12)</f>
        <v>20001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524">
        <f>SUM(AL12:AM12)</f>
        <v>0</v>
      </c>
      <c r="AO12" s="525">
        <f>I12+AF12</f>
        <v>3368186</v>
      </c>
      <c r="AP12" s="480">
        <f>J12+V12</f>
        <v>2432389</v>
      </c>
      <c r="AQ12" s="480">
        <f>K12+Y12</f>
        <v>0</v>
      </c>
      <c r="AR12" s="480">
        <f>L12</f>
        <v>0</v>
      </c>
      <c r="AS12" s="480">
        <f t="shared" ref="AS12:AT14" si="0">M12+AA12</f>
        <v>822148</v>
      </c>
      <c r="AT12" s="480">
        <f t="shared" si="0"/>
        <v>48648</v>
      </c>
      <c r="AU12" s="480">
        <f>O12+AE12</f>
        <v>65001</v>
      </c>
      <c r="AV12" s="482">
        <f>P12+AN12</f>
        <v>5.5542999999999996</v>
      </c>
      <c r="AW12" s="482">
        <f t="shared" ref="AW12:AX14" si="1">Q12+AL12</f>
        <v>4.0644999999999998</v>
      </c>
      <c r="AX12" s="483">
        <f t="shared" si="1"/>
        <v>1.4897999999999998</v>
      </c>
    </row>
    <row r="13" spans="1:50" ht="13.5" customHeight="1" x14ac:dyDescent="0.2">
      <c r="A13" s="710">
        <v>1</v>
      </c>
      <c r="B13" s="711">
        <v>3475</v>
      </c>
      <c r="C13" s="711">
        <v>691008604</v>
      </c>
      <c r="D13" s="711">
        <v>4624548</v>
      </c>
      <c r="E13" s="712" t="s">
        <v>121</v>
      </c>
      <c r="F13" s="711">
        <v>3111</v>
      </c>
      <c r="G13" s="713" t="s">
        <v>318</v>
      </c>
      <c r="H13" s="714" t="s">
        <v>284</v>
      </c>
      <c r="I13" s="495">
        <v>76863</v>
      </c>
      <c r="J13" s="496">
        <v>56600</v>
      </c>
      <c r="K13" s="475">
        <v>0</v>
      </c>
      <c r="L13" s="475">
        <v>0</v>
      </c>
      <c r="M13" s="319">
        <v>19131</v>
      </c>
      <c r="N13" s="319">
        <v>1132</v>
      </c>
      <c r="O13" s="496">
        <v>0</v>
      </c>
      <c r="P13" s="497">
        <v>0.17</v>
      </c>
      <c r="Q13" s="412">
        <v>0.17</v>
      </c>
      <c r="R13" s="764">
        <v>0</v>
      </c>
      <c r="S13" s="530">
        <f>W13*-1</f>
        <v>0</v>
      </c>
      <c r="T13" s="486">
        <v>0</v>
      </c>
      <c r="U13" s="486">
        <v>0</v>
      </c>
      <c r="V13" s="486">
        <f>SUM(S13:U13)</f>
        <v>0</v>
      </c>
      <c r="W13" s="486">
        <v>0</v>
      </c>
      <c r="X13" s="486">
        <v>0</v>
      </c>
      <c r="Y13" s="486">
        <f>SUM(W13:X13)</f>
        <v>0</v>
      </c>
      <c r="Z13" s="486">
        <f>V13+Y13</f>
        <v>0</v>
      </c>
      <c r="AA13" s="319">
        <f>ROUND((V13+W13)*33.8%,0)</f>
        <v>0</v>
      </c>
      <c r="AB13" s="178">
        <f>ROUND(V13*2%,0)</f>
        <v>0</v>
      </c>
      <c r="AC13" s="486">
        <v>0</v>
      </c>
      <c r="AD13" s="486">
        <v>0</v>
      </c>
      <c r="AE13" s="486">
        <f t="shared" ref="AE13:AE71" si="2">SUM(AC13:AD13)</f>
        <v>0</v>
      </c>
      <c r="AF13" s="486">
        <f t="shared" ref="AF13:AF71" si="3">Z13+AA13+AB13+AE13</f>
        <v>0</v>
      </c>
      <c r="AG13" s="501">
        <v>0</v>
      </c>
      <c r="AH13" s="501">
        <v>0</v>
      </c>
      <c r="AI13" s="501">
        <v>0</v>
      </c>
      <c r="AJ13" s="501">
        <v>0</v>
      </c>
      <c r="AK13" s="501">
        <v>0</v>
      </c>
      <c r="AL13" s="501">
        <f>AG13+AI13+AJ13</f>
        <v>0</v>
      </c>
      <c r="AM13" s="501">
        <f>AH13+AK13</f>
        <v>0</v>
      </c>
      <c r="AN13" s="529">
        <f t="shared" ref="AN13" si="4">SUM(AL13:AM13)</f>
        <v>0</v>
      </c>
      <c r="AO13" s="530">
        <f>I13+AF13</f>
        <v>76863</v>
      </c>
      <c r="AP13" s="486">
        <f>J13+V13</f>
        <v>56600</v>
      </c>
      <c r="AQ13" s="486">
        <f>K13+Y13</f>
        <v>0</v>
      </c>
      <c r="AR13" s="486">
        <f>L13</f>
        <v>0</v>
      </c>
      <c r="AS13" s="486">
        <f t="shared" si="0"/>
        <v>19131</v>
      </c>
      <c r="AT13" s="486">
        <f t="shared" si="0"/>
        <v>1132</v>
      </c>
      <c r="AU13" s="486">
        <f>O13+AE13</f>
        <v>0</v>
      </c>
      <c r="AV13" s="501">
        <f>P13+AN13</f>
        <v>0.17</v>
      </c>
      <c r="AW13" s="501">
        <f t="shared" si="1"/>
        <v>0.17</v>
      </c>
      <c r="AX13" s="502">
        <f t="shared" si="1"/>
        <v>0</v>
      </c>
    </row>
    <row r="14" spans="1:50" ht="13.5" customHeight="1" x14ac:dyDescent="0.2">
      <c r="A14" s="710">
        <v>1</v>
      </c>
      <c r="B14" s="711">
        <v>3475</v>
      </c>
      <c r="C14" s="711">
        <v>691008604</v>
      </c>
      <c r="D14" s="711">
        <v>4624548</v>
      </c>
      <c r="E14" s="712" t="s">
        <v>121</v>
      </c>
      <c r="F14" s="711">
        <v>3141</v>
      </c>
      <c r="G14" s="713" t="s">
        <v>321</v>
      </c>
      <c r="H14" s="714" t="s">
        <v>284</v>
      </c>
      <c r="I14" s="495">
        <v>659503</v>
      </c>
      <c r="J14" s="496">
        <v>473260</v>
      </c>
      <c r="K14" s="475">
        <v>10400</v>
      </c>
      <c r="L14" s="475">
        <v>0</v>
      </c>
      <c r="M14" s="319">
        <v>163477</v>
      </c>
      <c r="N14" s="319">
        <v>9466</v>
      </c>
      <c r="O14" s="496">
        <v>2900</v>
      </c>
      <c r="P14" s="497">
        <v>1.6400000000000001</v>
      </c>
      <c r="Q14" s="412">
        <v>0</v>
      </c>
      <c r="R14" s="764">
        <v>1.6400000000000001</v>
      </c>
      <c r="S14" s="530">
        <f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si="2"/>
        <v>0</v>
      </c>
      <c r="AF14" s="486">
        <f t="shared" si="3"/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29">
        <f t="shared" ref="AN14:AN71" si="5">SUM(AL14:AM14)</f>
        <v>0</v>
      </c>
      <c r="AO14" s="530">
        <f>I14+AF14</f>
        <v>659503</v>
      </c>
      <c r="AP14" s="486">
        <f>J14+V14</f>
        <v>473260</v>
      </c>
      <c r="AQ14" s="486">
        <f>K14+Y14</f>
        <v>10400</v>
      </c>
      <c r="AR14" s="486">
        <f>L14</f>
        <v>0</v>
      </c>
      <c r="AS14" s="486">
        <f t="shared" si="0"/>
        <v>163477</v>
      </c>
      <c r="AT14" s="486">
        <f t="shared" si="0"/>
        <v>9466</v>
      </c>
      <c r="AU14" s="486">
        <f>O14+AE14</f>
        <v>2900</v>
      </c>
      <c r="AV14" s="501">
        <f>P14+AN14</f>
        <v>1.6400000000000001</v>
      </c>
      <c r="AW14" s="501">
        <f t="shared" si="1"/>
        <v>0</v>
      </c>
      <c r="AX14" s="502">
        <f t="shared" si="1"/>
        <v>1.6400000000000001</v>
      </c>
    </row>
    <row r="15" spans="1:50" ht="13.5" customHeight="1" x14ac:dyDescent="0.2">
      <c r="A15" s="282">
        <v>1</v>
      </c>
      <c r="B15" s="27">
        <v>3475</v>
      </c>
      <c r="C15" s="27">
        <v>691008604</v>
      </c>
      <c r="D15" s="27">
        <v>4624548</v>
      </c>
      <c r="E15" s="292" t="s">
        <v>122</v>
      </c>
      <c r="F15" s="27"/>
      <c r="G15" s="281"/>
      <c r="H15" s="377"/>
      <c r="I15" s="5">
        <v>4104552</v>
      </c>
      <c r="J15" s="8">
        <v>2976977</v>
      </c>
      <c r="K15" s="8">
        <v>10400</v>
      </c>
      <c r="L15" s="8">
        <v>0</v>
      </c>
      <c r="M15" s="8">
        <v>1009734</v>
      </c>
      <c r="N15" s="8">
        <v>59541</v>
      </c>
      <c r="O15" s="8">
        <v>47900</v>
      </c>
      <c r="P15" s="9">
        <v>7.3643000000000001</v>
      </c>
      <c r="Q15" s="9">
        <v>4.2344999999999997</v>
      </c>
      <c r="R15" s="33">
        <v>3.1297999999999999</v>
      </c>
      <c r="S15" s="5">
        <f t="shared" ref="S15:AX15" si="6">SUM(S12:S14)</f>
        <v>0</v>
      </c>
      <c r="T15" s="8">
        <f t="shared" si="6"/>
        <v>0</v>
      </c>
      <c r="U15" s="8">
        <f t="shared" si="6"/>
        <v>-14728</v>
      </c>
      <c r="V15" s="8">
        <f t="shared" si="6"/>
        <v>-14728</v>
      </c>
      <c r="W15" s="8">
        <f t="shared" si="6"/>
        <v>0</v>
      </c>
      <c r="X15" s="8">
        <f t="shared" si="6"/>
        <v>0</v>
      </c>
      <c r="Y15" s="8">
        <f t="shared" si="6"/>
        <v>0</v>
      </c>
      <c r="Z15" s="8">
        <f t="shared" si="6"/>
        <v>-14728</v>
      </c>
      <c r="AA15" s="8">
        <f t="shared" si="6"/>
        <v>-4978</v>
      </c>
      <c r="AB15" s="8">
        <f t="shared" si="6"/>
        <v>-295</v>
      </c>
      <c r="AC15" s="8">
        <f t="shared" si="6"/>
        <v>0</v>
      </c>
      <c r="AD15" s="8">
        <f t="shared" si="6"/>
        <v>20001</v>
      </c>
      <c r="AE15" s="8">
        <f t="shared" si="6"/>
        <v>20001</v>
      </c>
      <c r="AF15" s="8">
        <f t="shared" si="6"/>
        <v>0</v>
      </c>
      <c r="AG15" s="9">
        <f t="shared" si="6"/>
        <v>0</v>
      </c>
      <c r="AH15" s="9">
        <f t="shared" si="6"/>
        <v>0</v>
      </c>
      <c r="AI15" s="9">
        <f t="shared" si="6"/>
        <v>0</v>
      </c>
      <c r="AJ15" s="9">
        <f t="shared" si="6"/>
        <v>0</v>
      </c>
      <c r="AK15" s="9">
        <f t="shared" si="6"/>
        <v>0</v>
      </c>
      <c r="AL15" s="9">
        <f t="shared" si="6"/>
        <v>0</v>
      </c>
      <c r="AM15" s="9">
        <f t="shared" si="6"/>
        <v>0</v>
      </c>
      <c r="AN15" s="33">
        <f t="shared" si="6"/>
        <v>0</v>
      </c>
      <c r="AO15" s="5">
        <f t="shared" si="6"/>
        <v>4104552</v>
      </c>
      <c r="AP15" s="8">
        <f t="shared" si="6"/>
        <v>2962249</v>
      </c>
      <c r="AQ15" s="38">
        <f t="shared" si="6"/>
        <v>10400</v>
      </c>
      <c r="AR15" s="38">
        <f t="shared" si="6"/>
        <v>0</v>
      </c>
      <c r="AS15" s="8">
        <f t="shared" si="6"/>
        <v>1004756</v>
      </c>
      <c r="AT15" s="8">
        <f t="shared" si="6"/>
        <v>59246</v>
      </c>
      <c r="AU15" s="8">
        <f t="shared" si="6"/>
        <v>67901</v>
      </c>
      <c r="AV15" s="9">
        <f t="shared" si="6"/>
        <v>7.3643000000000001</v>
      </c>
      <c r="AW15" s="9">
        <f t="shared" si="6"/>
        <v>4.2344999999999997</v>
      </c>
      <c r="AX15" s="74">
        <f t="shared" si="6"/>
        <v>3.1297999999999999</v>
      </c>
    </row>
    <row r="16" spans="1:50" ht="13.5" customHeight="1" x14ac:dyDescent="0.2">
      <c r="A16" s="710">
        <v>2</v>
      </c>
      <c r="B16" s="711">
        <v>3449</v>
      </c>
      <c r="C16" s="711">
        <v>600078116</v>
      </c>
      <c r="D16" s="711">
        <v>70695016</v>
      </c>
      <c r="E16" s="712" t="s">
        <v>123</v>
      </c>
      <c r="F16" s="711">
        <v>3111</v>
      </c>
      <c r="G16" s="713" t="s">
        <v>317</v>
      </c>
      <c r="H16" s="714" t="s">
        <v>283</v>
      </c>
      <c r="I16" s="495">
        <v>4821249</v>
      </c>
      <c r="J16" s="496">
        <v>3516236</v>
      </c>
      <c r="K16" s="496">
        <v>0</v>
      </c>
      <c r="L16" s="496">
        <v>0</v>
      </c>
      <c r="M16" s="496">
        <v>1188488</v>
      </c>
      <c r="N16" s="496">
        <v>70325</v>
      </c>
      <c r="O16" s="496">
        <v>46200</v>
      </c>
      <c r="P16" s="497">
        <v>8.1441999999999997</v>
      </c>
      <c r="Q16" s="412">
        <v>6.01</v>
      </c>
      <c r="R16" s="764">
        <v>2.1341999999999999</v>
      </c>
      <c r="S16" s="530">
        <f t="shared" ref="S16:S17" si="7">W16*-1</f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319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 t="shared" si="2"/>
        <v>0</v>
      </c>
      <c r="AF16" s="486">
        <f t="shared" si="3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ref="AL16:AL17" si="8">AG16+AI16+AJ16</f>
        <v>0</v>
      </c>
      <c r="AM16" s="501">
        <f t="shared" ref="AM16:AM17" si="9">AH16+AK16</f>
        <v>0</v>
      </c>
      <c r="AN16" s="529">
        <f t="shared" si="5"/>
        <v>0</v>
      </c>
      <c r="AO16" s="530">
        <f>I16+AF16</f>
        <v>4821249</v>
      </c>
      <c r="AP16" s="486">
        <f>J16+V16</f>
        <v>3516236</v>
      </c>
      <c r="AQ16" s="486">
        <f>K16+Y16</f>
        <v>0</v>
      </c>
      <c r="AR16" s="486">
        <f>L16</f>
        <v>0</v>
      </c>
      <c r="AS16" s="486">
        <f>M16+AA16</f>
        <v>1188488</v>
      </c>
      <c r="AT16" s="486">
        <f>N16+AB16</f>
        <v>70325</v>
      </c>
      <c r="AU16" s="486">
        <f>O16+AE16</f>
        <v>46200</v>
      </c>
      <c r="AV16" s="501">
        <f>P16+AN16</f>
        <v>8.1441999999999997</v>
      </c>
      <c r="AW16" s="501">
        <f>Q16+AL16</f>
        <v>6.01</v>
      </c>
      <c r="AX16" s="502">
        <f>R16+AM16</f>
        <v>2.1341999999999999</v>
      </c>
    </row>
    <row r="17" spans="1:50" ht="13.5" customHeight="1" x14ac:dyDescent="0.2">
      <c r="A17" s="710">
        <v>2</v>
      </c>
      <c r="B17" s="711">
        <v>3449</v>
      </c>
      <c r="C17" s="711">
        <v>600078116</v>
      </c>
      <c r="D17" s="711">
        <v>70695016</v>
      </c>
      <c r="E17" s="712" t="s">
        <v>123</v>
      </c>
      <c r="F17" s="711">
        <v>3141</v>
      </c>
      <c r="G17" s="713" t="s">
        <v>321</v>
      </c>
      <c r="H17" s="714" t="s">
        <v>284</v>
      </c>
      <c r="I17" s="495">
        <v>792108</v>
      </c>
      <c r="J17" s="496">
        <v>580343</v>
      </c>
      <c r="K17" s="475">
        <v>0</v>
      </c>
      <c r="L17" s="475">
        <v>0</v>
      </c>
      <c r="M17" s="319">
        <v>196156</v>
      </c>
      <c r="N17" s="319">
        <v>11607</v>
      </c>
      <c r="O17" s="496">
        <v>4002</v>
      </c>
      <c r="P17" s="497">
        <v>1.97</v>
      </c>
      <c r="Q17" s="412">
        <v>0</v>
      </c>
      <c r="R17" s="764">
        <v>1.97</v>
      </c>
      <c r="S17" s="530">
        <f t="shared" si="7"/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319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 t="shared" si="2"/>
        <v>0</v>
      </c>
      <c r="AF17" s="486">
        <f t="shared" si="3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8"/>
        <v>0</v>
      </c>
      <c r="AM17" s="501">
        <f t="shared" si="9"/>
        <v>0</v>
      </c>
      <c r="AN17" s="529">
        <f t="shared" si="5"/>
        <v>0</v>
      </c>
      <c r="AO17" s="530">
        <f>I17+AF17</f>
        <v>792108</v>
      </c>
      <c r="AP17" s="486">
        <f>J17+V17</f>
        <v>580343</v>
      </c>
      <c r="AQ17" s="486">
        <f>K17+Y17</f>
        <v>0</v>
      </c>
      <c r="AR17" s="486">
        <f>L17</f>
        <v>0</v>
      </c>
      <c r="AS17" s="486">
        <f>M17+AA17</f>
        <v>196156</v>
      </c>
      <c r="AT17" s="486">
        <f>N17+AB17</f>
        <v>11607</v>
      </c>
      <c r="AU17" s="486">
        <f>O17+AE17</f>
        <v>4002</v>
      </c>
      <c r="AV17" s="501">
        <f>P17+AN17</f>
        <v>1.97</v>
      </c>
      <c r="AW17" s="501">
        <f>Q17+AL17</f>
        <v>0</v>
      </c>
      <c r="AX17" s="502">
        <f>R17+AM17</f>
        <v>1.97</v>
      </c>
    </row>
    <row r="18" spans="1:50" ht="13.5" customHeight="1" x14ac:dyDescent="0.2">
      <c r="A18" s="282">
        <v>2</v>
      </c>
      <c r="B18" s="27">
        <v>3449</v>
      </c>
      <c r="C18" s="27">
        <v>600078116</v>
      </c>
      <c r="D18" s="27">
        <v>70695016</v>
      </c>
      <c r="E18" s="292" t="s">
        <v>124</v>
      </c>
      <c r="F18" s="27"/>
      <c r="G18" s="281"/>
      <c r="H18" s="377"/>
      <c r="I18" s="5">
        <v>5613357</v>
      </c>
      <c r="J18" s="8">
        <v>4096579</v>
      </c>
      <c r="K18" s="8">
        <v>0</v>
      </c>
      <c r="L18" s="8">
        <v>0</v>
      </c>
      <c r="M18" s="8">
        <v>1384644</v>
      </c>
      <c r="N18" s="8">
        <v>81932</v>
      </c>
      <c r="O18" s="8">
        <v>50202</v>
      </c>
      <c r="P18" s="9">
        <v>10.1142</v>
      </c>
      <c r="Q18" s="9">
        <v>6.01</v>
      </c>
      <c r="R18" s="33">
        <v>4.1041999999999996</v>
      </c>
      <c r="S18" s="5">
        <f t="shared" ref="S18:AX18" si="10">SUM(S16:S17)</f>
        <v>0</v>
      </c>
      <c r="T18" s="8">
        <f t="shared" si="10"/>
        <v>0</v>
      </c>
      <c r="U18" s="8">
        <f t="shared" si="10"/>
        <v>0</v>
      </c>
      <c r="V18" s="8">
        <f t="shared" si="10"/>
        <v>0</v>
      </c>
      <c r="W18" s="8">
        <f t="shared" si="10"/>
        <v>0</v>
      </c>
      <c r="X18" s="8">
        <f t="shared" si="10"/>
        <v>0</v>
      </c>
      <c r="Y18" s="8">
        <f t="shared" si="10"/>
        <v>0</v>
      </c>
      <c r="Z18" s="8">
        <f t="shared" si="10"/>
        <v>0</v>
      </c>
      <c r="AA18" s="8">
        <f t="shared" si="10"/>
        <v>0</v>
      </c>
      <c r="AB18" s="8">
        <f t="shared" si="10"/>
        <v>0</v>
      </c>
      <c r="AC18" s="8">
        <f t="shared" si="10"/>
        <v>0</v>
      </c>
      <c r="AD18" s="8">
        <f t="shared" si="10"/>
        <v>0</v>
      </c>
      <c r="AE18" s="8">
        <f t="shared" si="10"/>
        <v>0</v>
      </c>
      <c r="AF18" s="8">
        <f t="shared" si="10"/>
        <v>0</v>
      </c>
      <c r="AG18" s="9">
        <f t="shared" si="10"/>
        <v>0</v>
      </c>
      <c r="AH18" s="9">
        <f t="shared" si="10"/>
        <v>0</v>
      </c>
      <c r="AI18" s="9">
        <f t="shared" si="10"/>
        <v>0</v>
      </c>
      <c r="AJ18" s="9">
        <f t="shared" si="10"/>
        <v>0</v>
      </c>
      <c r="AK18" s="9">
        <f t="shared" si="10"/>
        <v>0</v>
      </c>
      <c r="AL18" s="9">
        <f t="shared" si="10"/>
        <v>0</v>
      </c>
      <c r="AM18" s="9">
        <f t="shared" si="10"/>
        <v>0</v>
      </c>
      <c r="AN18" s="33">
        <f t="shared" si="10"/>
        <v>0</v>
      </c>
      <c r="AO18" s="5">
        <f t="shared" si="10"/>
        <v>5613357</v>
      </c>
      <c r="AP18" s="8">
        <f t="shared" si="10"/>
        <v>4096579</v>
      </c>
      <c r="AQ18" s="38">
        <f t="shared" si="10"/>
        <v>0</v>
      </c>
      <c r="AR18" s="38">
        <f t="shared" si="10"/>
        <v>0</v>
      </c>
      <c r="AS18" s="8">
        <f t="shared" si="10"/>
        <v>1384644</v>
      </c>
      <c r="AT18" s="8">
        <f t="shared" si="10"/>
        <v>81932</v>
      </c>
      <c r="AU18" s="8">
        <f t="shared" si="10"/>
        <v>50202</v>
      </c>
      <c r="AV18" s="9">
        <f t="shared" si="10"/>
        <v>10.1142</v>
      </c>
      <c r="AW18" s="9">
        <f t="shared" si="10"/>
        <v>6.01</v>
      </c>
      <c r="AX18" s="74">
        <f t="shared" si="10"/>
        <v>4.1041999999999996</v>
      </c>
    </row>
    <row r="19" spans="1:50" ht="13.5" customHeight="1" x14ac:dyDescent="0.2">
      <c r="A19" s="710">
        <v>3</v>
      </c>
      <c r="B19" s="711">
        <v>3451</v>
      </c>
      <c r="C19" s="711">
        <v>600078621</v>
      </c>
      <c r="D19" s="711">
        <v>70694991</v>
      </c>
      <c r="E19" s="712" t="s">
        <v>125</v>
      </c>
      <c r="F19" s="711">
        <v>3111</v>
      </c>
      <c r="G19" s="713" t="s">
        <v>317</v>
      </c>
      <c r="H19" s="714" t="s">
        <v>283</v>
      </c>
      <c r="I19" s="495">
        <v>5002217</v>
      </c>
      <c r="J19" s="496">
        <v>3622767</v>
      </c>
      <c r="K19" s="496">
        <v>0</v>
      </c>
      <c r="L19" s="496">
        <v>0</v>
      </c>
      <c r="M19" s="496">
        <v>1224495</v>
      </c>
      <c r="N19" s="496">
        <v>72455</v>
      </c>
      <c r="O19" s="496">
        <v>82500</v>
      </c>
      <c r="P19" s="497">
        <v>8.2411999999999992</v>
      </c>
      <c r="Q19" s="412">
        <v>6.01</v>
      </c>
      <c r="R19" s="764">
        <v>2.2311999999999994</v>
      </c>
      <c r="S19" s="530">
        <f t="shared" ref="S19:S21" si="11">W19*-1</f>
        <v>0</v>
      </c>
      <c r="T19" s="486">
        <v>0</v>
      </c>
      <c r="U19" s="486">
        <v>-29455</v>
      </c>
      <c r="V19" s="486">
        <f>SUM(S19:U19)</f>
        <v>-29455</v>
      </c>
      <c r="W19" s="486">
        <v>0</v>
      </c>
      <c r="X19" s="486">
        <v>0</v>
      </c>
      <c r="Y19" s="486">
        <f>SUM(W19:X19)</f>
        <v>0</v>
      </c>
      <c r="Z19" s="486">
        <f>V19+Y19</f>
        <v>-29455</v>
      </c>
      <c r="AA19" s="319">
        <f>ROUND((V19+W19)*33.8%,0)</f>
        <v>-9956</v>
      </c>
      <c r="AB19" s="178">
        <f>ROUND(V19*2%,0)</f>
        <v>-589</v>
      </c>
      <c r="AC19" s="486">
        <v>0</v>
      </c>
      <c r="AD19" s="486">
        <v>40000</v>
      </c>
      <c r="AE19" s="486">
        <f t="shared" si="2"/>
        <v>40000</v>
      </c>
      <c r="AF19" s="486">
        <f t="shared" si="3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ref="AL19:AL21" si="12">AG19+AI19+AJ19</f>
        <v>0</v>
      </c>
      <c r="AM19" s="501">
        <f t="shared" ref="AM19:AM21" si="13">AH19+AK19</f>
        <v>0</v>
      </c>
      <c r="AN19" s="529">
        <f t="shared" si="5"/>
        <v>0</v>
      </c>
      <c r="AO19" s="530">
        <f>I19+AF19</f>
        <v>5002217</v>
      </c>
      <c r="AP19" s="486">
        <f>J19+V19</f>
        <v>3593312</v>
      </c>
      <c r="AQ19" s="486">
        <f>K19+Y19</f>
        <v>0</v>
      </c>
      <c r="AR19" s="486">
        <f>L19</f>
        <v>0</v>
      </c>
      <c r="AS19" s="486">
        <f t="shared" ref="AS19:AT21" si="14">M19+AA19</f>
        <v>1214539</v>
      </c>
      <c r="AT19" s="486">
        <f t="shared" si="14"/>
        <v>71866</v>
      </c>
      <c r="AU19" s="486">
        <f>O19+AE19</f>
        <v>122500</v>
      </c>
      <c r="AV19" s="501">
        <f>P19+AN19</f>
        <v>8.2411999999999992</v>
      </c>
      <c r="AW19" s="501">
        <f t="shared" ref="AW19:AX21" si="15">Q19+AL19</f>
        <v>6.01</v>
      </c>
      <c r="AX19" s="502">
        <f t="shared" si="15"/>
        <v>2.2311999999999994</v>
      </c>
    </row>
    <row r="20" spans="1:50" ht="13.5" customHeight="1" x14ac:dyDescent="0.2">
      <c r="A20" s="710">
        <v>3</v>
      </c>
      <c r="B20" s="711">
        <v>3451</v>
      </c>
      <c r="C20" s="711">
        <v>600078621</v>
      </c>
      <c r="D20" s="711">
        <v>70694991</v>
      </c>
      <c r="E20" s="712" t="s">
        <v>125</v>
      </c>
      <c r="F20" s="711">
        <v>3111</v>
      </c>
      <c r="G20" s="713" t="s">
        <v>318</v>
      </c>
      <c r="H20" s="714" t="s">
        <v>284</v>
      </c>
      <c r="I20" s="495">
        <v>76863</v>
      </c>
      <c r="J20" s="496">
        <v>56600</v>
      </c>
      <c r="K20" s="475">
        <v>0</v>
      </c>
      <c r="L20" s="475">
        <v>0</v>
      </c>
      <c r="M20" s="319">
        <v>19131</v>
      </c>
      <c r="N20" s="319">
        <v>1132</v>
      </c>
      <c r="O20" s="496">
        <v>0</v>
      </c>
      <c r="P20" s="497">
        <v>0.17</v>
      </c>
      <c r="Q20" s="412">
        <v>0.17</v>
      </c>
      <c r="R20" s="764">
        <v>0</v>
      </c>
      <c r="S20" s="530">
        <f t="shared" si="11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2"/>
        <v>0</v>
      </c>
      <c r="AF20" s="486">
        <f t="shared" si="3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2"/>
        <v>0</v>
      </c>
      <c r="AM20" s="501">
        <f t="shared" si="13"/>
        <v>0</v>
      </c>
      <c r="AN20" s="529">
        <f t="shared" ref="AN20" si="16">SUM(AL20:AM20)</f>
        <v>0</v>
      </c>
      <c r="AO20" s="530">
        <f>I20+AF20</f>
        <v>76863</v>
      </c>
      <c r="AP20" s="486">
        <f>J20+V20</f>
        <v>56600</v>
      </c>
      <c r="AQ20" s="486">
        <f>K20+Y20</f>
        <v>0</v>
      </c>
      <c r="AR20" s="486">
        <f>L20</f>
        <v>0</v>
      </c>
      <c r="AS20" s="486">
        <f t="shared" si="14"/>
        <v>19131</v>
      </c>
      <c r="AT20" s="486">
        <f t="shared" si="14"/>
        <v>1132</v>
      </c>
      <c r="AU20" s="486">
        <f>O20+AE20</f>
        <v>0</v>
      </c>
      <c r="AV20" s="501">
        <f>P20+AN20</f>
        <v>0.17</v>
      </c>
      <c r="AW20" s="501">
        <f t="shared" si="15"/>
        <v>0.17</v>
      </c>
      <c r="AX20" s="502">
        <f t="shared" si="15"/>
        <v>0</v>
      </c>
    </row>
    <row r="21" spans="1:50" ht="13.5" customHeight="1" x14ac:dyDescent="0.2">
      <c r="A21" s="710">
        <v>3</v>
      </c>
      <c r="B21" s="711">
        <v>3451</v>
      </c>
      <c r="C21" s="711">
        <v>600078621</v>
      </c>
      <c r="D21" s="711">
        <v>70694991</v>
      </c>
      <c r="E21" s="712" t="s">
        <v>125</v>
      </c>
      <c r="F21" s="711">
        <v>3141</v>
      </c>
      <c r="G21" s="713" t="s">
        <v>321</v>
      </c>
      <c r="H21" s="714" t="s">
        <v>284</v>
      </c>
      <c r="I21" s="495">
        <v>750217</v>
      </c>
      <c r="J21" s="496">
        <v>549752</v>
      </c>
      <c r="K21" s="475">
        <v>0</v>
      </c>
      <c r="L21" s="475">
        <v>0</v>
      </c>
      <c r="M21" s="319">
        <v>185816</v>
      </c>
      <c r="N21" s="319">
        <v>10995</v>
      </c>
      <c r="O21" s="496">
        <v>3654</v>
      </c>
      <c r="P21" s="497">
        <v>1.87</v>
      </c>
      <c r="Q21" s="412">
        <v>0</v>
      </c>
      <c r="R21" s="764">
        <v>1.87</v>
      </c>
      <c r="S21" s="530">
        <f t="shared" si="11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2"/>
        <v>0</v>
      </c>
      <c r="AF21" s="486">
        <f t="shared" si="3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2"/>
        <v>0</v>
      </c>
      <c r="AM21" s="501">
        <f t="shared" si="13"/>
        <v>0</v>
      </c>
      <c r="AN21" s="529">
        <f t="shared" si="5"/>
        <v>0</v>
      </c>
      <c r="AO21" s="530">
        <f>I21+AF21</f>
        <v>750217</v>
      </c>
      <c r="AP21" s="486">
        <f>J21+V21</f>
        <v>549752</v>
      </c>
      <c r="AQ21" s="486">
        <f>K21+Y21</f>
        <v>0</v>
      </c>
      <c r="AR21" s="486">
        <f>L21</f>
        <v>0</v>
      </c>
      <c r="AS21" s="486">
        <f t="shared" si="14"/>
        <v>185816</v>
      </c>
      <c r="AT21" s="486">
        <f t="shared" si="14"/>
        <v>10995</v>
      </c>
      <c r="AU21" s="486">
        <f>O21+AE21</f>
        <v>3654</v>
      </c>
      <c r="AV21" s="501">
        <f>P21+AN21</f>
        <v>1.87</v>
      </c>
      <c r="AW21" s="501">
        <f t="shared" si="15"/>
        <v>0</v>
      </c>
      <c r="AX21" s="502">
        <f t="shared" si="15"/>
        <v>1.87</v>
      </c>
    </row>
    <row r="22" spans="1:50" ht="13.5" customHeight="1" x14ac:dyDescent="0.2">
      <c r="A22" s="282">
        <v>3</v>
      </c>
      <c r="B22" s="27">
        <v>3451</v>
      </c>
      <c r="C22" s="27">
        <v>600078621</v>
      </c>
      <c r="D22" s="27">
        <v>70694991</v>
      </c>
      <c r="E22" s="292" t="s">
        <v>126</v>
      </c>
      <c r="F22" s="27"/>
      <c r="G22" s="281"/>
      <c r="H22" s="377"/>
      <c r="I22" s="5">
        <v>5829297</v>
      </c>
      <c r="J22" s="8">
        <v>4229119</v>
      </c>
      <c r="K22" s="8">
        <v>0</v>
      </c>
      <c r="L22" s="8">
        <v>0</v>
      </c>
      <c r="M22" s="8">
        <v>1429442</v>
      </c>
      <c r="N22" s="8">
        <v>84582</v>
      </c>
      <c r="O22" s="8">
        <v>86154</v>
      </c>
      <c r="P22" s="9">
        <v>10.281199999999998</v>
      </c>
      <c r="Q22" s="9">
        <v>6.18</v>
      </c>
      <c r="R22" s="33">
        <v>4.1011999999999995</v>
      </c>
      <c r="S22" s="5">
        <f t="shared" ref="S22:AX22" si="17">SUM(S19:S21)</f>
        <v>0</v>
      </c>
      <c r="T22" s="8">
        <f t="shared" si="17"/>
        <v>0</v>
      </c>
      <c r="U22" s="8">
        <f t="shared" si="17"/>
        <v>-29455</v>
      </c>
      <c r="V22" s="8">
        <f t="shared" si="17"/>
        <v>-29455</v>
      </c>
      <c r="W22" s="8">
        <f t="shared" si="17"/>
        <v>0</v>
      </c>
      <c r="X22" s="8">
        <f t="shared" si="17"/>
        <v>0</v>
      </c>
      <c r="Y22" s="8">
        <f t="shared" si="17"/>
        <v>0</v>
      </c>
      <c r="Z22" s="8">
        <f t="shared" si="17"/>
        <v>-29455</v>
      </c>
      <c r="AA22" s="8">
        <f t="shared" si="17"/>
        <v>-9956</v>
      </c>
      <c r="AB22" s="8">
        <f t="shared" si="17"/>
        <v>-589</v>
      </c>
      <c r="AC22" s="8">
        <f t="shared" si="17"/>
        <v>0</v>
      </c>
      <c r="AD22" s="8">
        <f t="shared" si="17"/>
        <v>40000</v>
      </c>
      <c r="AE22" s="8">
        <f t="shared" si="17"/>
        <v>40000</v>
      </c>
      <c r="AF22" s="8">
        <f t="shared" si="17"/>
        <v>0</v>
      </c>
      <c r="AG22" s="9">
        <f t="shared" si="17"/>
        <v>0</v>
      </c>
      <c r="AH22" s="9">
        <f t="shared" si="17"/>
        <v>0</v>
      </c>
      <c r="AI22" s="9">
        <f t="shared" si="17"/>
        <v>0</v>
      </c>
      <c r="AJ22" s="9">
        <f t="shared" si="17"/>
        <v>0</v>
      </c>
      <c r="AK22" s="9">
        <f t="shared" si="17"/>
        <v>0</v>
      </c>
      <c r="AL22" s="9">
        <f t="shared" si="17"/>
        <v>0</v>
      </c>
      <c r="AM22" s="9">
        <f t="shared" si="17"/>
        <v>0</v>
      </c>
      <c r="AN22" s="33">
        <f t="shared" si="17"/>
        <v>0</v>
      </c>
      <c r="AO22" s="5">
        <f t="shared" si="17"/>
        <v>5829297</v>
      </c>
      <c r="AP22" s="8">
        <f t="shared" si="17"/>
        <v>4199664</v>
      </c>
      <c r="AQ22" s="38">
        <f t="shared" si="17"/>
        <v>0</v>
      </c>
      <c r="AR22" s="38">
        <f t="shared" si="17"/>
        <v>0</v>
      </c>
      <c r="AS22" s="8">
        <f t="shared" si="17"/>
        <v>1419486</v>
      </c>
      <c r="AT22" s="8">
        <f t="shared" si="17"/>
        <v>83993</v>
      </c>
      <c r="AU22" s="8">
        <f t="shared" si="17"/>
        <v>126154</v>
      </c>
      <c r="AV22" s="9">
        <f t="shared" si="17"/>
        <v>10.281199999999998</v>
      </c>
      <c r="AW22" s="9">
        <f t="shared" si="17"/>
        <v>6.18</v>
      </c>
      <c r="AX22" s="74">
        <f t="shared" si="17"/>
        <v>4.1011999999999995</v>
      </c>
    </row>
    <row r="23" spans="1:50" ht="13.5" customHeight="1" x14ac:dyDescent="0.2">
      <c r="A23" s="710">
        <v>4</v>
      </c>
      <c r="B23" s="711">
        <v>3456</v>
      </c>
      <c r="C23" s="711">
        <v>600029051</v>
      </c>
      <c r="D23" s="711">
        <v>75125439</v>
      </c>
      <c r="E23" s="712" t="s">
        <v>127</v>
      </c>
      <c r="F23" s="711">
        <v>3233</v>
      </c>
      <c r="G23" s="713" t="s">
        <v>324</v>
      </c>
      <c r="H23" s="714" t="s">
        <v>284</v>
      </c>
      <c r="I23" s="495">
        <v>2174626</v>
      </c>
      <c r="J23" s="496">
        <v>1393097</v>
      </c>
      <c r="K23" s="475">
        <v>200000</v>
      </c>
      <c r="L23" s="475">
        <v>0</v>
      </c>
      <c r="M23" s="319">
        <v>538467</v>
      </c>
      <c r="N23" s="319">
        <v>27862</v>
      </c>
      <c r="O23" s="496">
        <v>15200</v>
      </c>
      <c r="P23" s="497">
        <v>3.15</v>
      </c>
      <c r="Q23" s="412">
        <v>2.2599999999999998</v>
      </c>
      <c r="R23" s="764">
        <v>0.89</v>
      </c>
      <c r="S23" s="530">
        <f>W23*-1</f>
        <v>0</v>
      </c>
      <c r="T23" s="486">
        <v>0</v>
      </c>
      <c r="U23" s="486">
        <v>0</v>
      </c>
      <c r="V23" s="486">
        <f>SUM(S23:U23)</f>
        <v>0</v>
      </c>
      <c r="W23" s="486">
        <v>0</v>
      </c>
      <c r="X23" s="486">
        <v>0</v>
      </c>
      <c r="Y23" s="486">
        <f>SUM(W23:X23)</f>
        <v>0</v>
      </c>
      <c r="Z23" s="486">
        <f>V23+Y23</f>
        <v>0</v>
      </c>
      <c r="AA23" s="319">
        <f>ROUND((V23+W23)*33.8%,0)</f>
        <v>0</v>
      </c>
      <c r="AB23" s="178">
        <f>ROUND(V23*2%,0)</f>
        <v>0</v>
      </c>
      <c r="AC23" s="486">
        <v>0</v>
      </c>
      <c r="AD23" s="486">
        <v>0</v>
      </c>
      <c r="AE23" s="486">
        <f t="shared" si="2"/>
        <v>0</v>
      </c>
      <c r="AF23" s="486">
        <f t="shared" si="3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>AG23+AI23+AJ23</f>
        <v>0</v>
      </c>
      <c r="AM23" s="501">
        <f>AH23+AK23</f>
        <v>0</v>
      </c>
      <c r="AN23" s="529">
        <f t="shared" si="5"/>
        <v>0</v>
      </c>
      <c r="AO23" s="530">
        <f>I23+AF23</f>
        <v>2174626</v>
      </c>
      <c r="AP23" s="486">
        <f>J23+V23</f>
        <v>1393097</v>
      </c>
      <c r="AQ23" s="486">
        <f>K23+Y23</f>
        <v>200000</v>
      </c>
      <c r="AR23" s="486">
        <f>L23</f>
        <v>0</v>
      </c>
      <c r="AS23" s="486">
        <f>M23+AA23</f>
        <v>538467</v>
      </c>
      <c r="AT23" s="486">
        <f>N23+AB23</f>
        <v>27862</v>
      </c>
      <c r="AU23" s="486">
        <f>O23+AE23</f>
        <v>15200</v>
      </c>
      <c r="AV23" s="501">
        <f>P23+AN23</f>
        <v>3.15</v>
      </c>
      <c r="AW23" s="501">
        <f>Q23+AL23</f>
        <v>2.2599999999999998</v>
      </c>
      <c r="AX23" s="502">
        <f>R23+AM23</f>
        <v>0.89</v>
      </c>
    </row>
    <row r="24" spans="1:50" ht="13.5" customHeight="1" x14ac:dyDescent="0.2">
      <c r="A24" s="282">
        <v>4</v>
      </c>
      <c r="B24" s="27">
        <v>3456</v>
      </c>
      <c r="C24" s="27">
        <v>600029051</v>
      </c>
      <c r="D24" s="27">
        <v>75125439</v>
      </c>
      <c r="E24" s="292" t="s">
        <v>128</v>
      </c>
      <c r="F24" s="27"/>
      <c r="G24" s="281"/>
      <c r="H24" s="377"/>
      <c r="I24" s="5">
        <v>2174626</v>
      </c>
      <c r="J24" s="8">
        <v>1393097</v>
      </c>
      <c r="K24" s="8">
        <v>200000</v>
      </c>
      <c r="L24" s="8">
        <v>0</v>
      </c>
      <c r="M24" s="8">
        <v>538467</v>
      </c>
      <c r="N24" s="8">
        <v>27862</v>
      </c>
      <c r="O24" s="8">
        <v>15200</v>
      </c>
      <c r="P24" s="9">
        <v>3.15</v>
      </c>
      <c r="Q24" s="9">
        <v>2.2599999999999998</v>
      </c>
      <c r="R24" s="33">
        <v>0.89</v>
      </c>
      <c r="S24" s="5">
        <f t="shared" ref="S24:AX24" si="18">SUM(S23)</f>
        <v>0</v>
      </c>
      <c r="T24" s="8">
        <f t="shared" si="18"/>
        <v>0</v>
      </c>
      <c r="U24" s="8">
        <f t="shared" si="18"/>
        <v>0</v>
      </c>
      <c r="V24" s="8">
        <f t="shared" si="18"/>
        <v>0</v>
      </c>
      <c r="W24" s="8">
        <f t="shared" si="18"/>
        <v>0</v>
      </c>
      <c r="X24" s="8">
        <f t="shared" si="18"/>
        <v>0</v>
      </c>
      <c r="Y24" s="8">
        <f t="shared" si="18"/>
        <v>0</v>
      </c>
      <c r="Z24" s="8">
        <f t="shared" si="18"/>
        <v>0</v>
      </c>
      <c r="AA24" s="8">
        <f t="shared" si="18"/>
        <v>0</v>
      </c>
      <c r="AB24" s="8">
        <f t="shared" si="18"/>
        <v>0</v>
      </c>
      <c r="AC24" s="8">
        <f t="shared" si="18"/>
        <v>0</v>
      </c>
      <c r="AD24" s="8">
        <f t="shared" si="18"/>
        <v>0</v>
      </c>
      <c r="AE24" s="8">
        <f t="shared" si="18"/>
        <v>0</v>
      </c>
      <c r="AF24" s="8">
        <f t="shared" si="18"/>
        <v>0</v>
      </c>
      <c r="AG24" s="9">
        <f t="shared" si="18"/>
        <v>0</v>
      </c>
      <c r="AH24" s="9">
        <f t="shared" si="18"/>
        <v>0</v>
      </c>
      <c r="AI24" s="9">
        <f t="shared" si="18"/>
        <v>0</v>
      </c>
      <c r="AJ24" s="9">
        <f t="shared" si="18"/>
        <v>0</v>
      </c>
      <c r="AK24" s="9">
        <f t="shared" si="18"/>
        <v>0</v>
      </c>
      <c r="AL24" s="9">
        <f t="shared" si="18"/>
        <v>0</v>
      </c>
      <c r="AM24" s="9">
        <f t="shared" si="18"/>
        <v>0</v>
      </c>
      <c r="AN24" s="33">
        <f t="shared" si="18"/>
        <v>0</v>
      </c>
      <c r="AO24" s="5">
        <f t="shared" si="18"/>
        <v>2174626</v>
      </c>
      <c r="AP24" s="8">
        <f t="shared" si="18"/>
        <v>1393097</v>
      </c>
      <c r="AQ24" s="38">
        <f t="shared" si="18"/>
        <v>200000</v>
      </c>
      <c r="AR24" s="38">
        <f t="shared" si="18"/>
        <v>0</v>
      </c>
      <c r="AS24" s="8">
        <f t="shared" si="18"/>
        <v>538467</v>
      </c>
      <c r="AT24" s="8">
        <f t="shared" si="18"/>
        <v>27862</v>
      </c>
      <c r="AU24" s="8">
        <f t="shared" si="18"/>
        <v>15200</v>
      </c>
      <c r="AV24" s="9">
        <f t="shared" si="18"/>
        <v>3.15</v>
      </c>
      <c r="AW24" s="9">
        <f t="shared" si="18"/>
        <v>2.2599999999999998</v>
      </c>
      <c r="AX24" s="74">
        <f t="shared" si="18"/>
        <v>0.89</v>
      </c>
    </row>
    <row r="25" spans="1:50" ht="13.5" customHeight="1" x14ac:dyDescent="0.2">
      <c r="A25" s="710">
        <v>5</v>
      </c>
      <c r="B25" s="711">
        <v>3447</v>
      </c>
      <c r="C25" s="711">
        <v>600078531</v>
      </c>
      <c r="D25" s="711">
        <v>70694982</v>
      </c>
      <c r="E25" s="712" t="s">
        <v>129</v>
      </c>
      <c r="F25" s="711">
        <v>3113</v>
      </c>
      <c r="G25" s="713" t="s">
        <v>320</v>
      </c>
      <c r="H25" s="714" t="s">
        <v>283</v>
      </c>
      <c r="I25" s="495">
        <v>17095326</v>
      </c>
      <c r="J25" s="496">
        <v>12182023</v>
      </c>
      <c r="K25" s="496">
        <v>71748</v>
      </c>
      <c r="L25" s="496">
        <v>66748</v>
      </c>
      <c r="M25" s="496">
        <v>4119214</v>
      </c>
      <c r="N25" s="496">
        <v>243641</v>
      </c>
      <c r="O25" s="496">
        <v>478700</v>
      </c>
      <c r="P25" s="497">
        <v>24.076800000000002</v>
      </c>
      <c r="Q25" s="412">
        <v>18.079300000000003</v>
      </c>
      <c r="R25" s="764">
        <v>5.9974999999999987</v>
      </c>
      <c r="S25" s="530">
        <f t="shared" ref="S25:S30" si="19">W25*-1</f>
        <v>0</v>
      </c>
      <c r="T25" s="486">
        <v>0</v>
      </c>
      <c r="U25" s="486">
        <v>-36819</v>
      </c>
      <c r="V25" s="486">
        <f t="shared" ref="V25:V30" si="20">SUM(S25:U25)</f>
        <v>-36819</v>
      </c>
      <c r="W25" s="486">
        <v>0</v>
      </c>
      <c r="X25" s="486">
        <v>0</v>
      </c>
      <c r="Y25" s="486">
        <f t="shared" ref="Y25:Y30" si="21">SUM(W25:X25)</f>
        <v>0</v>
      </c>
      <c r="Z25" s="486">
        <f t="shared" ref="Z25:Z30" si="22">V25+Y25</f>
        <v>-36819</v>
      </c>
      <c r="AA25" s="319">
        <f t="shared" ref="AA25:AA30" si="23">ROUND((V25+W25)*33.8%,0)</f>
        <v>-12445</v>
      </c>
      <c r="AB25" s="178">
        <f t="shared" ref="AB25:AB30" si="24">ROUND(V25*2%,0)</f>
        <v>-736</v>
      </c>
      <c r="AC25" s="486">
        <v>0</v>
      </c>
      <c r="AD25" s="486">
        <v>50000</v>
      </c>
      <c r="AE25" s="486">
        <f t="shared" si="2"/>
        <v>50000</v>
      </c>
      <c r="AF25" s="486">
        <f t="shared" si="3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ref="AL25:AL30" si="25">AG25+AI25+AJ25</f>
        <v>0</v>
      </c>
      <c r="AM25" s="501">
        <f t="shared" ref="AM25:AM30" si="26">AH25+AK25</f>
        <v>0</v>
      </c>
      <c r="AN25" s="529">
        <f t="shared" si="5"/>
        <v>0</v>
      </c>
      <c r="AO25" s="530">
        <f t="shared" ref="AO25:AO30" si="27">I25+AF25</f>
        <v>17095326</v>
      </c>
      <c r="AP25" s="486">
        <f t="shared" ref="AP25:AP30" si="28">J25+V25</f>
        <v>12145204</v>
      </c>
      <c r="AQ25" s="486">
        <f t="shared" ref="AQ25:AQ30" si="29">K25+Y25</f>
        <v>71748</v>
      </c>
      <c r="AR25" s="486">
        <f t="shared" ref="AR25:AR30" si="30">L25</f>
        <v>66748</v>
      </c>
      <c r="AS25" s="486">
        <f t="shared" ref="AS25:AT30" si="31">M25+AA25</f>
        <v>4106769</v>
      </c>
      <c r="AT25" s="486">
        <f t="shared" si="31"/>
        <v>242905</v>
      </c>
      <c r="AU25" s="486">
        <f t="shared" ref="AU25:AU30" si="32">O25+AE25</f>
        <v>528700</v>
      </c>
      <c r="AV25" s="501">
        <f t="shared" ref="AV25:AV30" si="33">P25+AN25</f>
        <v>24.076800000000002</v>
      </c>
      <c r="AW25" s="501">
        <f t="shared" ref="AW25:AX30" si="34">Q25+AL25</f>
        <v>18.079300000000003</v>
      </c>
      <c r="AX25" s="502">
        <f t="shared" si="34"/>
        <v>5.9974999999999987</v>
      </c>
    </row>
    <row r="26" spans="1:50" ht="13.5" customHeight="1" x14ac:dyDescent="0.2">
      <c r="A26" s="710">
        <v>5</v>
      </c>
      <c r="B26" s="711">
        <v>3447</v>
      </c>
      <c r="C26" s="711">
        <v>600078531</v>
      </c>
      <c r="D26" s="711">
        <v>70694982</v>
      </c>
      <c r="E26" s="712" t="s">
        <v>129</v>
      </c>
      <c r="F26" s="711">
        <v>3113</v>
      </c>
      <c r="G26" s="713" t="s">
        <v>319</v>
      </c>
      <c r="H26" s="714" t="s">
        <v>283</v>
      </c>
      <c r="I26" s="495">
        <v>429921</v>
      </c>
      <c r="J26" s="496">
        <v>316584</v>
      </c>
      <c r="K26" s="475">
        <v>0</v>
      </c>
      <c r="L26" s="475">
        <v>0</v>
      </c>
      <c r="M26" s="319">
        <v>107005</v>
      </c>
      <c r="N26" s="319">
        <v>6332</v>
      </c>
      <c r="O26" s="496">
        <v>0</v>
      </c>
      <c r="P26" s="497">
        <v>0.75</v>
      </c>
      <c r="Q26" s="412">
        <v>0.75</v>
      </c>
      <c r="R26" s="764">
        <v>0</v>
      </c>
      <c r="S26" s="530">
        <f t="shared" si="19"/>
        <v>0</v>
      </c>
      <c r="T26" s="486">
        <v>0</v>
      </c>
      <c r="U26" s="486">
        <v>0</v>
      </c>
      <c r="V26" s="486">
        <f t="shared" si="20"/>
        <v>0</v>
      </c>
      <c r="W26" s="486">
        <v>0</v>
      </c>
      <c r="X26" s="486">
        <v>0</v>
      </c>
      <c r="Y26" s="486">
        <f t="shared" si="21"/>
        <v>0</v>
      </c>
      <c r="Z26" s="486">
        <f t="shared" si="22"/>
        <v>0</v>
      </c>
      <c r="AA26" s="319">
        <f t="shared" si="23"/>
        <v>0</v>
      </c>
      <c r="AB26" s="178">
        <f t="shared" si="24"/>
        <v>0</v>
      </c>
      <c r="AC26" s="486">
        <v>0</v>
      </c>
      <c r="AD26" s="486">
        <v>0</v>
      </c>
      <c r="AE26" s="486">
        <f t="shared" si="2"/>
        <v>0</v>
      </c>
      <c r="AF26" s="486">
        <f t="shared" si="3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25"/>
        <v>0</v>
      </c>
      <c r="AM26" s="501">
        <f t="shared" si="26"/>
        <v>0</v>
      </c>
      <c r="AN26" s="529">
        <f t="shared" si="5"/>
        <v>0</v>
      </c>
      <c r="AO26" s="530">
        <f t="shared" si="27"/>
        <v>429921</v>
      </c>
      <c r="AP26" s="486">
        <f t="shared" si="28"/>
        <v>316584</v>
      </c>
      <c r="AQ26" s="486">
        <f t="shared" si="29"/>
        <v>0</v>
      </c>
      <c r="AR26" s="486">
        <f t="shared" si="30"/>
        <v>0</v>
      </c>
      <c r="AS26" s="486">
        <f t="shared" si="31"/>
        <v>107005</v>
      </c>
      <c r="AT26" s="486">
        <f t="shared" si="31"/>
        <v>6332</v>
      </c>
      <c r="AU26" s="486">
        <f t="shared" si="32"/>
        <v>0</v>
      </c>
      <c r="AV26" s="501">
        <f t="shared" si="33"/>
        <v>0.75</v>
      </c>
      <c r="AW26" s="501">
        <f t="shared" si="34"/>
        <v>0.75</v>
      </c>
      <c r="AX26" s="502">
        <f t="shared" si="34"/>
        <v>0</v>
      </c>
    </row>
    <row r="27" spans="1:50" ht="13.5" customHeight="1" x14ac:dyDescent="0.2">
      <c r="A27" s="710">
        <v>5</v>
      </c>
      <c r="B27" s="711">
        <v>3447</v>
      </c>
      <c r="C27" s="711">
        <v>600078531</v>
      </c>
      <c r="D27" s="711">
        <v>70694982</v>
      </c>
      <c r="E27" s="712" t="s">
        <v>129</v>
      </c>
      <c r="F27" s="711">
        <v>3113</v>
      </c>
      <c r="G27" s="713" t="s">
        <v>325</v>
      </c>
      <c r="H27" s="714" t="s">
        <v>284</v>
      </c>
      <c r="I27" s="495">
        <v>1312901</v>
      </c>
      <c r="J27" s="496">
        <v>966790</v>
      </c>
      <c r="K27" s="475">
        <v>0</v>
      </c>
      <c r="L27" s="475">
        <v>0</v>
      </c>
      <c r="M27" s="319">
        <v>326775</v>
      </c>
      <c r="N27" s="319">
        <v>19336</v>
      </c>
      <c r="O27" s="496">
        <v>0</v>
      </c>
      <c r="P27" s="497">
        <v>2.77</v>
      </c>
      <c r="Q27" s="412">
        <v>2.77</v>
      </c>
      <c r="R27" s="764">
        <v>0</v>
      </c>
      <c r="S27" s="530">
        <f t="shared" si="19"/>
        <v>0</v>
      </c>
      <c r="T27" s="486">
        <v>1890</v>
      </c>
      <c r="U27" s="486">
        <v>0</v>
      </c>
      <c r="V27" s="486">
        <f t="shared" si="20"/>
        <v>1890</v>
      </c>
      <c r="W27" s="486">
        <v>0</v>
      </c>
      <c r="X27" s="486">
        <v>0</v>
      </c>
      <c r="Y27" s="486">
        <f t="shared" si="21"/>
        <v>0</v>
      </c>
      <c r="Z27" s="486">
        <f t="shared" si="22"/>
        <v>1890</v>
      </c>
      <c r="AA27" s="319">
        <f t="shared" si="23"/>
        <v>639</v>
      </c>
      <c r="AB27" s="178">
        <f t="shared" si="24"/>
        <v>38</v>
      </c>
      <c r="AC27" s="486">
        <v>0</v>
      </c>
      <c r="AD27" s="486">
        <v>0</v>
      </c>
      <c r="AE27" s="486">
        <f t="shared" si="2"/>
        <v>0</v>
      </c>
      <c r="AF27" s="486">
        <f t="shared" si="3"/>
        <v>2567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 t="shared" si="25"/>
        <v>0</v>
      </c>
      <c r="AM27" s="501">
        <f t="shared" si="26"/>
        <v>0</v>
      </c>
      <c r="AN27" s="529">
        <f t="shared" si="5"/>
        <v>0</v>
      </c>
      <c r="AO27" s="530">
        <f t="shared" si="27"/>
        <v>1315468</v>
      </c>
      <c r="AP27" s="486">
        <f t="shared" si="28"/>
        <v>968680</v>
      </c>
      <c r="AQ27" s="486">
        <f t="shared" si="29"/>
        <v>0</v>
      </c>
      <c r="AR27" s="486">
        <f t="shared" si="30"/>
        <v>0</v>
      </c>
      <c r="AS27" s="486">
        <f t="shared" si="31"/>
        <v>327414</v>
      </c>
      <c r="AT27" s="486">
        <f t="shared" si="31"/>
        <v>19374</v>
      </c>
      <c r="AU27" s="486">
        <f t="shared" si="32"/>
        <v>0</v>
      </c>
      <c r="AV27" s="501">
        <f t="shared" si="33"/>
        <v>2.77</v>
      </c>
      <c r="AW27" s="501">
        <f t="shared" si="34"/>
        <v>2.77</v>
      </c>
      <c r="AX27" s="502">
        <f t="shared" si="34"/>
        <v>0</v>
      </c>
    </row>
    <row r="28" spans="1:50" ht="13.5" customHeight="1" x14ac:dyDescent="0.2">
      <c r="A28" s="710">
        <v>5</v>
      </c>
      <c r="B28" s="711">
        <v>3447</v>
      </c>
      <c r="C28" s="711">
        <v>600078531</v>
      </c>
      <c r="D28" s="711">
        <v>70694982</v>
      </c>
      <c r="E28" s="712" t="s">
        <v>129</v>
      </c>
      <c r="F28" s="711">
        <v>3141</v>
      </c>
      <c r="G28" s="713" t="s">
        <v>321</v>
      </c>
      <c r="H28" s="714" t="s">
        <v>284</v>
      </c>
      <c r="I28" s="495">
        <v>1330612</v>
      </c>
      <c r="J28" s="496">
        <v>968032</v>
      </c>
      <c r="K28" s="475">
        <v>4000</v>
      </c>
      <c r="L28" s="475">
        <v>0</v>
      </c>
      <c r="M28" s="319">
        <v>328547</v>
      </c>
      <c r="N28" s="319">
        <v>19361</v>
      </c>
      <c r="O28" s="496">
        <v>10672</v>
      </c>
      <c r="P28" s="497">
        <v>3.3</v>
      </c>
      <c r="Q28" s="412">
        <v>0</v>
      </c>
      <c r="R28" s="764">
        <v>3.3</v>
      </c>
      <c r="S28" s="530">
        <f t="shared" si="19"/>
        <v>0</v>
      </c>
      <c r="T28" s="486">
        <v>0</v>
      </c>
      <c r="U28" s="486">
        <v>0</v>
      </c>
      <c r="V28" s="486">
        <f t="shared" si="20"/>
        <v>0</v>
      </c>
      <c r="W28" s="486">
        <v>0</v>
      </c>
      <c r="X28" s="486">
        <v>0</v>
      </c>
      <c r="Y28" s="486">
        <f t="shared" si="21"/>
        <v>0</v>
      </c>
      <c r="Z28" s="486">
        <f t="shared" si="22"/>
        <v>0</v>
      </c>
      <c r="AA28" s="319">
        <f t="shared" si="23"/>
        <v>0</v>
      </c>
      <c r="AB28" s="178">
        <f t="shared" si="24"/>
        <v>0</v>
      </c>
      <c r="AC28" s="486">
        <v>0</v>
      </c>
      <c r="AD28" s="486">
        <v>0</v>
      </c>
      <c r="AE28" s="486">
        <f t="shared" si="2"/>
        <v>0</v>
      </c>
      <c r="AF28" s="486">
        <f t="shared" si="3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si="25"/>
        <v>0</v>
      </c>
      <c r="AM28" s="501">
        <f t="shared" si="26"/>
        <v>0</v>
      </c>
      <c r="AN28" s="529">
        <f t="shared" si="5"/>
        <v>0</v>
      </c>
      <c r="AO28" s="530">
        <f t="shared" si="27"/>
        <v>1330612</v>
      </c>
      <c r="AP28" s="486">
        <f t="shared" si="28"/>
        <v>968032</v>
      </c>
      <c r="AQ28" s="486">
        <f t="shared" si="29"/>
        <v>4000</v>
      </c>
      <c r="AR28" s="486">
        <f t="shared" si="30"/>
        <v>0</v>
      </c>
      <c r="AS28" s="486">
        <f t="shared" si="31"/>
        <v>328547</v>
      </c>
      <c r="AT28" s="486">
        <f t="shared" si="31"/>
        <v>19361</v>
      </c>
      <c r="AU28" s="486">
        <f t="shared" si="32"/>
        <v>10672</v>
      </c>
      <c r="AV28" s="501">
        <f t="shared" si="33"/>
        <v>3.3</v>
      </c>
      <c r="AW28" s="501">
        <f t="shared" si="34"/>
        <v>0</v>
      </c>
      <c r="AX28" s="502">
        <f t="shared" si="34"/>
        <v>3.3</v>
      </c>
    </row>
    <row r="29" spans="1:50" ht="13.5" customHeight="1" x14ac:dyDescent="0.2">
      <c r="A29" s="710">
        <v>5</v>
      </c>
      <c r="B29" s="711">
        <v>3447</v>
      </c>
      <c r="C29" s="711">
        <v>600078531</v>
      </c>
      <c r="D29" s="711">
        <v>70694982</v>
      </c>
      <c r="E29" s="712" t="s">
        <v>129</v>
      </c>
      <c r="F29" s="711">
        <v>3143</v>
      </c>
      <c r="G29" s="713" t="s">
        <v>634</v>
      </c>
      <c r="H29" s="701" t="s">
        <v>283</v>
      </c>
      <c r="I29" s="495">
        <v>1309848</v>
      </c>
      <c r="J29" s="496">
        <v>960108</v>
      </c>
      <c r="K29" s="475">
        <v>4500</v>
      </c>
      <c r="L29" s="475">
        <v>0</v>
      </c>
      <c r="M29" s="319">
        <v>326038</v>
      </c>
      <c r="N29" s="319">
        <v>19202</v>
      </c>
      <c r="O29" s="496">
        <v>0</v>
      </c>
      <c r="P29" s="497">
        <v>2</v>
      </c>
      <c r="Q29" s="412">
        <v>2</v>
      </c>
      <c r="R29" s="764">
        <v>0</v>
      </c>
      <c r="S29" s="530">
        <f t="shared" si="19"/>
        <v>0</v>
      </c>
      <c r="T29" s="486">
        <v>0</v>
      </c>
      <c r="U29" s="486">
        <v>0</v>
      </c>
      <c r="V29" s="486">
        <f t="shared" si="20"/>
        <v>0</v>
      </c>
      <c r="W29" s="486">
        <v>0</v>
      </c>
      <c r="X29" s="486">
        <v>0</v>
      </c>
      <c r="Y29" s="486">
        <f t="shared" si="21"/>
        <v>0</v>
      </c>
      <c r="Z29" s="486">
        <f t="shared" si="22"/>
        <v>0</v>
      </c>
      <c r="AA29" s="319">
        <f t="shared" si="23"/>
        <v>0</v>
      </c>
      <c r="AB29" s="178">
        <f t="shared" si="24"/>
        <v>0</v>
      </c>
      <c r="AC29" s="486">
        <v>0</v>
      </c>
      <c r="AD29" s="486">
        <v>0</v>
      </c>
      <c r="AE29" s="486">
        <f t="shared" si="2"/>
        <v>0</v>
      </c>
      <c r="AF29" s="486">
        <f t="shared" si="3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25"/>
        <v>0</v>
      </c>
      <c r="AM29" s="501">
        <f t="shared" si="26"/>
        <v>0</v>
      </c>
      <c r="AN29" s="529">
        <f t="shared" si="5"/>
        <v>0</v>
      </c>
      <c r="AO29" s="530">
        <f t="shared" si="27"/>
        <v>1309848</v>
      </c>
      <c r="AP29" s="486">
        <f t="shared" si="28"/>
        <v>960108</v>
      </c>
      <c r="AQ29" s="486">
        <f t="shared" si="29"/>
        <v>4500</v>
      </c>
      <c r="AR29" s="486">
        <f t="shared" si="30"/>
        <v>0</v>
      </c>
      <c r="AS29" s="486">
        <f t="shared" si="31"/>
        <v>326038</v>
      </c>
      <c r="AT29" s="486">
        <f t="shared" si="31"/>
        <v>19202</v>
      </c>
      <c r="AU29" s="486">
        <f t="shared" si="32"/>
        <v>0</v>
      </c>
      <c r="AV29" s="501">
        <f t="shared" si="33"/>
        <v>2</v>
      </c>
      <c r="AW29" s="501">
        <f t="shared" si="34"/>
        <v>2</v>
      </c>
      <c r="AX29" s="502">
        <f t="shared" si="34"/>
        <v>0</v>
      </c>
    </row>
    <row r="30" spans="1:50" ht="13.5" customHeight="1" x14ac:dyDescent="0.2">
      <c r="A30" s="710">
        <v>5</v>
      </c>
      <c r="B30" s="711">
        <v>3447</v>
      </c>
      <c r="C30" s="711">
        <v>600078531</v>
      </c>
      <c r="D30" s="711">
        <v>70694982</v>
      </c>
      <c r="E30" s="712" t="s">
        <v>129</v>
      </c>
      <c r="F30" s="711">
        <v>3143</v>
      </c>
      <c r="G30" s="713" t="s">
        <v>635</v>
      </c>
      <c r="H30" s="701" t="s">
        <v>284</v>
      </c>
      <c r="I30" s="495">
        <v>41430</v>
      </c>
      <c r="J30" s="496">
        <v>29205</v>
      </c>
      <c r="K30" s="475">
        <v>0</v>
      </c>
      <c r="L30" s="475">
        <v>0</v>
      </c>
      <c r="M30" s="319">
        <v>9871</v>
      </c>
      <c r="N30" s="319">
        <v>584</v>
      </c>
      <c r="O30" s="496">
        <v>1770</v>
      </c>
      <c r="P30" s="497">
        <v>0.12</v>
      </c>
      <c r="Q30" s="412">
        <v>0</v>
      </c>
      <c r="R30" s="764">
        <v>0.12</v>
      </c>
      <c r="S30" s="530">
        <f t="shared" si="19"/>
        <v>0</v>
      </c>
      <c r="T30" s="486">
        <v>0</v>
      </c>
      <c r="U30" s="486">
        <v>0</v>
      </c>
      <c r="V30" s="486">
        <f t="shared" si="20"/>
        <v>0</v>
      </c>
      <c r="W30" s="486">
        <v>0</v>
      </c>
      <c r="X30" s="486">
        <v>0</v>
      </c>
      <c r="Y30" s="486">
        <f t="shared" si="21"/>
        <v>0</v>
      </c>
      <c r="Z30" s="486">
        <f t="shared" si="22"/>
        <v>0</v>
      </c>
      <c r="AA30" s="319">
        <f t="shared" si="23"/>
        <v>0</v>
      </c>
      <c r="AB30" s="178">
        <f t="shared" si="24"/>
        <v>0</v>
      </c>
      <c r="AC30" s="486">
        <v>0</v>
      </c>
      <c r="AD30" s="486">
        <v>0</v>
      </c>
      <c r="AE30" s="486">
        <f t="shared" si="2"/>
        <v>0</v>
      </c>
      <c r="AF30" s="486">
        <f t="shared" si="3"/>
        <v>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si="25"/>
        <v>0</v>
      </c>
      <c r="AM30" s="501">
        <f t="shared" si="26"/>
        <v>0</v>
      </c>
      <c r="AN30" s="529">
        <f t="shared" si="5"/>
        <v>0</v>
      </c>
      <c r="AO30" s="530">
        <f t="shared" si="27"/>
        <v>41430</v>
      </c>
      <c r="AP30" s="486">
        <f t="shared" si="28"/>
        <v>29205</v>
      </c>
      <c r="AQ30" s="486">
        <f t="shared" si="29"/>
        <v>0</v>
      </c>
      <c r="AR30" s="486">
        <f t="shared" si="30"/>
        <v>0</v>
      </c>
      <c r="AS30" s="486">
        <f t="shared" si="31"/>
        <v>9871</v>
      </c>
      <c r="AT30" s="486">
        <f t="shared" si="31"/>
        <v>584</v>
      </c>
      <c r="AU30" s="486">
        <f t="shared" si="32"/>
        <v>1770</v>
      </c>
      <c r="AV30" s="501">
        <f t="shared" si="33"/>
        <v>0.12</v>
      </c>
      <c r="AW30" s="501">
        <f t="shared" si="34"/>
        <v>0</v>
      </c>
      <c r="AX30" s="502">
        <f t="shared" si="34"/>
        <v>0.12</v>
      </c>
    </row>
    <row r="31" spans="1:50" ht="13.5" customHeight="1" x14ac:dyDescent="0.2">
      <c r="A31" s="282">
        <v>5</v>
      </c>
      <c r="B31" s="27">
        <v>3447</v>
      </c>
      <c r="C31" s="27">
        <v>600078531</v>
      </c>
      <c r="D31" s="27">
        <v>70694982</v>
      </c>
      <c r="E31" s="292" t="s">
        <v>130</v>
      </c>
      <c r="F31" s="27"/>
      <c r="G31" s="281"/>
      <c r="H31" s="377"/>
      <c r="I31" s="5">
        <v>21520038</v>
      </c>
      <c r="J31" s="8">
        <v>15422742</v>
      </c>
      <c r="K31" s="8">
        <v>80248</v>
      </c>
      <c r="L31" s="8">
        <v>66748</v>
      </c>
      <c r="M31" s="8">
        <v>5217450</v>
      </c>
      <c r="N31" s="8">
        <v>308456</v>
      </c>
      <c r="O31" s="8">
        <v>491142</v>
      </c>
      <c r="P31" s="9">
        <v>33.016799999999996</v>
      </c>
      <c r="Q31" s="9">
        <v>23.599300000000003</v>
      </c>
      <c r="R31" s="33">
        <v>9.4174999999999986</v>
      </c>
      <c r="S31" s="5">
        <f t="shared" ref="S31:AX31" si="35">SUM(S25:S30)</f>
        <v>0</v>
      </c>
      <c r="T31" s="8">
        <f t="shared" si="35"/>
        <v>1890</v>
      </c>
      <c r="U31" s="8">
        <f t="shared" si="35"/>
        <v>-36819</v>
      </c>
      <c r="V31" s="8">
        <f t="shared" si="35"/>
        <v>-34929</v>
      </c>
      <c r="W31" s="8">
        <f t="shared" si="35"/>
        <v>0</v>
      </c>
      <c r="X31" s="8">
        <f t="shared" si="35"/>
        <v>0</v>
      </c>
      <c r="Y31" s="8">
        <f t="shared" si="35"/>
        <v>0</v>
      </c>
      <c r="Z31" s="8">
        <f t="shared" si="35"/>
        <v>-34929</v>
      </c>
      <c r="AA31" s="8">
        <f t="shared" si="35"/>
        <v>-11806</v>
      </c>
      <c r="AB31" s="8">
        <f t="shared" si="35"/>
        <v>-698</v>
      </c>
      <c r="AC31" s="8">
        <f t="shared" si="35"/>
        <v>0</v>
      </c>
      <c r="AD31" s="8">
        <f t="shared" si="35"/>
        <v>50000</v>
      </c>
      <c r="AE31" s="8">
        <f t="shared" si="35"/>
        <v>50000</v>
      </c>
      <c r="AF31" s="8">
        <f t="shared" si="35"/>
        <v>2567</v>
      </c>
      <c r="AG31" s="9">
        <f t="shared" si="35"/>
        <v>0</v>
      </c>
      <c r="AH31" s="9">
        <f t="shared" si="35"/>
        <v>0</v>
      </c>
      <c r="AI31" s="9">
        <f t="shared" si="35"/>
        <v>0</v>
      </c>
      <c r="AJ31" s="9">
        <f t="shared" si="35"/>
        <v>0</v>
      </c>
      <c r="AK31" s="9">
        <f t="shared" si="35"/>
        <v>0</v>
      </c>
      <c r="AL31" s="9">
        <f t="shared" si="35"/>
        <v>0</v>
      </c>
      <c r="AM31" s="9">
        <f t="shared" si="35"/>
        <v>0</v>
      </c>
      <c r="AN31" s="33">
        <f t="shared" si="35"/>
        <v>0</v>
      </c>
      <c r="AO31" s="5">
        <f t="shared" si="35"/>
        <v>21522605</v>
      </c>
      <c r="AP31" s="8">
        <f t="shared" si="35"/>
        <v>15387813</v>
      </c>
      <c r="AQ31" s="38">
        <f t="shared" si="35"/>
        <v>80248</v>
      </c>
      <c r="AR31" s="38">
        <f t="shared" si="35"/>
        <v>66748</v>
      </c>
      <c r="AS31" s="8">
        <f t="shared" si="35"/>
        <v>5205644</v>
      </c>
      <c r="AT31" s="8">
        <f t="shared" si="35"/>
        <v>307758</v>
      </c>
      <c r="AU31" s="8">
        <f t="shared" si="35"/>
        <v>541142</v>
      </c>
      <c r="AV31" s="9">
        <f t="shared" si="35"/>
        <v>33.016799999999996</v>
      </c>
      <c r="AW31" s="9">
        <f t="shared" si="35"/>
        <v>23.599300000000003</v>
      </c>
      <c r="AX31" s="74">
        <f t="shared" si="35"/>
        <v>9.4174999999999986</v>
      </c>
    </row>
    <row r="32" spans="1:50" ht="13.5" customHeight="1" x14ac:dyDescent="0.2">
      <c r="A32" s="710">
        <v>6</v>
      </c>
      <c r="B32" s="711">
        <v>3446</v>
      </c>
      <c r="C32" s="711">
        <v>600078515</v>
      </c>
      <c r="D32" s="711">
        <v>70694974</v>
      </c>
      <c r="E32" s="712" t="s">
        <v>131</v>
      </c>
      <c r="F32" s="711">
        <v>3113</v>
      </c>
      <c r="G32" s="713" t="s">
        <v>320</v>
      </c>
      <c r="H32" s="714" t="s">
        <v>283</v>
      </c>
      <c r="I32" s="495">
        <v>22989647</v>
      </c>
      <c r="J32" s="496">
        <v>16235739</v>
      </c>
      <c r="K32" s="496">
        <v>157409</v>
      </c>
      <c r="L32" s="496">
        <v>113309</v>
      </c>
      <c r="M32" s="496">
        <v>5502585</v>
      </c>
      <c r="N32" s="496">
        <v>324714</v>
      </c>
      <c r="O32" s="496">
        <v>769200</v>
      </c>
      <c r="P32" s="497">
        <v>31.279799999999998</v>
      </c>
      <c r="Q32" s="412">
        <v>24.228000000000002</v>
      </c>
      <c r="R32" s="764">
        <v>7.0517999999999992</v>
      </c>
      <c r="S32" s="530">
        <f t="shared" ref="S32:S36" si="36">W32*-1</f>
        <v>0</v>
      </c>
      <c r="T32" s="486">
        <v>0</v>
      </c>
      <c r="U32" s="486">
        <v>0</v>
      </c>
      <c r="V32" s="486">
        <f>SUM(S32:U32)</f>
        <v>0</v>
      </c>
      <c r="W32" s="486">
        <v>0</v>
      </c>
      <c r="X32" s="486">
        <v>0</v>
      </c>
      <c r="Y32" s="486">
        <f>SUM(W32:X32)</f>
        <v>0</v>
      </c>
      <c r="Z32" s="486">
        <f>V32+Y32</f>
        <v>0</v>
      </c>
      <c r="AA32" s="319">
        <f>ROUND((V32+W32)*33.8%,0)</f>
        <v>0</v>
      </c>
      <c r="AB32" s="178">
        <f>ROUND(V32*2%,0)</f>
        <v>0</v>
      </c>
      <c r="AC32" s="486">
        <v>0</v>
      </c>
      <c r="AD32" s="486">
        <v>0</v>
      </c>
      <c r="AE32" s="486">
        <f t="shared" si="2"/>
        <v>0</v>
      </c>
      <c r="AF32" s="486">
        <f t="shared" si="3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ref="AL32:AL36" si="37">AG32+AI32+AJ32</f>
        <v>0</v>
      </c>
      <c r="AM32" s="501">
        <f t="shared" ref="AM32:AM36" si="38">AH32+AK32</f>
        <v>0</v>
      </c>
      <c r="AN32" s="529">
        <f t="shared" si="5"/>
        <v>0</v>
      </c>
      <c r="AO32" s="530">
        <f>I32+AF32</f>
        <v>22989647</v>
      </c>
      <c r="AP32" s="486">
        <f>J32+V32</f>
        <v>16235739</v>
      </c>
      <c r="AQ32" s="486">
        <f>K32+Y32</f>
        <v>157409</v>
      </c>
      <c r="AR32" s="486">
        <f>L32</f>
        <v>113309</v>
      </c>
      <c r="AS32" s="486">
        <f t="shared" ref="AS32:AT36" si="39">M32+AA32</f>
        <v>5502585</v>
      </c>
      <c r="AT32" s="486">
        <f t="shared" si="39"/>
        <v>324714</v>
      </c>
      <c r="AU32" s="486">
        <f>O32+AE32</f>
        <v>769200</v>
      </c>
      <c r="AV32" s="501">
        <f>P32+AN32</f>
        <v>31.279799999999998</v>
      </c>
      <c r="AW32" s="501">
        <f t="shared" ref="AW32:AX36" si="40">Q32+AL32</f>
        <v>24.228000000000002</v>
      </c>
      <c r="AX32" s="502">
        <f t="shared" si="40"/>
        <v>7.0517999999999992</v>
      </c>
    </row>
    <row r="33" spans="1:50" ht="13.5" customHeight="1" x14ac:dyDescent="0.2">
      <c r="A33" s="710">
        <v>6</v>
      </c>
      <c r="B33" s="711">
        <v>3446</v>
      </c>
      <c r="C33" s="711">
        <v>600078515</v>
      </c>
      <c r="D33" s="711">
        <v>70694974</v>
      </c>
      <c r="E33" s="712" t="s">
        <v>131</v>
      </c>
      <c r="F33" s="711">
        <v>3113</v>
      </c>
      <c r="G33" s="713" t="s">
        <v>318</v>
      </c>
      <c r="H33" s="714" t="s">
        <v>284</v>
      </c>
      <c r="I33" s="495">
        <v>1270907</v>
      </c>
      <c r="J33" s="496">
        <v>935867</v>
      </c>
      <c r="K33" s="475">
        <v>0</v>
      </c>
      <c r="L33" s="475">
        <v>0</v>
      </c>
      <c r="M33" s="319">
        <v>316323</v>
      </c>
      <c r="N33" s="319">
        <v>18717</v>
      </c>
      <c r="O33" s="496">
        <v>0</v>
      </c>
      <c r="P33" s="497">
        <v>2.73</v>
      </c>
      <c r="Q33" s="412">
        <v>2.73</v>
      </c>
      <c r="R33" s="764">
        <v>0</v>
      </c>
      <c r="S33" s="530">
        <f t="shared" si="36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2"/>
        <v>0</v>
      </c>
      <c r="AF33" s="486">
        <f t="shared" si="3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37"/>
        <v>0</v>
      </c>
      <c r="AM33" s="501">
        <f t="shared" si="38"/>
        <v>0</v>
      </c>
      <c r="AN33" s="529">
        <f t="shared" si="5"/>
        <v>0</v>
      </c>
      <c r="AO33" s="530">
        <f>I33+AF33</f>
        <v>1270907</v>
      </c>
      <c r="AP33" s="486">
        <f>J33+V33</f>
        <v>935867</v>
      </c>
      <c r="AQ33" s="486">
        <f>K33+Y33</f>
        <v>0</v>
      </c>
      <c r="AR33" s="486">
        <f>L33</f>
        <v>0</v>
      </c>
      <c r="AS33" s="486">
        <f t="shared" si="39"/>
        <v>316323</v>
      </c>
      <c r="AT33" s="486">
        <f t="shared" si="39"/>
        <v>18717</v>
      </c>
      <c r="AU33" s="486">
        <f>O33+AE33</f>
        <v>0</v>
      </c>
      <c r="AV33" s="501">
        <f>P33+AN33</f>
        <v>2.73</v>
      </c>
      <c r="AW33" s="501">
        <f t="shared" si="40"/>
        <v>2.73</v>
      </c>
      <c r="AX33" s="502">
        <f t="shared" si="40"/>
        <v>0</v>
      </c>
    </row>
    <row r="34" spans="1:50" ht="13.5" customHeight="1" x14ac:dyDescent="0.2">
      <c r="A34" s="710">
        <v>6</v>
      </c>
      <c r="B34" s="711">
        <v>3446</v>
      </c>
      <c r="C34" s="711">
        <v>600078515</v>
      </c>
      <c r="D34" s="711">
        <v>70694974</v>
      </c>
      <c r="E34" s="712" t="s">
        <v>131</v>
      </c>
      <c r="F34" s="711">
        <v>3141</v>
      </c>
      <c r="G34" s="713" t="s">
        <v>321</v>
      </c>
      <c r="H34" s="714" t="s">
        <v>284</v>
      </c>
      <c r="I34" s="495">
        <v>1983813</v>
      </c>
      <c r="J34" s="496">
        <v>1447295</v>
      </c>
      <c r="K34" s="475">
        <v>0</v>
      </c>
      <c r="L34" s="475">
        <v>0</v>
      </c>
      <c r="M34" s="319">
        <v>489186</v>
      </c>
      <c r="N34" s="319">
        <v>28946</v>
      </c>
      <c r="O34" s="496">
        <v>18386</v>
      </c>
      <c r="P34" s="497">
        <v>4.92</v>
      </c>
      <c r="Q34" s="412">
        <v>0</v>
      </c>
      <c r="R34" s="764">
        <v>4.92</v>
      </c>
      <c r="S34" s="530">
        <f t="shared" si="36"/>
        <v>0</v>
      </c>
      <c r="T34" s="486">
        <v>0</v>
      </c>
      <c r="U34" s="486">
        <v>0</v>
      </c>
      <c r="V34" s="486">
        <f>SUM(S34:U34)</f>
        <v>0</v>
      </c>
      <c r="W34" s="486">
        <v>0</v>
      </c>
      <c r="X34" s="486">
        <v>0</v>
      </c>
      <c r="Y34" s="486">
        <f>SUM(W34:X34)</f>
        <v>0</v>
      </c>
      <c r="Z34" s="486">
        <f>V34+Y34</f>
        <v>0</v>
      </c>
      <c r="AA34" s="319">
        <f>ROUND((V34+W34)*33.8%,0)</f>
        <v>0</v>
      </c>
      <c r="AB34" s="178">
        <f>ROUND(V34*2%,0)</f>
        <v>0</v>
      </c>
      <c r="AC34" s="486">
        <v>0</v>
      </c>
      <c r="AD34" s="486">
        <v>0</v>
      </c>
      <c r="AE34" s="486">
        <f t="shared" si="2"/>
        <v>0</v>
      </c>
      <c r="AF34" s="486">
        <f t="shared" si="3"/>
        <v>0</v>
      </c>
      <c r="AG34" s="501">
        <v>0</v>
      </c>
      <c r="AH34" s="501">
        <v>0</v>
      </c>
      <c r="AI34" s="501">
        <v>0</v>
      </c>
      <c r="AJ34" s="501">
        <v>0</v>
      </c>
      <c r="AK34" s="501">
        <v>0</v>
      </c>
      <c r="AL34" s="501">
        <f t="shared" si="37"/>
        <v>0</v>
      </c>
      <c r="AM34" s="501">
        <f t="shared" si="38"/>
        <v>0</v>
      </c>
      <c r="AN34" s="529">
        <f t="shared" si="5"/>
        <v>0</v>
      </c>
      <c r="AO34" s="530">
        <f>I34+AF34</f>
        <v>1983813</v>
      </c>
      <c r="AP34" s="486">
        <f>J34+V34</f>
        <v>1447295</v>
      </c>
      <c r="AQ34" s="486">
        <f>K34+Y34</f>
        <v>0</v>
      </c>
      <c r="AR34" s="486">
        <f>L34</f>
        <v>0</v>
      </c>
      <c r="AS34" s="486">
        <f t="shared" si="39"/>
        <v>489186</v>
      </c>
      <c r="AT34" s="486">
        <f t="shared" si="39"/>
        <v>28946</v>
      </c>
      <c r="AU34" s="486">
        <f>O34+AE34</f>
        <v>18386</v>
      </c>
      <c r="AV34" s="501">
        <f>P34+AN34</f>
        <v>4.92</v>
      </c>
      <c r="AW34" s="501">
        <f t="shared" si="40"/>
        <v>0</v>
      </c>
      <c r="AX34" s="502">
        <f t="shared" si="40"/>
        <v>4.92</v>
      </c>
    </row>
    <row r="35" spans="1:50" ht="13.5" customHeight="1" x14ac:dyDescent="0.2">
      <c r="A35" s="710">
        <v>6</v>
      </c>
      <c r="B35" s="711">
        <v>3446</v>
      </c>
      <c r="C35" s="711">
        <v>600078515</v>
      </c>
      <c r="D35" s="711">
        <v>70694974</v>
      </c>
      <c r="E35" s="712" t="s">
        <v>131</v>
      </c>
      <c r="F35" s="711">
        <v>3143</v>
      </c>
      <c r="G35" s="713" t="s">
        <v>634</v>
      </c>
      <c r="H35" s="701" t="s">
        <v>283</v>
      </c>
      <c r="I35" s="495">
        <v>1366697</v>
      </c>
      <c r="J35" s="496">
        <v>1006404</v>
      </c>
      <c r="K35" s="475">
        <v>0</v>
      </c>
      <c r="L35" s="475">
        <v>0</v>
      </c>
      <c r="M35" s="319">
        <v>340165</v>
      </c>
      <c r="N35" s="319">
        <v>20128</v>
      </c>
      <c r="O35" s="496">
        <v>0</v>
      </c>
      <c r="P35" s="497">
        <v>2.4821</v>
      </c>
      <c r="Q35" s="497">
        <v>2.4821</v>
      </c>
      <c r="R35" s="764">
        <v>0</v>
      </c>
      <c r="S35" s="530">
        <f t="shared" si="36"/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2"/>
        <v>0</v>
      </c>
      <c r="AF35" s="486">
        <f t="shared" si="3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si="37"/>
        <v>0</v>
      </c>
      <c r="AM35" s="501">
        <f t="shared" si="38"/>
        <v>0</v>
      </c>
      <c r="AN35" s="529">
        <f t="shared" si="5"/>
        <v>0</v>
      </c>
      <c r="AO35" s="530">
        <f>I35+AF35</f>
        <v>1366697</v>
      </c>
      <c r="AP35" s="486">
        <f>J35+V35</f>
        <v>1006404</v>
      </c>
      <c r="AQ35" s="486">
        <f>K35+Y35</f>
        <v>0</v>
      </c>
      <c r="AR35" s="486">
        <f>L35</f>
        <v>0</v>
      </c>
      <c r="AS35" s="486">
        <f t="shared" si="39"/>
        <v>340165</v>
      </c>
      <c r="AT35" s="486">
        <f t="shared" si="39"/>
        <v>20128</v>
      </c>
      <c r="AU35" s="486">
        <f>O35+AE35</f>
        <v>0</v>
      </c>
      <c r="AV35" s="501">
        <f>P35+AN35</f>
        <v>2.4821</v>
      </c>
      <c r="AW35" s="501">
        <f t="shared" si="40"/>
        <v>2.4821</v>
      </c>
      <c r="AX35" s="502">
        <f t="shared" si="40"/>
        <v>0</v>
      </c>
    </row>
    <row r="36" spans="1:50" ht="13.5" customHeight="1" x14ac:dyDescent="0.2">
      <c r="A36" s="710">
        <v>6</v>
      </c>
      <c r="B36" s="711">
        <v>3446</v>
      </c>
      <c r="C36" s="711">
        <v>600078515</v>
      </c>
      <c r="D36" s="711">
        <v>70694974</v>
      </c>
      <c r="E36" s="712" t="s">
        <v>131</v>
      </c>
      <c r="F36" s="711">
        <v>3143</v>
      </c>
      <c r="G36" s="713" t="s">
        <v>635</v>
      </c>
      <c r="H36" s="701" t="s">
        <v>284</v>
      </c>
      <c r="I36" s="495">
        <v>46345</v>
      </c>
      <c r="J36" s="496">
        <v>32670</v>
      </c>
      <c r="K36" s="475">
        <v>0</v>
      </c>
      <c r="L36" s="475">
        <v>0</v>
      </c>
      <c r="M36" s="319">
        <v>11042</v>
      </c>
      <c r="N36" s="319">
        <v>653</v>
      </c>
      <c r="O36" s="496">
        <v>1980</v>
      </c>
      <c r="P36" s="497">
        <v>0.14000000000000001</v>
      </c>
      <c r="Q36" s="412">
        <v>0</v>
      </c>
      <c r="R36" s="764">
        <v>0.14000000000000001</v>
      </c>
      <c r="S36" s="530">
        <f t="shared" si="36"/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319">
        <f>ROUND((V36+W36)*33.8%,0)</f>
        <v>0</v>
      </c>
      <c r="AB36" s="178">
        <f>ROUND(V36*2%,0)</f>
        <v>0</v>
      </c>
      <c r="AC36" s="486">
        <v>0</v>
      </c>
      <c r="AD36" s="486">
        <v>0</v>
      </c>
      <c r="AE36" s="486">
        <f t="shared" si="2"/>
        <v>0</v>
      </c>
      <c r="AF36" s="486">
        <f t="shared" si="3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37"/>
        <v>0</v>
      </c>
      <c r="AM36" s="501">
        <f t="shared" si="38"/>
        <v>0</v>
      </c>
      <c r="AN36" s="529">
        <f t="shared" si="5"/>
        <v>0</v>
      </c>
      <c r="AO36" s="530">
        <f>I36+AF36</f>
        <v>46345</v>
      </c>
      <c r="AP36" s="486">
        <f>J36+V36</f>
        <v>32670</v>
      </c>
      <c r="AQ36" s="486">
        <f>K36+Y36</f>
        <v>0</v>
      </c>
      <c r="AR36" s="486">
        <f>L36</f>
        <v>0</v>
      </c>
      <c r="AS36" s="486">
        <f t="shared" si="39"/>
        <v>11042</v>
      </c>
      <c r="AT36" s="486">
        <f t="shared" si="39"/>
        <v>653</v>
      </c>
      <c r="AU36" s="486">
        <f>O36+AE36</f>
        <v>1980</v>
      </c>
      <c r="AV36" s="501">
        <f>P36+AN36</f>
        <v>0.14000000000000001</v>
      </c>
      <c r="AW36" s="501">
        <f t="shared" si="40"/>
        <v>0</v>
      </c>
      <c r="AX36" s="502">
        <f t="shared" si="40"/>
        <v>0.14000000000000001</v>
      </c>
    </row>
    <row r="37" spans="1:50" ht="13.5" customHeight="1" x14ac:dyDescent="0.2">
      <c r="A37" s="282">
        <v>6</v>
      </c>
      <c r="B37" s="27">
        <v>3446</v>
      </c>
      <c r="C37" s="27">
        <v>600078515</v>
      </c>
      <c r="D37" s="27">
        <v>70694974</v>
      </c>
      <c r="E37" s="292" t="s">
        <v>132</v>
      </c>
      <c r="F37" s="27"/>
      <c r="G37" s="281"/>
      <c r="H37" s="377"/>
      <c r="I37" s="5">
        <v>27657409</v>
      </c>
      <c r="J37" s="8">
        <v>19657975</v>
      </c>
      <c r="K37" s="8">
        <v>157409</v>
      </c>
      <c r="L37" s="8">
        <v>113309</v>
      </c>
      <c r="M37" s="8">
        <v>6659301</v>
      </c>
      <c r="N37" s="8">
        <v>393158</v>
      </c>
      <c r="O37" s="8">
        <v>789566</v>
      </c>
      <c r="P37" s="9">
        <v>41.551900000000003</v>
      </c>
      <c r="Q37" s="9">
        <v>29.440100000000001</v>
      </c>
      <c r="R37" s="33">
        <v>12.111799999999999</v>
      </c>
      <c r="S37" s="5">
        <f t="shared" ref="S37:AX37" si="41">SUM(S32:S36)</f>
        <v>0</v>
      </c>
      <c r="T37" s="8">
        <f t="shared" si="41"/>
        <v>0</v>
      </c>
      <c r="U37" s="8">
        <f t="shared" si="41"/>
        <v>0</v>
      </c>
      <c r="V37" s="8">
        <f t="shared" si="41"/>
        <v>0</v>
      </c>
      <c r="W37" s="8">
        <f t="shared" si="41"/>
        <v>0</v>
      </c>
      <c r="X37" s="8">
        <f t="shared" si="41"/>
        <v>0</v>
      </c>
      <c r="Y37" s="8">
        <f t="shared" si="41"/>
        <v>0</v>
      </c>
      <c r="Z37" s="8">
        <f t="shared" si="41"/>
        <v>0</v>
      </c>
      <c r="AA37" s="8">
        <f t="shared" si="41"/>
        <v>0</v>
      </c>
      <c r="AB37" s="8">
        <f t="shared" si="41"/>
        <v>0</v>
      </c>
      <c r="AC37" s="8">
        <f t="shared" si="41"/>
        <v>0</v>
      </c>
      <c r="AD37" s="8">
        <f t="shared" si="41"/>
        <v>0</v>
      </c>
      <c r="AE37" s="8">
        <f t="shared" si="41"/>
        <v>0</v>
      </c>
      <c r="AF37" s="8">
        <f t="shared" si="41"/>
        <v>0</v>
      </c>
      <c r="AG37" s="9">
        <f t="shared" si="41"/>
        <v>0</v>
      </c>
      <c r="AH37" s="9">
        <f t="shared" si="41"/>
        <v>0</v>
      </c>
      <c r="AI37" s="9">
        <f t="shared" si="41"/>
        <v>0</v>
      </c>
      <c r="AJ37" s="9">
        <f t="shared" si="41"/>
        <v>0</v>
      </c>
      <c r="AK37" s="9">
        <f t="shared" si="41"/>
        <v>0</v>
      </c>
      <c r="AL37" s="9">
        <f t="shared" si="41"/>
        <v>0</v>
      </c>
      <c r="AM37" s="9">
        <f t="shared" si="41"/>
        <v>0</v>
      </c>
      <c r="AN37" s="33">
        <f t="shared" si="41"/>
        <v>0</v>
      </c>
      <c r="AO37" s="5">
        <f t="shared" si="41"/>
        <v>27657409</v>
      </c>
      <c r="AP37" s="8">
        <f t="shared" si="41"/>
        <v>19657975</v>
      </c>
      <c r="AQ37" s="38">
        <f t="shared" si="41"/>
        <v>157409</v>
      </c>
      <c r="AR37" s="38">
        <f t="shared" si="41"/>
        <v>113309</v>
      </c>
      <c r="AS37" s="8">
        <f t="shared" si="41"/>
        <v>6659301</v>
      </c>
      <c r="AT37" s="8">
        <f t="shared" si="41"/>
        <v>393158</v>
      </c>
      <c r="AU37" s="8">
        <f t="shared" si="41"/>
        <v>789566</v>
      </c>
      <c r="AV37" s="9">
        <f t="shared" si="41"/>
        <v>41.551900000000003</v>
      </c>
      <c r="AW37" s="9">
        <f t="shared" si="41"/>
        <v>29.440100000000001</v>
      </c>
      <c r="AX37" s="74">
        <f t="shared" si="41"/>
        <v>12.111799999999999</v>
      </c>
    </row>
    <row r="38" spans="1:50" ht="13.5" customHeight="1" x14ac:dyDescent="0.2">
      <c r="A38" s="710">
        <v>7</v>
      </c>
      <c r="B38" s="711">
        <v>3457</v>
      </c>
      <c r="C38" s="711">
        <v>651040230</v>
      </c>
      <c r="D38" s="711">
        <v>75125412</v>
      </c>
      <c r="E38" s="712" t="s">
        <v>133</v>
      </c>
      <c r="F38" s="711">
        <v>3231</v>
      </c>
      <c r="G38" s="713"/>
      <c r="H38" s="714" t="s">
        <v>283</v>
      </c>
      <c r="I38" s="495">
        <v>9988592</v>
      </c>
      <c r="J38" s="496">
        <v>7323312</v>
      </c>
      <c r="K38" s="496">
        <v>7500</v>
      </c>
      <c r="L38" s="496">
        <v>0</v>
      </c>
      <c r="M38" s="496">
        <v>2477814</v>
      </c>
      <c r="N38" s="496">
        <v>146466</v>
      </c>
      <c r="O38" s="496">
        <v>33500</v>
      </c>
      <c r="P38" s="497">
        <v>14.382699999999998</v>
      </c>
      <c r="Q38" s="412">
        <v>12.792799999999998</v>
      </c>
      <c r="R38" s="764">
        <v>1.5899000000000001</v>
      </c>
      <c r="S38" s="530">
        <f>W38*-1</f>
        <v>-10000</v>
      </c>
      <c r="T38" s="486">
        <v>0</v>
      </c>
      <c r="U38" s="486">
        <v>-7364</v>
      </c>
      <c r="V38" s="486">
        <f>SUM(S38:U38)</f>
        <v>-17364</v>
      </c>
      <c r="W38" s="486">
        <v>10000</v>
      </c>
      <c r="X38" s="486">
        <v>0</v>
      </c>
      <c r="Y38" s="486">
        <f>SUM(W38:X38)</f>
        <v>10000</v>
      </c>
      <c r="Z38" s="486">
        <f>V38+Y38</f>
        <v>-7364</v>
      </c>
      <c r="AA38" s="319">
        <f>ROUND((V38+W38)*33.8%,0)</f>
        <v>-2489</v>
      </c>
      <c r="AB38" s="178">
        <f>ROUND(V38*2%,0)</f>
        <v>-347</v>
      </c>
      <c r="AC38" s="486">
        <v>0</v>
      </c>
      <c r="AD38" s="486">
        <v>10000</v>
      </c>
      <c r="AE38" s="486">
        <f t="shared" si="2"/>
        <v>10000</v>
      </c>
      <c r="AF38" s="486">
        <f t="shared" si="3"/>
        <v>-200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>AG38+AI38+AJ38</f>
        <v>0</v>
      </c>
      <c r="AM38" s="501">
        <f>AH38+AK38</f>
        <v>0</v>
      </c>
      <c r="AN38" s="529">
        <f t="shared" si="5"/>
        <v>0</v>
      </c>
      <c r="AO38" s="530">
        <f>I38+AF38</f>
        <v>9988392</v>
      </c>
      <c r="AP38" s="486">
        <f>J38+V38</f>
        <v>7305948</v>
      </c>
      <c r="AQ38" s="486">
        <f>K38+Y38</f>
        <v>17500</v>
      </c>
      <c r="AR38" s="486">
        <f>L38</f>
        <v>0</v>
      </c>
      <c r="AS38" s="486">
        <f>M38+AA38</f>
        <v>2475325</v>
      </c>
      <c r="AT38" s="486">
        <f>N38+AB38</f>
        <v>146119</v>
      </c>
      <c r="AU38" s="486">
        <f>O38+AE38</f>
        <v>43500</v>
      </c>
      <c r="AV38" s="501">
        <f>P38+AN38</f>
        <v>14.382699999999998</v>
      </c>
      <c r="AW38" s="501">
        <f>Q38+AL38</f>
        <v>12.792799999999998</v>
      </c>
      <c r="AX38" s="502">
        <f>R38+AM38</f>
        <v>1.5899000000000001</v>
      </c>
    </row>
    <row r="39" spans="1:50" ht="13.5" customHeight="1" x14ac:dyDescent="0.2">
      <c r="A39" s="282">
        <v>7</v>
      </c>
      <c r="B39" s="27">
        <v>3457</v>
      </c>
      <c r="C39" s="27">
        <v>651040230</v>
      </c>
      <c r="D39" s="27">
        <v>75125412</v>
      </c>
      <c r="E39" s="292" t="s">
        <v>134</v>
      </c>
      <c r="F39" s="27"/>
      <c r="G39" s="281"/>
      <c r="H39" s="377"/>
      <c r="I39" s="6">
        <v>9988592</v>
      </c>
      <c r="J39" s="10">
        <v>7323312</v>
      </c>
      <c r="K39" s="10">
        <v>7500</v>
      </c>
      <c r="L39" s="10">
        <v>0</v>
      </c>
      <c r="M39" s="10">
        <v>2477814</v>
      </c>
      <c r="N39" s="10">
        <v>146466</v>
      </c>
      <c r="O39" s="10">
        <v>33500</v>
      </c>
      <c r="P39" s="11">
        <v>14.382699999999998</v>
      </c>
      <c r="Q39" s="11">
        <v>12.792799999999998</v>
      </c>
      <c r="R39" s="32">
        <v>1.5899000000000001</v>
      </c>
      <c r="S39" s="6">
        <f t="shared" ref="S39:AX39" si="42">SUM(S38)</f>
        <v>-10000</v>
      </c>
      <c r="T39" s="10">
        <f t="shared" si="42"/>
        <v>0</v>
      </c>
      <c r="U39" s="10">
        <f t="shared" si="42"/>
        <v>-7364</v>
      </c>
      <c r="V39" s="10">
        <f t="shared" si="42"/>
        <v>-17364</v>
      </c>
      <c r="W39" s="10">
        <f t="shared" si="42"/>
        <v>10000</v>
      </c>
      <c r="X39" s="10">
        <f t="shared" si="42"/>
        <v>0</v>
      </c>
      <c r="Y39" s="10">
        <f t="shared" si="42"/>
        <v>10000</v>
      </c>
      <c r="Z39" s="10">
        <f t="shared" si="42"/>
        <v>-7364</v>
      </c>
      <c r="AA39" s="10">
        <f t="shared" si="42"/>
        <v>-2489</v>
      </c>
      <c r="AB39" s="10">
        <f t="shared" si="42"/>
        <v>-347</v>
      </c>
      <c r="AC39" s="10">
        <f t="shared" si="42"/>
        <v>0</v>
      </c>
      <c r="AD39" s="10">
        <f t="shared" si="42"/>
        <v>10000</v>
      </c>
      <c r="AE39" s="10">
        <f t="shared" si="42"/>
        <v>10000</v>
      </c>
      <c r="AF39" s="10">
        <f t="shared" si="42"/>
        <v>-200</v>
      </c>
      <c r="AG39" s="11">
        <f t="shared" si="42"/>
        <v>0</v>
      </c>
      <c r="AH39" s="11">
        <f t="shared" si="42"/>
        <v>0</v>
      </c>
      <c r="AI39" s="11">
        <f t="shared" si="42"/>
        <v>0</v>
      </c>
      <c r="AJ39" s="11">
        <f t="shared" si="42"/>
        <v>0</v>
      </c>
      <c r="AK39" s="11">
        <f t="shared" si="42"/>
        <v>0</v>
      </c>
      <c r="AL39" s="11">
        <f t="shared" si="42"/>
        <v>0</v>
      </c>
      <c r="AM39" s="11">
        <f t="shared" si="42"/>
        <v>0</v>
      </c>
      <c r="AN39" s="32">
        <f t="shared" si="42"/>
        <v>0</v>
      </c>
      <c r="AO39" s="6">
        <f t="shared" si="42"/>
        <v>9988392</v>
      </c>
      <c r="AP39" s="10">
        <f t="shared" si="42"/>
        <v>7305948</v>
      </c>
      <c r="AQ39" s="71">
        <f t="shared" si="42"/>
        <v>17500</v>
      </c>
      <c r="AR39" s="71">
        <f t="shared" si="42"/>
        <v>0</v>
      </c>
      <c r="AS39" s="10">
        <f t="shared" si="42"/>
        <v>2475325</v>
      </c>
      <c r="AT39" s="10">
        <f t="shared" si="42"/>
        <v>146119</v>
      </c>
      <c r="AU39" s="10">
        <f t="shared" si="42"/>
        <v>43500</v>
      </c>
      <c r="AV39" s="11">
        <f t="shared" si="42"/>
        <v>14.382699999999998</v>
      </c>
      <c r="AW39" s="11">
        <f t="shared" si="42"/>
        <v>12.792799999999998</v>
      </c>
      <c r="AX39" s="75">
        <f t="shared" si="42"/>
        <v>1.5899000000000001</v>
      </c>
    </row>
    <row r="40" spans="1:50" ht="13.5" customHeight="1" x14ac:dyDescent="0.2">
      <c r="A40" s="710">
        <v>8</v>
      </c>
      <c r="B40" s="711">
        <v>3423</v>
      </c>
      <c r="C40" s="711">
        <v>600078108</v>
      </c>
      <c r="D40" s="711">
        <v>70695059</v>
      </c>
      <c r="E40" s="712" t="s">
        <v>135</v>
      </c>
      <c r="F40" s="711">
        <v>3111</v>
      </c>
      <c r="G40" s="713" t="s">
        <v>317</v>
      </c>
      <c r="H40" s="714" t="s">
        <v>283</v>
      </c>
      <c r="I40" s="495">
        <v>3443537</v>
      </c>
      <c r="J40" s="496">
        <v>2490263</v>
      </c>
      <c r="K40" s="496">
        <v>20000</v>
      </c>
      <c r="L40" s="496">
        <v>0</v>
      </c>
      <c r="M40" s="496">
        <v>848469</v>
      </c>
      <c r="N40" s="496">
        <v>49805</v>
      </c>
      <c r="O40" s="496">
        <v>35000</v>
      </c>
      <c r="P40" s="497">
        <v>5.4398</v>
      </c>
      <c r="Q40" s="412">
        <v>3.95</v>
      </c>
      <c r="R40" s="764">
        <v>1.4897999999999998</v>
      </c>
      <c r="S40" s="530">
        <f t="shared" ref="S40:S41" si="43">W40*-1</f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486">
        <v>0</v>
      </c>
      <c r="Y40" s="486">
        <f>SUM(W40:X40)</f>
        <v>0</v>
      </c>
      <c r="Z40" s="486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2"/>
        <v>0</v>
      </c>
      <c r="AF40" s="486">
        <f t="shared" si="3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ref="AL40:AL41" si="44">AG40+AI40+AJ40</f>
        <v>0</v>
      </c>
      <c r="AM40" s="501">
        <f t="shared" ref="AM40:AM41" si="45">AH40+AK40</f>
        <v>0</v>
      </c>
      <c r="AN40" s="529">
        <f t="shared" si="5"/>
        <v>0</v>
      </c>
      <c r="AO40" s="530">
        <f>I40+AF40</f>
        <v>3443537</v>
      </c>
      <c r="AP40" s="486">
        <f>J40+V40</f>
        <v>2490263</v>
      </c>
      <c r="AQ40" s="486">
        <f>K40+Y40</f>
        <v>20000</v>
      </c>
      <c r="AR40" s="486">
        <f>L40</f>
        <v>0</v>
      </c>
      <c r="AS40" s="486">
        <f>M40+AA40</f>
        <v>848469</v>
      </c>
      <c r="AT40" s="486">
        <f>N40+AB40</f>
        <v>49805</v>
      </c>
      <c r="AU40" s="486">
        <f>O40+AE40</f>
        <v>35000</v>
      </c>
      <c r="AV40" s="501">
        <f>P40+AN40</f>
        <v>5.4398</v>
      </c>
      <c r="AW40" s="501">
        <f>Q40+AL40</f>
        <v>3.95</v>
      </c>
      <c r="AX40" s="502">
        <f>R40+AM40</f>
        <v>1.4897999999999998</v>
      </c>
    </row>
    <row r="41" spans="1:50" ht="13.5" customHeight="1" x14ac:dyDescent="0.2">
      <c r="A41" s="710">
        <v>8</v>
      </c>
      <c r="B41" s="711">
        <v>3423</v>
      </c>
      <c r="C41" s="711">
        <v>600078108</v>
      </c>
      <c r="D41" s="711">
        <v>70695059</v>
      </c>
      <c r="E41" s="712" t="s">
        <v>135</v>
      </c>
      <c r="F41" s="711">
        <v>3141</v>
      </c>
      <c r="G41" s="713" t="s">
        <v>321</v>
      </c>
      <c r="H41" s="714" t="s">
        <v>284</v>
      </c>
      <c r="I41" s="495">
        <v>1170926</v>
      </c>
      <c r="J41" s="496">
        <v>847821</v>
      </c>
      <c r="K41" s="475">
        <v>10000</v>
      </c>
      <c r="L41" s="475">
        <v>0</v>
      </c>
      <c r="M41" s="319">
        <v>289943</v>
      </c>
      <c r="N41" s="319">
        <v>16956</v>
      </c>
      <c r="O41" s="496">
        <v>6206</v>
      </c>
      <c r="P41" s="497">
        <v>2.92</v>
      </c>
      <c r="Q41" s="412">
        <v>0</v>
      </c>
      <c r="R41" s="764">
        <v>2.92</v>
      </c>
      <c r="S41" s="530">
        <f t="shared" si="43"/>
        <v>0</v>
      </c>
      <c r="T41" s="486">
        <v>0</v>
      </c>
      <c r="U41" s="486">
        <v>0</v>
      </c>
      <c r="V41" s="486">
        <f>SUM(S41:U41)</f>
        <v>0</v>
      </c>
      <c r="W41" s="486">
        <v>0</v>
      </c>
      <c r="X41" s="486">
        <v>0</v>
      </c>
      <c r="Y41" s="486">
        <f>SUM(W41:X41)</f>
        <v>0</v>
      </c>
      <c r="Z41" s="486">
        <f>V41+Y41</f>
        <v>0</v>
      </c>
      <c r="AA41" s="319">
        <f>ROUND((V41+W41)*33.8%,0)</f>
        <v>0</v>
      </c>
      <c r="AB41" s="178">
        <f>ROUND(V41*2%,0)</f>
        <v>0</v>
      </c>
      <c r="AC41" s="486">
        <v>0</v>
      </c>
      <c r="AD41" s="486">
        <v>0</v>
      </c>
      <c r="AE41" s="486">
        <f t="shared" si="2"/>
        <v>0</v>
      </c>
      <c r="AF41" s="486">
        <f t="shared" si="3"/>
        <v>0</v>
      </c>
      <c r="AG41" s="501">
        <v>0</v>
      </c>
      <c r="AH41" s="501">
        <v>0</v>
      </c>
      <c r="AI41" s="501">
        <v>0</v>
      </c>
      <c r="AJ41" s="501">
        <v>0</v>
      </c>
      <c r="AK41" s="501">
        <v>0</v>
      </c>
      <c r="AL41" s="501">
        <f t="shared" si="44"/>
        <v>0</v>
      </c>
      <c r="AM41" s="501">
        <f t="shared" si="45"/>
        <v>0</v>
      </c>
      <c r="AN41" s="529">
        <f t="shared" si="5"/>
        <v>0</v>
      </c>
      <c r="AO41" s="530">
        <f>I41+AF41</f>
        <v>1170926</v>
      </c>
      <c r="AP41" s="486">
        <f>J41+V41</f>
        <v>847821</v>
      </c>
      <c r="AQ41" s="486">
        <f>K41+Y41</f>
        <v>10000</v>
      </c>
      <c r="AR41" s="486">
        <f>L41</f>
        <v>0</v>
      </c>
      <c r="AS41" s="486">
        <f>M41+AA41</f>
        <v>289943</v>
      </c>
      <c r="AT41" s="486">
        <f>N41+AB41</f>
        <v>16956</v>
      </c>
      <c r="AU41" s="486">
        <f>O41+AE41</f>
        <v>6206</v>
      </c>
      <c r="AV41" s="501">
        <f>P41+AN41</f>
        <v>2.92</v>
      </c>
      <c r="AW41" s="501">
        <f>Q41+AL41</f>
        <v>0</v>
      </c>
      <c r="AX41" s="502">
        <f>R41+AM41</f>
        <v>2.92</v>
      </c>
    </row>
    <row r="42" spans="1:50" ht="13.5" customHeight="1" x14ac:dyDescent="0.2">
      <c r="A42" s="282">
        <v>8</v>
      </c>
      <c r="B42" s="27">
        <v>3423</v>
      </c>
      <c r="C42" s="27">
        <v>600078108</v>
      </c>
      <c r="D42" s="27">
        <v>70695059</v>
      </c>
      <c r="E42" s="292" t="s">
        <v>136</v>
      </c>
      <c r="F42" s="27"/>
      <c r="G42" s="281"/>
      <c r="H42" s="377"/>
      <c r="I42" s="5">
        <v>4614463</v>
      </c>
      <c r="J42" s="8">
        <v>3338084</v>
      </c>
      <c r="K42" s="8">
        <v>30000</v>
      </c>
      <c r="L42" s="8">
        <v>0</v>
      </c>
      <c r="M42" s="8">
        <v>1138412</v>
      </c>
      <c r="N42" s="8">
        <v>66761</v>
      </c>
      <c r="O42" s="8">
        <v>41206</v>
      </c>
      <c r="P42" s="9">
        <v>8.3597999999999999</v>
      </c>
      <c r="Q42" s="9">
        <v>3.95</v>
      </c>
      <c r="R42" s="33">
        <v>4.4097999999999997</v>
      </c>
      <c r="S42" s="5">
        <f t="shared" ref="S42:AX42" si="46">SUM(S40:S41)</f>
        <v>0</v>
      </c>
      <c r="T42" s="8">
        <f t="shared" si="46"/>
        <v>0</v>
      </c>
      <c r="U42" s="8">
        <f t="shared" si="46"/>
        <v>0</v>
      </c>
      <c r="V42" s="8">
        <f t="shared" si="46"/>
        <v>0</v>
      </c>
      <c r="W42" s="8">
        <f t="shared" si="46"/>
        <v>0</v>
      </c>
      <c r="X42" s="8">
        <f t="shared" si="46"/>
        <v>0</v>
      </c>
      <c r="Y42" s="8">
        <f t="shared" si="46"/>
        <v>0</v>
      </c>
      <c r="Z42" s="8">
        <f t="shared" si="46"/>
        <v>0</v>
      </c>
      <c r="AA42" s="8">
        <f t="shared" si="46"/>
        <v>0</v>
      </c>
      <c r="AB42" s="8">
        <f t="shared" si="46"/>
        <v>0</v>
      </c>
      <c r="AC42" s="8">
        <f t="shared" si="46"/>
        <v>0</v>
      </c>
      <c r="AD42" s="8">
        <f t="shared" si="46"/>
        <v>0</v>
      </c>
      <c r="AE42" s="8">
        <f t="shared" si="46"/>
        <v>0</v>
      </c>
      <c r="AF42" s="8">
        <f t="shared" si="46"/>
        <v>0</v>
      </c>
      <c r="AG42" s="9">
        <f t="shared" si="46"/>
        <v>0</v>
      </c>
      <c r="AH42" s="9">
        <f t="shared" si="46"/>
        <v>0</v>
      </c>
      <c r="AI42" s="9">
        <f t="shared" si="46"/>
        <v>0</v>
      </c>
      <c r="AJ42" s="9">
        <f t="shared" si="46"/>
        <v>0</v>
      </c>
      <c r="AK42" s="9">
        <f t="shared" si="46"/>
        <v>0</v>
      </c>
      <c r="AL42" s="9">
        <f t="shared" si="46"/>
        <v>0</v>
      </c>
      <c r="AM42" s="9">
        <f t="shared" si="46"/>
        <v>0</v>
      </c>
      <c r="AN42" s="33">
        <f t="shared" si="46"/>
        <v>0</v>
      </c>
      <c r="AO42" s="5">
        <f t="shared" si="46"/>
        <v>4614463</v>
      </c>
      <c r="AP42" s="8">
        <f t="shared" si="46"/>
        <v>3338084</v>
      </c>
      <c r="AQ42" s="38">
        <f t="shared" si="46"/>
        <v>30000</v>
      </c>
      <c r="AR42" s="38">
        <f t="shared" si="46"/>
        <v>0</v>
      </c>
      <c r="AS42" s="8">
        <f t="shared" si="46"/>
        <v>1138412</v>
      </c>
      <c r="AT42" s="8">
        <f t="shared" si="46"/>
        <v>66761</v>
      </c>
      <c r="AU42" s="8">
        <f t="shared" si="46"/>
        <v>41206</v>
      </c>
      <c r="AV42" s="9">
        <f t="shared" si="46"/>
        <v>8.3597999999999999</v>
      </c>
      <c r="AW42" s="9">
        <f t="shared" si="46"/>
        <v>3.95</v>
      </c>
      <c r="AX42" s="74">
        <f t="shared" si="46"/>
        <v>4.4097999999999997</v>
      </c>
    </row>
    <row r="43" spans="1:50" ht="13.5" customHeight="1" x14ac:dyDescent="0.2">
      <c r="A43" s="710">
        <v>9</v>
      </c>
      <c r="B43" s="711">
        <v>3448</v>
      </c>
      <c r="C43" s="711">
        <v>600078299</v>
      </c>
      <c r="D43" s="711">
        <v>70695041</v>
      </c>
      <c r="E43" s="712" t="s">
        <v>137</v>
      </c>
      <c r="F43" s="711">
        <v>3117</v>
      </c>
      <c r="G43" s="713" t="s">
        <v>320</v>
      </c>
      <c r="H43" s="714" t="s">
        <v>283</v>
      </c>
      <c r="I43" s="495">
        <v>4440163</v>
      </c>
      <c r="J43" s="496">
        <v>3129035</v>
      </c>
      <c r="K43" s="496">
        <v>14824</v>
      </c>
      <c r="L43" s="496">
        <v>8584</v>
      </c>
      <c r="M43" s="496">
        <v>1059723</v>
      </c>
      <c r="N43" s="496">
        <v>62581</v>
      </c>
      <c r="O43" s="496">
        <v>174000</v>
      </c>
      <c r="P43" s="497">
        <v>6.5977000000000006</v>
      </c>
      <c r="Q43" s="412">
        <v>4.6606000000000005</v>
      </c>
      <c r="R43" s="764">
        <v>1.9371</v>
      </c>
      <c r="S43" s="530">
        <f t="shared" ref="S43:S46" si="47">W43*-1</f>
        <v>0</v>
      </c>
      <c r="T43" s="486">
        <v>0</v>
      </c>
      <c r="U43" s="486">
        <v>0</v>
      </c>
      <c r="V43" s="486">
        <f>SUM(S43:U43)</f>
        <v>0</v>
      </c>
      <c r="W43" s="486">
        <v>0</v>
      </c>
      <c r="X43" s="486">
        <v>0</v>
      </c>
      <c r="Y43" s="486">
        <f>SUM(W43:X43)</f>
        <v>0</v>
      </c>
      <c r="Z43" s="486">
        <f>V43+Y43</f>
        <v>0</v>
      </c>
      <c r="AA43" s="319">
        <f>ROUND((V43+W43)*33.8%,0)</f>
        <v>0</v>
      </c>
      <c r="AB43" s="178">
        <f>ROUND(V43*2%,0)</f>
        <v>0</v>
      </c>
      <c r="AC43" s="486">
        <v>0</v>
      </c>
      <c r="AD43" s="486">
        <v>0</v>
      </c>
      <c r="AE43" s="486">
        <f t="shared" si="2"/>
        <v>0</v>
      </c>
      <c r="AF43" s="486">
        <f t="shared" si="3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ref="AL43:AL46" si="48">AG43+AI43+AJ43</f>
        <v>0</v>
      </c>
      <c r="AM43" s="501">
        <f t="shared" ref="AM43:AM46" si="49">AH43+AK43</f>
        <v>0</v>
      </c>
      <c r="AN43" s="529">
        <f t="shared" si="5"/>
        <v>0</v>
      </c>
      <c r="AO43" s="530">
        <f>I43+AF43</f>
        <v>4440163</v>
      </c>
      <c r="AP43" s="486">
        <f>J43+V43</f>
        <v>3129035</v>
      </c>
      <c r="AQ43" s="486">
        <f>K43+Y43</f>
        <v>14824</v>
      </c>
      <c r="AR43" s="486">
        <f>L43</f>
        <v>8584</v>
      </c>
      <c r="AS43" s="486">
        <f t="shared" ref="AS43:AT46" si="50">M43+AA43</f>
        <v>1059723</v>
      </c>
      <c r="AT43" s="486">
        <f t="shared" si="50"/>
        <v>62581</v>
      </c>
      <c r="AU43" s="486">
        <f>O43+AE43</f>
        <v>174000</v>
      </c>
      <c r="AV43" s="501">
        <f>P43+AN43</f>
        <v>6.5977000000000006</v>
      </c>
      <c r="AW43" s="501">
        <f t="shared" ref="AW43:AX46" si="51">Q43+AL43</f>
        <v>4.6606000000000005</v>
      </c>
      <c r="AX43" s="502">
        <f t="shared" si="51"/>
        <v>1.9371</v>
      </c>
    </row>
    <row r="44" spans="1:50" ht="13.5" customHeight="1" x14ac:dyDescent="0.2">
      <c r="A44" s="710">
        <v>9</v>
      </c>
      <c r="B44" s="711">
        <v>3448</v>
      </c>
      <c r="C44" s="711">
        <v>600078299</v>
      </c>
      <c r="D44" s="711">
        <v>70695041</v>
      </c>
      <c r="E44" s="712" t="s">
        <v>137</v>
      </c>
      <c r="F44" s="711">
        <v>3117</v>
      </c>
      <c r="G44" s="713" t="s">
        <v>318</v>
      </c>
      <c r="H44" s="714" t="s">
        <v>284</v>
      </c>
      <c r="I44" s="495">
        <v>358719</v>
      </c>
      <c r="J44" s="496">
        <v>264152</v>
      </c>
      <c r="K44" s="475">
        <v>0</v>
      </c>
      <c r="L44" s="475">
        <v>0</v>
      </c>
      <c r="M44" s="319">
        <v>89284</v>
      </c>
      <c r="N44" s="319">
        <v>5283</v>
      </c>
      <c r="O44" s="496">
        <v>0</v>
      </c>
      <c r="P44" s="497">
        <v>0.77</v>
      </c>
      <c r="Q44" s="412">
        <v>0.77</v>
      </c>
      <c r="R44" s="764">
        <v>0</v>
      </c>
      <c r="S44" s="530">
        <f t="shared" si="47"/>
        <v>0</v>
      </c>
      <c r="T44" s="486">
        <v>0</v>
      </c>
      <c r="U44" s="486">
        <v>0</v>
      </c>
      <c r="V44" s="486">
        <f>SUM(S44:U44)</f>
        <v>0</v>
      </c>
      <c r="W44" s="486">
        <v>0</v>
      </c>
      <c r="X44" s="486">
        <v>0</v>
      </c>
      <c r="Y44" s="486">
        <f>SUM(W44:X44)</f>
        <v>0</v>
      </c>
      <c r="Z44" s="486">
        <f>V44+Y44</f>
        <v>0</v>
      </c>
      <c r="AA44" s="319">
        <f>ROUND((V44+W44)*33.8%,0)</f>
        <v>0</v>
      </c>
      <c r="AB44" s="178">
        <f>ROUND(V44*2%,0)</f>
        <v>0</v>
      </c>
      <c r="AC44" s="486">
        <v>0</v>
      </c>
      <c r="AD44" s="486">
        <v>0</v>
      </c>
      <c r="AE44" s="486">
        <f t="shared" si="2"/>
        <v>0</v>
      </c>
      <c r="AF44" s="486">
        <f t="shared" si="3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si="48"/>
        <v>0</v>
      </c>
      <c r="AM44" s="501">
        <f t="shared" si="49"/>
        <v>0</v>
      </c>
      <c r="AN44" s="529">
        <f t="shared" si="5"/>
        <v>0</v>
      </c>
      <c r="AO44" s="530">
        <f>I44+AF44</f>
        <v>358719</v>
      </c>
      <c r="AP44" s="486">
        <f>J44+V44</f>
        <v>264152</v>
      </c>
      <c r="AQ44" s="486">
        <f>K44+Y44</f>
        <v>0</v>
      </c>
      <c r="AR44" s="486">
        <f>L44</f>
        <v>0</v>
      </c>
      <c r="AS44" s="486">
        <f t="shared" si="50"/>
        <v>89284</v>
      </c>
      <c r="AT44" s="486">
        <f t="shared" si="50"/>
        <v>5283</v>
      </c>
      <c r="AU44" s="486">
        <f>O44+AE44</f>
        <v>0</v>
      </c>
      <c r="AV44" s="501">
        <f>P44+AN44</f>
        <v>0.77</v>
      </c>
      <c r="AW44" s="501">
        <f t="shared" si="51"/>
        <v>0.77</v>
      </c>
      <c r="AX44" s="502">
        <f t="shared" si="51"/>
        <v>0</v>
      </c>
    </row>
    <row r="45" spans="1:50" ht="13.5" customHeight="1" x14ac:dyDescent="0.2">
      <c r="A45" s="710">
        <v>9</v>
      </c>
      <c r="B45" s="711">
        <v>3448</v>
      </c>
      <c r="C45" s="711">
        <v>600078299</v>
      </c>
      <c r="D45" s="711">
        <v>70695041</v>
      </c>
      <c r="E45" s="712" t="s">
        <v>137</v>
      </c>
      <c r="F45" s="711">
        <v>3143</v>
      </c>
      <c r="G45" s="713" t="s">
        <v>634</v>
      </c>
      <c r="H45" s="701" t="s">
        <v>283</v>
      </c>
      <c r="I45" s="495">
        <v>522505</v>
      </c>
      <c r="J45" s="496">
        <v>384761</v>
      </c>
      <c r="K45" s="475">
        <v>0</v>
      </c>
      <c r="L45" s="475">
        <v>0</v>
      </c>
      <c r="M45" s="319">
        <v>130049</v>
      </c>
      <c r="N45" s="319">
        <v>7695</v>
      </c>
      <c r="O45" s="496">
        <v>0</v>
      </c>
      <c r="P45" s="497">
        <v>0.75</v>
      </c>
      <c r="Q45" s="412">
        <v>0.75</v>
      </c>
      <c r="R45" s="764">
        <v>0</v>
      </c>
      <c r="S45" s="530">
        <f t="shared" si="47"/>
        <v>0</v>
      </c>
      <c r="T45" s="486">
        <v>0</v>
      </c>
      <c r="U45" s="486">
        <v>0</v>
      </c>
      <c r="V45" s="486">
        <f>SUM(S45:U45)</f>
        <v>0</v>
      </c>
      <c r="W45" s="486">
        <v>0</v>
      </c>
      <c r="X45" s="486">
        <v>0</v>
      </c>
      <c r="Y45" s="486">
        <f>SUM(W45:X45)</f>
        <v>0</v>
      </c>
      <c r="Z45" s="486">
        <f>V45+Y45</f>
        <v>0</v>
      </c>
      <c r="AA45" s="319">
        <f>ROUND((V45+W45)*33.8%,0)</f>
        <v>0</v>
      </c>
      <c r="AB45" s="178">
        <f>ROUND(V45*2%,0)</f>
        <v>0</v>
      </c>
      <c r="AC45" s="486">
        <v>0</v>
      </c>
      <c r="AD45" s="486">
        <v>0</v>
      </c>
      <c r="AE45" s="486">
        <f t="shared" si="2"/>
        <v>0</v>
      </c>
      <c r="AF45" s="486">
        <f t="shared" si="3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48"/>
        <v>0</v>
      </c>
      <c r="AM45" s="501">
        <f t="shared" si="49"/>
        <v>0</v>
      </c>
      <c r="AN45" s="529">
        <f t="shared" si="5"/>
        <v>0</v>
      </c>
      <c r="AO45" s="530">
        <f>I45+AF45</f>
        <v>522505</v>
      </c>
      <c r="AP45" s="486">
        <f>J45+V45</f>
        <v>384761</v>
      </c>
      <c r="AQ45" s="486">
        <f>K45+Y45</f>
        <v>0</v>
      </c>
      <c r="AR45" s="486">
        <f>L45</f>
        <v>0</v>
      </c>
      <c r="AS45" s="486">
        <f t="shared" si="50"/>
        <v>130049</v>
      </c>
      <c r="AT45" s="486">
        <f t="shared" si="50"/>
        <v>7695</v>
      </c>
      <c r="AU45" s="486">
        <f>O45+AE45</f>
        <v>0</v>
      </c>
      <c r="AV45" s="501">
        <f>P45+AN45</f>
        <v>0.75</v>
      </c>
      <c r="AW45" s="501">
        <f t="shared" si="51"/>
        <v>0.75</v>
      </c>
      <c r="AX45" s="502">
        <f t="shared" si="51"/>
        <v>0</v>
      </c>
    </row>
    <row r="46" spans="1:50" ht="13.5" customHeight="1" x14ac:dyDescent="0.2">
      <c r="A46" s="710">
        <v>9</v>
      </c>
      <c r="B46" s="711">
        <v>3448</v>
      </c>
      <c r="C46" s="711">
        <v>600078299</v>
      </c>
      <c r="D46" s="711">
        <v>70695041</v>
      </c>
      <c r="E46" s="712" t="s">
        <v>137</v>
      </c>
      <c r="F46" s="711">
        <v>3143</v>
      </c>
      <c r="G46" s="713" t="s">
        <v>635</v>
      </c>
      <c r="H46" s="701" t="s">
        <v>284</v>
      </c>
      <c r="I46" s="495">
        <v>21066</v>
      </c>
      <c r="J46" s="496">
        <v>14850</v>
      </c>
      <c r="K46" s="475">
        <v>0</v>
      </c>
      <c r="L46" s="475">
        <v>0</v>
      </c>
      <c r="M46" s="319">
        <v>5019</v>
      </c>
      <c r="N46" s="319">
        <v>297</v>
      </c>
      <c r="O46" s="496">
        <v>900</v>
      </c>
      <c r="P46" s="497">
        <v>0.06</v>
      </c>
      <c r="Q46" s="412">
        <v>0</v>
      </c>
      <c r="R46" s="764">
        <v>0.06</v>
      </c>
      <c r="S46" s="530">
        <f t="shared" si="47"/>
        <v>0</v>
      </c>
      <c r="T46" s="486">
        <v>0</v>
      </c>
      <c r="U46" s="486">
        <v>0</v>
      </c>
      <c r="V46" s="486">
        <f>SUM(S46:U46)</f>
        <v>0</v>
      </c>
      <c r="W46" s="486">
        <v>0</v>
      </c>
      <c r="X46" s="486">
        <v>0</v>
      </c>
      <c r="Y46" s="486">
        <f>SUM(W46:X46)</f>
        <v>0</v>
      </c>
      <c r="Z46" s="486">
        <f>V46+Y46</f>
        <v>0</v>
      </c>
      <c r="AA46" s="319">
        <f>ROUND((V46+W46)*33.8%,0)</f>
        <v>0</v>
      </c>
      <c r="AB46" s="178">
        <f>ROUND(V46*2%,0)</f>
        <v>0</v>
      </c>
      <c r="AC46" s="486">
        <v>0</v>
      </c>
      <c r="AD46" s="486">
        <v>0</v>
      </c>
      <c r="AE46" s="486">
        <f t="shared" si="2"/>
        <v>0</v>
      </c>
      <c r="AF46" s="486">
        <f t="shared" si="3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48"/>
        <v>0</v>
      </c>
      <c r="AM46" s="501">
        <f t="shared" si="49"/>
        <v>0</v>
      </c>
      <c r="AN46" s="529">
        <f t="shared" si="5"/>
        <v>0</v>
      </c>
      <c r="AO46" s="530">
        <f>I46+AF46</f>
        <v>21066</v>
      </c>
      <c r="AP46" s="486">
        <f>J46+V46</f>
        <v>14850</v>
      </c>
      <c r="AQ46" s="486">
        <f>K46+Y46</f>
        <v>0</v>
      </c>
      <c r="AR46" s="486">
        <f>L46</f>
        <v>0</v>
      </c>
      <c r="AS46" s="486">
        <f t="shared" si="50"/>
        <v>5019</v>
      </c>
      <c r="AT46" s="486">
        <f t="shared" si="50"/>
        <v>297</v>
      </c>
      <c r="AU46" s="486">
        <f>O46+AE46</f>
        <v>900</v>
      </c>
      <c r="AV46" s="501">
        <f>P46+AN46</f>
        <v>0.06</v>
      </c>
      <c r="AW46" s="501">
        <f t="shared" si="51"/>
        <v>0</v>
      </c>
      <c r="AX46" s="502">
        <f t="shared" si="51"/>
        <v>0.06</v>
      </c>
    </row>
    <row r="47" spans="1:50" ht="13.5" customHeight="1" x14ac:dyDescent="0.2">
      <c r="A47" s="282">
        <v>9</v>
      </c>
      <c r="B47" s="27">
        <v>3448</v>
      </c>
      <c r="C47" s="27">
        <v>600078299</v>
      </c>
      <c r="D47" s="27">
        <v>70695041</v>
      </c>
      <c r="E47" s="292" t="s">
        <v>138</v>
      </c>
      <c r="F47" s="27"/>
      <c r="G47" s="281"/>
      <c r="H47" s="377"/>
      <c r="I47" s="5">
        <v>5342453</v>
      </c>
      <c r="J47" s="8">
        <v>3792798</v>
      </c>
      <c r="K47" s="8">
        <v>14824</v>
      </c>
      <c r="L47" s="8">
        <v>8584</v>
      </c>
      <c r="M47" s="8">
        <v>1284075</v>
      </c>
      <c r="N47" s="8">
        <v>75856</v>
      </c>
      <c r="O47" s="8">
        <v>174900</v>
      </c>
      <c r="P47" s="9">
        <v>8.1777000000000015</v>
      </c>
      <c r="Q47" s="9">
        <v>6.1806000000000001</v>
      </c>
      <c r="R47" s="33">
        <v>1.9971000000000001</v>
      </c>
      <c r="S47" s="5">
        <f t="shared" ref="S47:AX47" si="52">SUM(S43:S46)</f>
        <v>0</v>
      </c>
      <c r="T47" s="8">
        <f t="shared" si="52"/>
        <v>0</v>
      </c>
      <c r="U47" s="8">
        <f t="shared" si="52"/>
        <v>0</v>
      </c>
      <c r="V47" s="8">
        <f t="shared" si="52"/>
        <v>0</v>
      </c>
      <c r="W47" s="8">
        <f t="shared" si="52"/>
        <v>0</v>
      </c>
      <c r="X47" s="8">
        <f t="shared" si="52"/>
        <v>0</v>
      </c>
      <c r="Y47" s="8">
        <f t="shared" si="52"/>
        <v>0</v>
      </c>
      <c r="Z47" s="8">
        <f t="shared" si="52"/>
        <v>0</v>
      </c>
      <c r="AA47" s="8">
        <f t="shared" si="52"/>
        <v>0</v>
      </c>
      <c r="AB47" s="8">
        <f t="shared" si="52"/>
        <v>0</v>
      </c>
      <c r="AC47" s="8">
        <f t="shared" si="52"/>
        <v>0</v>
      </c>
      <c r="AD47" s="8">
        <f t="shared" si="52"/>
        <v>0</v>
      </c>
      <c r="AE47" s="8">
        <f t="shared" si="52"/>
        <v>0</v>
      </c>
      <c r="AF47" s="8">
        <f t="shared" si="52"/>
        <v>0</v>
      </c>
      <c r="AG47" s="9">
        <f t="shared" si="52"/>
        <v>0</v>
      </c>
      <c r="AH47" s="9">
        <f t="shared" si="52"/>
        <v>0</v>
      </c>
      <c r="AI47" s="9">
        <f t="shared" si="52"/>
        <v>0</v>
      </c>
      <c r="AJ47" s="9">
        <f t="shared" si="52"/>
        <v>0</v>
      </c>
      <c r="AK47" s="9">
        <f t="shared" si="52"/>
        <v>0</v>
      </c>
      <c r="AL47" s="9">
        <f t="shared" si="52"/>
        <v>0</v>
      </c>
      <c r="AM47" s="9">
        <f t="shared" si="52"/>
        <v>0</v>
      </c>
      <c r="AN47" s="33">
        <f t="shared" si="52"/>
        <v>0</v>
      </c>
      <c r="AO47" s="5">
        <f t="shared" si="52"/>
        <v>5342453</v>
      </c>
      <c r="AP47" s="8">
        <f t="shared" si="52"/>
        <v>3792798</v>
      </c>
      <c r="AQ47" s="38">
        <f t="shared" si="52"/>
        <v>14824</v>
      </c>
      <c r="AR47" s="38">
        <f t="shared" si="52"/>
        <v>8584</v>
      </c>
      <c r="AS47" s="8">
        <f t="shared" si="52"/>
        <v>1284075</v>
      </c>
      <c r="AT47" s="8">
        <f t="shared" si="52"/>
        <v>75856</v>
      </c>
      <c r="AU47" s="8">
        <f t="shared" si="52"/>
        <v>174900</v>
      </c>
      <c r="AV47" s="9">
        <f t="shared" si="52"/>
        <v>8.1777000000000015</v>
      </c>
      <c r="AW47" s="9">
        <f t="shared" si="52"/>
        <v>6.1806000000000001</v>
      </c>
      <c r="AX47" s="74">
        <f t="shared" si="52"/>
        <v>1.9971000000000001</v>
      </c>
    </row>
    <row r="48" spans="1:50" ht="13.5" customHeight="1" x14ac:dyDescent="0.2">
      <c r="A48" s="710">
        <v>10</v>
      </c>
      <c r="B48" s="711">
        <v>3402</v>
      </c>
      <c r="C48" s="711">
        <v>600078124</v>
      </c>
      <c r="D48" s="711">
        <v>70982643</v>
      </c>
      <c r="E48" s="712" t="s">
        <v>139</v>
      </c>
      <c r="F48" s="711">
        <v>3111</v>
      </c>
      <c r="G48" s="713" t="s">
        <v>317</v>
      </c>
      <c r="H48" s="714" t="s">
        <v>283</v>
      </c>
      <c r="I48" s="495">
        <v>4903175</v>
      </c>
      <c r="J48" s="496">
        <v>3569348</v>
      </c>
      <c r="K48" s="496">
        <v>0</v>
      </c>
      <c r="L48" s="496">
        <v>0</v>
      </c>
      <c r="M48" s="496">
        <v>1206440</v>
      </c>
      <c r="N48" s="496">
        <v>71387</v>
      </c>
      <c r="O48" s="496">
        <v>56000</v>
      </c>
      <c r="P48" s="497">
        <v>8.2341999999999995</v>
      </c>
      <c r="Q48" s="412">
        <v>6.1</v>
      </c>
      <c r="R48" s="764">
        <v>2.1341999999999999</v>
      </c>
      <c r="S48" s="530">
        <f t="shared" ref="S48:S50" si="53">W48*-1</f>
        <v>0</v>
      </c>
      <c r="T48" s="486">
        <v>0</v>
      </c>
      <c r="U48" s="486">
        <v>0</v>
      </c>
      <c r="V48" s="486">
        <f>SUM(S48:U48)</f>
        <v>0</v>
      </c>
      <c r="W48" s="486">
        <v>0</v>
      </c>
      <c r="X48" s="486">
        <v>0</v>
      </c>
      <c r="Y48" s="486">
        <f>SUM(W48:X48)</f>
        <v>0</v>
      </c>
      <c r="Z48" s="486">
        <f>V48+Y48</f>
        <v>0</v>
      </c>
      <c r="AA48" s="319">
        <f>ROUND((V48+W48)*33.8%,0)</f>
        <v>0</v>
      </c>
      <c r="AB48" s="178">
        <f>ROUND(V48*2%,0)</f>
        <v>0</v>
      </c>
      <c r="AC48" s="486">
        <v>0</v>
      </c>
      <c r="AD48" s="486">
        <v>0</v>
      </c>
      <c r="AE48" s="486">
        <f t="shared" si="2"/>
        <v>0</v>
      </c>
      <c r="AF48" s="486">
        <f t="shared" si="3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ref="AL48:AL50" si="54">AG48+AI48+AJ48</f>
        <v>0</v>
      </c>
      <c r="AM48" s="501">
        <f t="shared" ref="AM48:AM50" si="55">AH48+AK48</f>
        <v>0</v>
      </c>
      <c r="AN48" s="529">
        <f t="shared" si="5"/>
        <v>0</v>
      </c>
      <c r="AO48" s="530">
        <f>I48+AF48</f>
        <v>4903175</v>
      </c>
      <c r="AP48" s="486">
        <f>J48+V48</f>
        <v>3569348</v>
      </c>
      <c r="AQ48" s="486">
        <f>K48+Y48</f>
        <v>0</v>
      </c>
      <c r="AR48" s="486">
        <f>L48</f>
        <v>0</v>
      </c>
      <c r="AS48" s="486">
        <f t="shared" ref="AS48:AT50" si="56">M48+AA48</f>
        <v>1206440</v>
      </c>
      <c r="AT48" s="486">
        <f t="shared" si="56"/>
        <v>71387</v>
      </c>
      <c r="AU48" s="486">
        <f>O48+AE48</f>
        <v>56000</v>
      </c>
      <c r="AV48" s="501">
        <f>P48+AN48</f>
        <v>8.2341999999999995</v>
      </c>
      <c r="AW48" s="501">
        <f t="shared" ref="AW48:AX50" si="57">Q48+AL48</f>
        <v>6.1</v>
      </c>
      <c r="AX48" s="502">
        <f t="shared" si="57"/>
        <v>2.1341999999999999</v>
      </c>
    </row>
    <row r="49" spans="1:50" ht="13.5" customHeight="1" x14ac:dyDescent="0.2">
      <c r="A49" s="710">
        <v>10</v>
      </c>
      <c r="B49" s="711">
        <v>3402</v>
      </c>
      <c r="C49" s="711">
        <v>600078124</v>
      </c>
      <c r="D49" s="711">
        <v>70982643</v>
      </c>
      <c r="E49" s="712" t="s">
        <v>139</v>
      </c>
      <c r="F49" s="711">
        <v>3111</v>
      </c>
      <c r="G49" s="713" t="s">
        <v>318</v>
      </c>
      <c r="H49" s="714" t="s">
        <v>284</v>
      </c>
      <c r="I49" s="495">
        <v>465179</v>
      </c>
      <c r="J49" s="496">
        <v>339602</v>
      </c>
      <c r="K49" s="475">
        <v>0</v>
      </c>
      <c r="L49" s="475">
        <v>0</v>
      </c>
      <c r="M49" s="319">
        <v>114785</v>
      </c>
      <c r="N49" s="319">
        <v>6792</v>
      </c>
      <c r="O49" s="496">
        <v>4000</v>
      </c>
      <c r="P49" s="497">
        <v>1</v>
      </c>
      <c r="Q49" s="412">
        <v>1</v>
      </c>
      <c r="R49" s="764">
        <v>0</v>
      </c>
      <c r="S49" s="530">
        <f t="shared" si="53"/>
        <v>0</v>
      </c>
      <c r="T49" s="486">
        <v>0</v>
      </c>
      <c r="U49" s="486">
        <v>0</v>
      </c>
      <c r="V49" s="486">
        <f>SUM(S49:U49)</f>
        <v>0</v>
      </c>
      <c r="W49" s="486">
        <v>0</v>
      </c>
      <c r="X49" s="486">
        <v>0</v>
      </c>
      <c r="Y49" s="486">
        <f>SUM(W49:X49)</f>
        <v>0</v>
      </c>
      <c r="Z49" s="486">
        <f>V49+Y49</f>
        <v>0</v>
      </c>
      <c r="AA49" s="319">
        <f>ROUND((V49+W49)*33.8%,0)</f>
        <v>0</v>
      </c>
      <c r="AB49" s="178">
        <f>ROUND(V49*2%,0)</f>
        <v>0</v>
      </c>
      <c r="AC49" s="486">
        <v>0</v>
      </c>
      <c r="AD49" s="486">
        <v>0</v>
      </c>
      <c r="AE49" s="486">
        <f t="shared" si="2"/>
        <v>0</v>
      </c>
      <c r="AF49" s="486">
        <f t="shared" si="3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54"/>
        <v>0</v>
      </c>
      <c r="AM49" s="501">
        <f t="shared" si="55"/>
        <v>0</v>
      </c>
      <c r="AN49" s="529">
        <f t="shared" si="5"/>
        <v>0</v>
      </c>
      <c r="AO49" s="530">
        <f>I49+AF49</f>
        <v>465179</v>
      </c>
      <c r="AP49" s="486">
        <f>J49+V49</f>
        <v>339602</v>
      </c>
      <c r="AQ49" s="486">
        <f>K49+Y49</f>
        <v>0</v>
      </c>
      <c r="AR49" s="486">
        <f>L49</f>
        <v>0</v>
      </c>
      <c r="AS49" s="486">
        <f t="shared" si="56"/>
        <v>114785</v>
      </c>
      <c r="AT49" s="486">
        <f t="shared" si="56"/>
        <v>6792</v>
      </c>
      <c r="AU49" s="486">
        <f>O49+AE49</f>
        <v>4000</v>
      </c>
      <c r="AV49" s="501">
        <f>P49+AN49</f>
        <v>1</v>
      </c>
      <c r="AW49" s="501">
        <f t="shared" si="57"/>
        <v>1</v>
      </c>
      <c r="AX49" s="502">
        <f t="shared" si="57"/>
        <v>0</v>
      </c>
    </row>
    <row r="50" spans="1:50" ht="13.5" customHeight="1" x14ac:dyDescent="0.2">
      <c r="A50" s="710">
        <v>10</v>
      </c>
      <c r="B50" s="711">
        <v>3402</v>
      </c>
      <c r="C50" s="711">
        <v>600078124</v>
      </c>
      <c r="D50" s="711">
        <v>70982643</v>
      </c>
      <c r="E50" s="712" t="s">
        <v>139</v>
      </c>
      <c r="F50" s="711">
        <v>3141</v>
      </c>
      <c r="G50" s="713" t="s">
        <v>321</v>
      </c>
      <c r="H50" s="714" t="s">
        <v>284</v>
      </c>
      <c r="I50" s="495">
        <v>2361822</v>
      </c>
      <c r="J50" s="496">
        <v>1726634</v>
      </c>
      <c r="K50" s="475">
        <v>0</v>
      </c>
      <c r="L50" s="475">
        <v>0</v>
      </c>
      <c r="M50" s="319">
        <v>583603</v>
      </c>
      <c r="N50" s="319">
        <v>34533</v>
      </c>
      <c r="O50" s="496">
        <v>17052</v>
      </c>
      <c r="P50" s="497">
        <v>5.88</v>
      </c>
      <c r="Q50" s="412">
        <v>0</v>
      </c>
      <c r="R50" s="764">
        <v>5.88</v>
      </c>
      <c r="S50" s="530">
        <f t="shared" si="53"/>
        <v>0</v>
      </c>
      <c r="T50" s="486">
        <v>0</v>
      </c>
      <c r="U50" s="486">
        <v>0</v>
      </c>
      <c r="V50" s="486">
        <f>SUM(S50:U50)</f>
        <v>0</v>
      </c>
      <c r="W50" s="486">
        <v>0</v>
      </c>
      <c r="X50" s="486">
        <v>0</v>
      </c>
      <c r="Y50" s="486">
        <f>SUM(W50:X50)</f>
        <v>0</v>
      </c>
      <c r="Z50" s="486">
        <f>V50+Y50</f>
        <v>0</v>
      </c>
      <c r="AA50" s="319">
        <f>ROUND((V50+W50)*33.8%,0)</f>
        <v>0</v>
      </c>
      <c r="AB50" s="178">
        <f>ROUND(V50*2%,0)</f>
        <v>0</v>
      </c>
      <c r="AC50" s="486">
        <v>0</v>
      </c>
      <c r="AD50" s="486">
        <v>0</v>
      </c>
      <c r="AE50" s="486">
        <f t="shared" si="2"/>
        <v>0</v>
      </c>
      <c r="AF50" s="486">
        <f t="shared" si="3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54"/>
        <v>0</v>
      </c>
      <c r="AM50" s="501">
        <f t="shared" si="55"/>
        <v>0</v>
      </c>
      <c r="AN50" s="529">
        <f t="shared" si="5"/>
        <v>0</v>
      </c>
      <c r="AO50" s="530">
        <f>I50+AF50</f>
        <v>2361822</v>
      </c>
      <c r="AP50" s="486">
        <f>J50+V50</f>
        <v>1726634</v>
      </c>
      <c r="AQ50" s="486">
        <f>K50+Y50</f>
        <v>0</v>
      </c>
      <c r="AR50" s="486">
        <f>L50</f>
        <v>0</v>
      </c>
      <c r="AS50" s="486">
        <f t="shared" si="56"/>
        <v>583603</v>
      </c>
      <c r="AT50" s="486">
        <f t="shared" si="56"/>
        <v>34533</v>
      </c>
      <c r="AU50" s="486">
        <f>O50+AE50</f>
        <v>17052</v>
      </c>
      <c r="AV50" s="501">
        <f>P50+AN50</f>
        <v>5.88</v>
      </c>
      <c r="AW50" s="501">
        <f t="shared" si="57"/>
        <v>0</v>
      </c>
      <c r="AX50" s="502">
        <f t="shared" si="57"/>
        <v>5.88</v>
      </c>
    </row>
    <row r="51" spans="1:50" x14ac:dyDescent="0.2">
      <c r="A51" s="282">
        <v>10</v>
      </c>
      <c r="B51" s="27">
        <v>3402</v>
      </c>
      <c r="C51" s="27">
        <v>600078124</v>
      </c>
      <c r="D51" s="27">
        <v>70982643</v>
      </c>
      <c r="E51" s="292" t="s">
        <v>140</v>
      </c>
      <c r="F51" s="27"/>
      <c r="G51" s="281"/>
      <c r="H51" s="377"/>
      <c r="I51" s="5">
        <v>7730176</v>
      </c>
      <c r="J51" s="8">
        <v>5635584</v>
      </c>
      <c r="K51" s="8">
        <v>0</v>
      </c>
      <c r="L51" s="8">
        <v>0</v>
      </c>
      <c r="M51" s="8">
        <v>1904828</v>
      </c>
      <c r="N51" s="8">
        <v>112712</v>
      </c>
      <c r="O51" s="8">
        <v>77052</v>
      </c>
      <c r="P51" s="9">
        <v>15.1142</v>
      </c>
      <c r="Q51" s="9">
        <v>7.1</v>
      </c>
      <c r="R51" s="33">
        <v>8.0141999999999989</v>
      </c>
      <c r="S51" s="5">
        <f t="shared" ref="S51:AX51" si="58">SUM(S48:S50)</f>
        <v>0</v>
      </c>
      <c r="T51" s="8">
        <f t="shared" si="58"/>
        <v>0</v>
      </c>
      <c r="U51" s="8">
        <f t="shared" si="58"/>
        <v>0</v>
      </c>
      <c r="V51" s="8">
        <f t="shared" si="58"/>
        <v>0</v>
      </c>
      <c r="W51" s="8">
        <f t="shared" si="58"/>
        <v>0</v>
      </c>
      <c r="X51" s="8">
        <f t="shared" si="58"/>
        <v>0</v>
      </c>
      <c r="Y51" s="8">
        <f t="shared" si="58"/>
        <v>0</v>
      </c>
      <c r="Z51" s="8">
        <f t="shared" si="58"/>
        <v>0</v>
      </c>
      <c r="AA51" s="8">
        <f t="shared" si="58"/>
        <v>0</v>
      </c>
      <c r="AB51" s="8">
        <f t="shared" si="58"/>
        <v>0</v>
      </c>
      <c r="AC51" s="8">
        <f t="shared" si="58"/>
        <v>0</v>
      </c>
      <c r="AD51" s="8">
        <f t="shared" si="58"/>
        <v>0</v>
      </c>
      <c r="AE51" s="8">
        <f t="shared" si="58"/>
        <v>0</v>
      </c>
      <c r="AF51" s="8">
        <f t="shared" si="58"/>
        <v>0</v>
      </c>
      <c r="AG51" s="9">
        <f t="shared" si="58"/>
        <v>0</v>
      </c>
      <c r="AH51" s="9">
        <f t="shared" si="58"/>
        <v>0</v>
      </c>
      <c r="AI51" s="9">
        <f t="shared" si="58"/>
        <v>0</v>
      </c>
      <c r="AJ51" s="9">
        <f t="shared" si="58"/>
        <v>0</v>
      </c>
      <c r="AK51" s="9">
        <f t="shared" si="58"/>
        <v>0</v>
      </c>
      <c r="AL51" s="9">
        <f t="shared" si="58"/>
        <v>0</v>
      </c>
      <c r="AM51" s="9">
        <f t="shared" si="58"/>
        <v>0</v>
      </c>
      <c r="AN51" s="33">
        <f t="shared" si="58"/>
        <v>0</v>
      </c>
      <c r="AO51" s="5">
        <f t="shared" si="58"/>
        <v>7730176</v>
      </c>
      <c r="AP51" s="8">
        <f t="shared" si="58"/>
        <v>5635584</v>
      </c>
      <c r="AQ51" s="38">
        <f t="shared" si="58"/>
        <v>0</v>
      </c>
      <c r="AR51" s="38">
        <f t="shared" si="58"/>
        <v>0</v>
      </c>
      <c r="AS51" s="8">
        <f t="shared" si="58"/>
        <v>1904828</v>
      </c>
      <c r="AT51" s="8">
        <f t="shared" si="58"/>
        <v>112712</v>
      </c>
      <c r="AU51" s="8">
        <f t="shared" si="58"/>
        <v>77052</v>
      </c>
      <c r="AV51" s="9">
        <f t="shared" si="58"/>
        <v>15.1142</v>
      </c>
      <c r="AW51" s="9">
        <f t="shared" si="58"/>
        <v>7.1</v>
      </c>
      <c r="AX51" s="74">
        <f t="shared" si="58"/>
        <v>8.0141999999999989</v>
      </c>
    </row>
    <row r="52" spans="1:50" x14ac:dyDescent="0.2">
      <c r="A52" s="710">
        <v>11</v>
      </c>
      <c r="B52" s="711">
        <v>3429</v>
      </c>
      <c r="C52" s="711">
        <v>600078256</v>
      </c>
      <c r="D52" s="711">
        <v>43257151</v>
      </c>
      <c r="E52" s="712" t="s">
        <v>141</v>
      </c>
      <c r="F52" s="711">
        <v>3113</v>
      </c>
      <c r="G52" s="713" t="s">
        <v>320</v>
      </c>
      <c r="H52" s="714" t="s">
        <v>283</v>
      </c>
      <c r="I52" s="495">
        <v>15559745</v>
      </c>
      <c r="J52" s="496">
        <v>10966593</v>
      </c>
      <c r="K52" s="496">
        <v>123892</v>
      </c>
      <c r="L52" s="496">
        <v>33892</v>
      </c>
      <c r="M52" s="496">
        <v>3737128</v>
      </c>
      <c r="N52" s="496">
        <v>219332</v>
      </c>
      <c r="O52" s="496">
        <v>512800</v>
      </c>
      <c r="P52" s="497">
        <v>19.349900000000002</v>
      </c>
      <c r="Q52" s="412">
        <v>14.375400000000001</v>
      </c>
      <c r="R52" s="764">
        <v>4.9745000000000008</v>
      </c>
      <c r="S52" s="530">
        <f t="shared" ref="S52:S55" si="59">W52*-1</f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486">
        <v>0</v>
      </c>
      <c r="Y52" s="486">
        <f>SUM(W52:X52)</f>
        <v>0</v>
      </c>
      <c r="Z52" s="486">
        <f>V52+Y52</f>
        <v>0</v>
      </c>
      <c r="AA52" s="319">
        <f>ROUND((V52+W52)*33.8%,0)</f>
        <v>0</v>
      </c>
      <c r="AB52" s="178">
        <f>ROUND(V52*2%,0)</f>
        <v>0</v>
      </c>
      <c r="AC52" s="486">
        <v>0</v>
      </c>
      <c r="AD52" s="486">
        <v>0</v>
      </c>
      <c r="AE52" s="486">
        <f t="shared" si="2"/>
        <v>0</v>
      </c>
      <c r="AF52" s="486">
        <f t="shared" si="3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ref="AL52:AL55" si="60">AG52+AI52+AJ52</f>
        <v>0</v>
      </c>
      <c r="AM52" s="501">
        <f t="shared" ref="AM52:AM55" si="61">AH52+AK52</f>
        <v>0</v>
      </c>
      <c r="AN52" s="529">
        <f t="shared" si="5"/>
        <v>0</v>
      </c>
      <c r="AO52" s="530">
        <f>I52+AF52</f>
        <v>15559745</v>
      </c>
      <c r="AP52" s="486">
        <f>J52+V52</f>
        <v>10966593</v>
      </c>
      <c r="AQ52" s="486">
        <f>K52+Y52</f>
        <v>123892</v>
      </c>
      <c r="AR52" s="486">
        <f>L52</f>
        <v>33892</v>
      </c>
      <c r="AS52" s="486">
        <f t="shared" ref="AS52:AT55" si="62">M52+AA52</f>
        <v>3737128</v>
      </c>
      <c r="AT52" s="486">
        <f t="shared" si="62"/>
        <v>219332</v>
      </c>
      <c r="AU52" s="486">
        <f>O52+AE52</f>
        <v>512800</v>
      </c>
      <c r="AV52" s="501">
        <f>P52+AN52</f>
        <v>19.349900000000002</v>
      </c>
      <c r="AW52" s="501">
        <f t="shared" ref="AW52:AX55" si="63">Q52+AL52</f>
        <v>14.375400000000001</v>
      </c>
      <c r="AX52" s="502">
        <f t="shared" si="63"/>
        <v>4.9745000000000008</v>
      </c>
    </row>
    <row r="53" spans="1:50" x14ac:dyDescent="0.2">
      <c r="A53" s="710">
        <v>11</v>
      </c>
      <c r="B53" s="711">
        <v>3429</v>
      </c>
      <c r="C53" s="711">
        <v>600078256</v>
      </c>
      <c r="D53" s="711">
        <v>43257151</v>
      </c>
      <c r="E53" s="712" t="s">
        <v>141</v>
      </c>
      <c r="F53" s="711">
        <v>3113</v>
      </c>
      <c r="G53" s="713" t="s">
        <v>318</v>
      </c>
      <c r="H53" s="714" t="s">
        <v>284</v>
      </c>
      <c r="I53" s="495">
        <v>969179</v>
      </c>
      <c r="J53" s="496">
        <v>713681</v>
      </c>
      <c r="K53" s="475">
        <v>0</v>
      </c>
      <c r="L53" s="475">
        <v>0</v>
      </c>
      <c r="M53" s="319">
        <v>241224</v>
      </c>
      <c r="N53" s="319">
        <v>14274</v>
      </c>
      <c r="O53" s="496">
        <v>0</v>
      </c>
      <c r="P53" s="497">
        <v>2.09</v>
      </c>
      <c r="Q53" s="412">
        <v>2.09</v>
      </c>
      <c r="R53" s="764">
        <v>0</v>
      </c>
      <c r="S53" s="530">
        <f t="shared" si="59"/>
        <v>0</v>
      </c>
      <c r="T53" s="486">
        <v>0</v>
      </c>
      <c r="U53" s="486">
        <v>0</v>
      </c>
      <c r="V53" s="486">
        <f>SUM(S53:U53)</f>
        <v>0</v>
      </c>
      <c r="W53" s="486">
        <v>0</v>
      </c>
      <c r="X53" s="486">
        <v>0</v>
      </c>
      <c r="Y53" s="486">
        <f>SUM(W53:X53)</f>
        <v>0</v>
      </c>
      <c r="Z53" s="486">
        <f>V53+Y53</f>
        <v>0</v>
      </c>
      <c r="AA53" s="319">
        <f>ROUND((V53+W53)*33.8%,0)</f>
        <v>0</v>
      </c>
      <c r="AB53" s="178">
        <f>ROUND(V53*2%,0)</f>
        <v>0</v>
      </c>
      <c r="AC53" s="486">
        <v>0</v>
      </c>
      <c r="AD53" s="486">
        <v>0</v>
      </c>
      <c r="AE53" s="486">
        <f t="shared" si="2"/>
        <v>0</v>
      </c>
      <c r="AF53" s="486">
        <f t="shared" si="3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si="60"/>
        <v>0</v>
      </c>
      <c r="AM53" s="501">
        <f t="shared" si="61"/>
        <v>0</v>
      </c>
      <c r="AN53" s="529">
        <f t="shared" si="5"/>
        <v>0</v>
      </c>
      <c r="AO53" s="530">
        <f>I53+AF53</f>
        <v>969179</v>
      </c>
      <c r="AP53" s="486">
        <f>J53+V53</f>
        <v>713681</v>
      </c>
      <c r="AQ53" s="486">
        <f>K53+Y53</f>
        <v>0</v>
      </c>
      <c r="AR53" s="486">
        <f>L53</f>
        <v>0</v>
      </c>
      <c r="AS53" s="486">
        <f t="shared" si="62"/>
        <v>241224</v>
      </c>
      <c r="AT53" s="486">
        <f t="shared" si="62"/>
        <v>14274</v>
      </c>
      <c r="AU53" s="486">
        <f>O53+AE53</f>
        <v>0</v>
      </c>
      <c r="AV53" s="501">
        <f>P53+AN53</f>
        <v>2.09</v>
      </c>
      <c r="AW53" s="501">
        <f t="shared" si="63"/>
        <v>2.09</v>
      </c>
      <c r="AX53" s="502">
        <f t="shared" si="63"/>
        <v>0</v>
      </c>
    </row>
    <row r="54" spans="1:50" s="3" customFormat="1" x14ac:dyDescent="0.2">
      <c r="A54" s="710">
        <v>11</v>
      </c>
      <c r="B54" s="711">
        <v>3429</v>
      </c>
      <c r="C54" s="711">
        <v>600078256</v>
      </c>
      <c r="D54" s="711">
        <v>43257151</v>
      </c>
      <c r="E54" s="712" t="s">
        <v>141</v>
      </c>
      <c r="F54" s="711">
        <v>3143</v>
      </c>
      <c r="G54" s="713" t="s">
        <v>634</v>
      </c>
      <c r="H54" s="701" t="s">
        <v>283</v>
      </c>
      <c r="I54" s="495">
        <v>1222110</v>
      </c>
      <c r="J54" s="496">
        <v>899933</v>
      </c>
      <c r="K54" s="475">
        <v>0</v>
      </c>
      <c r="L54" s="475">
        <v>0</v>
      </c>
      <c r="M54" s="319">
        <v>304178</v>
      </c>
      <c r="N54" s="319">
        <v>17999</v>
      </c>
      <c r="O54" s="496">
        <v>0</v>
      </c>
      <c r="P54" s="497">
        <v>2.0457000000000001</v>
      </c>
      <c r="Q54" s="412">
        <v>2.0457000000000001</v>
      </c>
      <c r="R54" s="764">
        <v>0</v>
      </c>
      <c r="S54" s="530">
        <f t="shared" si="59"/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486">
        <v>0</v>
      </c>
      <c r="Y54" s="486">
        <f>SUM(W54:X54)</f>
        <v>0</v>
      </c>
      <c r="Z54" s="486">
        <f>V54+Y54</f>
        <v>0</v>
      </c>
      <c r="AA54" s="319">
        <f>ROUND((V54+W54)*33.8%,0)</f>
        <v>0</v>
      </c>
      <c r="AB54" s="178">
        <f>ROUND(V54*2%,0)</f>
        <v>0</v>
      </c>
      <c r="AC54" s="486">
        <v>0</v>
      </c>
      <c r="AD54" s="486">
        <v>0</v>
      </c>
      <c r="AE54" s="486">
        <f t="shared" si="2"/>
        <v>0</v>
      </c>
      <c r="AF54" s="486">
        <f t="shared" si="3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60"/>
        <v>0</v>
      </c>
      <c r="AM54" s="501">
        <f t="shared" si="61"/>
        <v>0</v>
      </c>
      <c r="AN54" s="529">
        <f t="shared" si="5"/>
        <v>0</v>
      </c>
      <c r="AO54" s="530">
        <f>I54+AF54</f>
        <v>1222110</v>
      </c>
      <c r="AP54" s="486">
        <f>J54+V54</f>
        <v>899933</v>
      </c>
      <c r="AQ54" s="486">
        <f>K54+Y54</f>
        <v>0</v>
      </c>
      <c r="AR54" s="486">
        <f>L54</f>
        <v>0</v>
      </c>
      <c r="AS54" s="486">
        <f t="shared" si="62"/>
        <v>304178</v>
      </c>
      <c r="AT54" s="486">
        <f t="shared" si="62"/>
        <v>17999</v>
      </c>
      <c r="AU54" s="486">
        <f>O54+AE54</f>
        <v>0</v>
      </c>
      <c r="AV54" s="501">
        <f>P54+AN54</f>
        <v>2.0457000000000001</v>
      </c>
      <c r="AW54" s="501">
        <f t="shared" si="63"/>
        <v>2.0457000000000001</v>
      </c>
      <c r="AX54" s="502">
        <f t="shared" si="63"/>
        <v>0</v>
      </c>
    </row>
    <row r="55" spans="1:50" s="3" customFormat="1" x14ac:dyDescent="0.2">
      <c r="A55" s="710">
        <v>11</v>
      </c>
      <c r="B55" s="711">
        <v>3429</v>
      </c>
      <c r="C55" s="711">
        <v>600078256</v>
      </c>
      <c r="D55" s="711">
        <v>43257151</v>
      </c>
      <c r="E55" s="712" t="s">
        <v>141</v>
      </c>
      <c r="F55" s="711">
        <v>3143</v>
      </c>
      <c r="G55" s="713" t="s">
        <v>635</v>
      </c>
      <c r="H55" s="701" t="s">
        <v>284</v>
      </c>
      <c r="I55" s="495">
        <v>28791</v>
      </c>
      <c r="J55" s="496">
        <v>20295</v>
      </c>
      <c r="K55" s="475">
        <v>0</v>
      </c>
      <c r="L55" s="475">
        <v>0</v>
      </c>
      <c r="M55" s="319">
        <v>6860</v>
      </c>
      <c r="N55" s="319">
        <v>406</v>
      </c>
      <c r="O55" s="496">
        <v>1230</v>
      </c>
      <c r="P55" s="497">
        <v>0.09</v>
      </c>
      <c r="Q55" s="412">
        <v>0</v>
      </c>
      <c r="R55" s="764">
        <v>0.09</v>
      </c>
      <c r="S55" s="530">
        <f t="shared" si="59"/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319">
        <f>ROUND((V55+W55)*33.8%,0)</f>
        <v>0</v>
      </c>
      <c r="AB55" s="178">
        <f>ROUND(V55*2%,0)</f>
        <v>0</v>
      </c>
      <c r="AC55" s="486">
        <v>0</v>
      </c>
      <c r="AD55" s="486">
        <v>0</v>
      </c>
      <c r="AE55" s="486">
        <f t="shared" si="2"/>
        <v>0</v>
      </c>
      <c r="AF55" s="486">
        <f t="shared" si="3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60"/>
        <v>0</v>
      </c>
      <c r="AM55" s="501">
        <f t="shared" si="61"/>
        <v>0</v>
      </c>
      <c r="AN55" s="529">
        <f t="shared" si="5"/>
        <v>0</v>
      </c>
      <c r="AO55" s="530">
        <f>I55+AF55</f>
        <v>28791</v>
      </c>
      <c r="AP55" s="486">
        <f>J55+V55</f>
        <v>20295</v>
      </c>
      <c r="AQ55" s="486">
        <f>K55+Y55</f>
        <v>0</v>
      </c>
      <c r="AR55" s="486">
        <f>L55</f>
        <v>0</v>
      </c>
      <c r="AS55" s="486">
        <f t="shared" si="62"/>
        <v>6860</v>
      </c>
      <c r="AT55" s="486">
        <f t="shared" si="62"/>
        <v>406</v>
      </c>
      <c r="AU55" s="486">
        <f>O55+AE55</f>
        <v>1230</v>
      </c>
      <c r="AV55" s="501">
        <f>P55+AN55</f>
        <v>0.09</v>
      </c>
      <c r="AW55" s="501">
        <f t="shared" si="63"/>
        <v>0</v>
      </c>
      <c r="AX55" s="502">
        <f t="shared" si="63"/>
        <v>0.09</v>
      </c>
    </row>
    <row r="56" spans="1:50" x14ac:dyDescent="0.2">
      <c r="A56" s="282">
        <v>11</v>
      </c>
      <c r="B56" s="27">
        <v>3429</v>
      </c>
      <c r="C56" s="27">
        <v>600078256</v>
      </c>
      <c r="D56" s="27">
        <v>43257151</v>
      </c>
      <c r="E56" s="292" t="s">
        <v>142</v>
      </c>
      <c r="F56" s="27"/>
      <c r="G56" s="281"/>
      <c r="H56" s="377"/>
      <c r="I56" s="5">
        <v>17779825</v>
      </c>
      <c r="J56" s="8">
        <v>12600502</v>
      </c>
      <c r="K56" s="8">
        <v>123892</v>
      </c>
      <c r="L56" s="8">
        <v>33892</v>
      </c>
      <c r="M56" s="8">
        <v>4289390</v>
      </c>
      <c r="N56" s="8">
        <v>252011</v>
      </c>
      <c r="O56" s="8">
        <v>514030</v>
      </c>
      <c r="P56" s="9">
        <v>23.575600000000001</v>
      </c>
      <c r="Q56" s="9">
        <v>18.511100000000003</v>
      </c>
      <c r="R56" s="33">
        <v>5.0645000000000007</v>
      </c>
      <c r="S56" s="5">
        <f t="shared" ref="S56:AX56" si="64">SUM(S52:S55)</f>
        <v>0</v>
      </c>
      <c r="T56" s="8">
        <f t="shared" si="64"/>
        <v>0</v>
      </c>
      <c r="U56" s="8">
        <f t="shared" si="64"/>
        <v>0</v>
      </c>
      <c r="V56" s="8">
        <f t="shared" si="64"/>
        <v>0</v>
      </c>
      <c r="W56" s="8">
        <f t="shared" si="64"/>
        <v>0</v>
      </c>
      <c r="X56" s="8">
        <f t="shared" si="64"/>
        <v>0</v>
      </c>
      <c r="Y56" s="8">
        <f t="shared" si="64"/>
        <v>0</v>
      </c>
      <c r="Z56" s="8">
        <f t="shared" si="64"/>
        <v>0</v>
      </c>
      <c r="AA56" s="8">
        <f t="shared" si="64"/>
        <v>0</v>
      </c>
      <c r="AB56" s="8">
        <f t="shared" si="64"/>
        <v>0</v>
      </c>
      <c r="AC56" s="8">
        <f t="shared" si="64"/>
        <v>0</v>
      </c>
      <c r="AD56" s="8">
        <f t="shared" si="64"/>
        <v>0</v>
      </c>
      <c r="AE56" s="8">
        <f t="shared" si="64"/>
        <v>0</v>
      </c>
      <c r="AF56" s="8">
        <f t="shared" si="64"/>
        <v>0</v>
      </c>
      <c r="AG56" s="9">
        <f t="shared" si="64"/>
        <v>0</v>
      </c>
      <c r="AH56" s="9">
        <f t="shared" si="64"/>
        <v>0</v>
      </c>
      <c r="AI56" s="9">
        <f t="shared" si="64"/>
        <v>0</v>
      </c>
      <c r="AJ56" s="9">
        <f t="shared" si="64"/>
        <v>0</v>
      </c>
      <c r="AK56" s="9">
        <f t="shared" si="64"/>
        <v>0</v>
      </c>
      <c r="AL56" s="9">
        <f t="shared" si="64"/>
        <v>0</v>
      </c>
      <c r="AM56" s="9">
        <f t="shared" si="64"/>
        <v>0</v>
      </c>
      <c r="AN56" s="33">
        <f t="shared" si="64"/>
        <v>0</v>
      </c>
      <c r="AO56" s="5">
        <f t="shared" si="64"/>
        <v>17779825</v>
      </c>
      <c r="AP56" s="8">
        <f t="shared" si="64"/>
        <v>12600502</v>
      </c>
      <c r="AQ56" s="38">
        <f t="shared" si="64"/>
        <v>123892</v>
      </c>
      <c r="AR56" s="38">
        <f t="shared" si="64"/>
        <v>33892</v>
      </c>
      <c r="AS56" s="8">
        <f t="shared" si="64"/>
        <v>4289390</v>
      </c>
      <c r="AT56" s="8">
        <f t="shared" si="64"/>
        <v>252011</v>
      </c>
      <c r="AU56" s="8">
        <f t="shared" si="64"/>
        <v>514030</v>
      </c>
      <c r="AV56" s="9">
        <f t="shared" si="64"/>
        <v>23.575600000000001</v>
      </c>
      <c r="AW56" s="9">
        <f t="shared" si="64"/>
        <v>18.511100000000003</v>
      </c>
      <c r="AX56" s="74">
        <f t="shared" si="64"/>
        <v>5.0645000000000007</v>
      </c>
    </row>
    <row r="57" spans="1:50" x14ac:dyDescent="0.2">
      <c r="A57" s="710">
        <v>12</v>
      </c>
      <c r="B57" s="711">
        <v>3405</v>
      </c>
      <c r="C57" s="711">
        <v>600078337</v>
      </c>
      <c r="D57" s="711">
        <v>70698325</v>
      </c>
      <c r="E57" s="712" t="s">
        <v>143</v>
      </c>
      <c r="F57" s="711">
        <v>3111</v>
      </c>
      <c r="G57" s="713" t="s">
        <v>317</v>
      </c>
      <c r="H57" s="714" t="s">
        <v>283</v>
      </c>
      <c r="I57" s="495">
        <v>1477065</v>
      </c>
      <c r="J57" s="496">
        <v>1073759</v>
      </c>
      <c r="K57" s="475">
        <v>0</v>
      </c>
      <c r="L57" s="475">
        <v>0</v>
      </c>
      <c r="M57" s="319">
        <v>362931</v>
      </c>
      <c r="N57" s="319">
        <v>21475</v>
      </c>
      <c r="O57" s="496">
        <v>18900</v>
      </c>
      <c r="P57" s="497">
        <v>2.4382999999999999</v>
      </c>
      <c r="Q57" s="412">
        <v>1.9274</v>
      </c>
      <c r="R57" s="764">
        <v>0.51090000000000002</v>
      </c>
      <c r="S57" s="530">
        <f t="shared" ref="S57:S62" si="65">W57*-1</f>
        <v>0</v>
      </c>
      <c r="T57" s="486">
        <v>0</v>
      </c>
      <c r="U57" s="486">
        <v>0</v>
      </c>
      <c r="V57" s="486">
        <f t="shared" ref="V57:V62" si="66">SUM(S57:U57)</f>
        <v>0</v>
      </c>
      <c r="W57" s="486">
        <v>0</v>
      </c>
      <c r="X57" s="486">
        <v>0</v>
      </c>
      <c r="Y57" s="486">
        <f t="shared" ref="Y57:Y62" si="67">SUM(W57:X57)</f>
        <v>0</v>
      </c>
      <c r="Z57" s="486">
        <f t="shared" ref="Z57:Z62" si="68">V57+Y57</f>
        <v>0</v>
      </c>
      <c r="AA57" s="319">
        <f t="shared" ref="AA57:AA62" si="69">ROUND((V57+W57)*33.8%,0)</f>
        <v>0</v>
      </c>
      <c r="AB57" s="178">
        <f t="shared" ref="AB57:AB62" si="70">ROUND(V57*2%,0)</f>
        <v>0</v>
      </c>
      <c r="AC57" s="486">
        <v>0</v>
      </c>
      <c r="AD57" s="486">
        <v>0</v>
      </c>
      <c r="AE57" s="486">
        <f t="shared" si="2"/>
        <v>0</v>
      </c>
      <c r="AF57" s="486">
        <f t="shared" si="3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ref="AL57:AL62" si="71">AG57+AI57+AJ57</f>
        <v>0</v>
      </c>
      <c r="AM57" s="501">
        <f t="shared" ref="AM57:AM62" si="72">AH57+AK57</f>
        <v>0</v>
      </c>
      <c r="AN57" s="529">
        <f t="shared" si="5"/>
        <v>0</v>
      </c>
      <c r="AO57" s="530">
        <f t="shared" ref="AO57:AO62" si="73">I57+AF57</f>
        <v>1477065</v>
      </c>
      <c r="AP57" s="486">
        <f t="shared" ref="AP57:AP62" si="74">J57+V57</f>
        <v>1073759</v>
      </c>
      <c r="AQ57" s="486">
        <f t="shared" ref="AQ57:AQ62" si="75">K57+Y57</f>
        <v>0</v>
      </c>
      <c r="AR57" s="486">
        <f t="shared" ref="AR57:AR62" si="76">L57</f>
        <v>0</v>
      </c>
      <c r="AS57" s="486">
        <f t="shared" ref="AS57:AT62" si="77">M57+AA57</f>
        <v>362931</v>
      </c>
      <c r="AT57" s="486">
        <f t="shared" si="77"/>
        <v>21475</v>
      </c>
      <c r="AU57" s="486">
        <f t="shared" ref="AU57:AU62" si="78">O57+AE57</f>
        <v>18900</v>
      </c>
      <c r="AV57" s="501">
        <f t="shared" ref="AV57:AV62" si="79">P57+AN57</f>
        <v>2.4382999999999999</v>
      </c>
      <c r="AW57" s="501">
        <f t="shared" ref="AW57:AX62" si="80">Q57+AL57</f>
        <v>1.9274</v>
      </c>
      <c r="AX57" s="502">
        <f t="shared" si="80"/>
        <v>0.51090000000000002</v>
      </c>
    </row>
    <row r="58" spans="1:50" x14ac:dyDescent="0.2">
      <c r="A58" s="710">
        <v>12</v>
      </c>
      <c r="B58" s="711">
        <v>3405</v>
      </c>
      <c r="C58" s="711">
        <v>600078337</v>
      </c>
      <c r="D58" s="711">
        <v>70698325</v>
      </c>
      <c r="E58" s="712" t="s">
        <v>143</v>
      </c>
      <c r="F58" s="711">
        <v>3117</v>
      </c>
      <c r="G58" s="713" t="s">
        <v>320</v>
      </c>
      <c r="H58" s="714" t="s">
        <v>283</v>
      </c>
      <c r="I58" s="495">
        <v>1881127</v>
      </c>
      <c r="J58" s="496">
        <v>1348129</v>
      </c>
      <c r="K58" s="496">
        <v>2368</v>
      </c>
      <c r="L58" s="496">
        <v>2368</v>
      </c>
      <c r="M58" s="496">
        <v>455667</v>
      </c>
      <c r="N58" s="496">
        <v>26963</v>
      </c>
      <c r="O58" s="496">
        <v>48000</v>
      </c>
      <c r="P58" s="497">
        <v>2.5049999999999999</v>
      </c>
      <c r="Q58" s="412">
        <v>1.5909</v>
      </c>
      <c r="R58" s="764">
        <v>0.91409999999999991</v>
      </c>
      <c r="S58" s="530">
        <f t="shared" si="65"/>
        <v>0</v>
      </c>
      <c r="T58" s="486">
        <v>0</v>
      </c>
      <c r="U58" s="486">
        <v>0</v>
      </c>
      <c r="V58" s="486">
        <f t="shared" si="66"/>
        <v>0</v>
      </c>
      <c r="W58" s="486">
        <v>0</v>
      </c>
      <c r="X58" s="486">
        <v>0</v>
      </c>
      <c r="Y58" s="486">
        <f t="shared" si="67"/>
        <v>0</v>
      </c>
      <c r="Z58" s="486">
        <f t="shared" si="68"/>
        <v>0</v>
      </c>
      <c r="AA58" s="319">
        <f t="shared" si="69"/>
        <v>0</v>
      </c>
      <c r="AB58" s="178">
        <f t="shared" si="70"/>
        <v>0</v>
      </c>
      <c r="AC58" s="486">
        <v>0</v>
      </c>
      <c r="AD58" s="486">
        <v>0</v>
      </c>
      <c r="AE58" s="486">
        <f t="shared" si="2"/>
        <v>0</v>
      </c>
      <c r="AF58" s="486">
        <f t="shared" si="3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si="71"/>
        <v>0</v>
      </c>
      <c r="AM58" s="501">
        <f t="shared" si="72"/>
        <v>0</v>
      </c>
      <c r="AN58" s="529">
        <f t="shared" si="5"/>
        <v>0</v>
      </c>
      <c r="AO58" s="530">
        <f t="shared" si="73"/>
        <v>1881127</v>
      </c>
      <c r="AP58" s="486">
        <f t="shared" si="74"/>
        <v>1348129</v>
      </c>
      <c r="AQ58" s="486">
        <f t="shared" si="75"/>
        <v>2368</v>
      </c>
      <c r="AR58" s="486">
        <f t="shared" si="76"/>
        <v>2368</v>
      </c>
      <c r="AS58" s="486">
        <f t="shared" si="77"/>
        <v>455667</v>
      </c>
      <c r="AT58" s="486">
        <f t="shared" si="77"/>
        <v>26963</v>
      </c>
      <c r="AU58" s="486">
        <f t="shared" si="78"/>
        <v>48000</v>
      </c>
      <c r="AV58" s="501">
        <f t="shared" si="79"/>
        <v>2.5049999999999999</v>
      </c>
      <c r="AW58" s="501">
        <f t="shared" si="80"/>
        <v>1.5909</v>
      </c>
      <c r="AX58" s="502">
        <f t="shared" si="80"/>
        <v>0.91409999999999991</v>
      </c>
    </row>
    <row r="59" spans="1:50" x14ac:dyDescent="0.2">
      <c r="A59" s="710">
        <v>12</v>
      </c>
      <c r="B59" s="711">
        <v>3405</v>
      </c>
      <c r="C59" s="711">
        <v>600078337</v>
      </c>
      <c r="D59" s="711">
        <v>70698325</v>
      </c>
      <c r="E59" s="712" t="s">
        <v>143</v>
      </c>
      <c r="F59" s="711">
        <v>3117</v>
      </c>
      <c r="G59" s="713" t="s">
        <v>318</v>
      </c>
      <c r="H59" s="714" t="s">
        <v>284</v>
      </c>
      <c r="I59" s="495">
        <v>476113</v>
      </c>
      <c r="J59" s="496">
        <v>343382</v>
      </c>
      <c r="K59" s="475">
        <v>0</v>
      </c>
      <c r="L59" s="475">
        <v>0</v>
      </c>
      <c r="M59" s="319">
        <v>116063</v>
      </c>
      <c r="N59" s="319">
        <v>6868</v>
      </c>
      <c r="O59" s="496">
        <v>9800</v>
      </c>
      <c r="P59" s="497">
        <v>1.01</v>
      </c>
      <c r="Q59" s="412">
        <v>1.01</v>
      </c>
      <c r="R59" s="764">
        <v>0</v>
      </c>
      <c r="S59" s="530">
        <f t="shared" si="65"/>
        <v>0</v>
      </c>
      <c r="T59" s="486">
        <v>0</v>
      </c>
      <c r="U59" s="486">
        <v>0</v>
      </c>
      <c r="V59" s="486">
        <f t="shared" si="66"/>
        <v>0</v>
      </c>
      <c r="W59" s="486">
        <v>0</v>
      </c>
      <c r="X59" s="486">
        <v>0</v>
      </c>
      <c r="Y59" s="486">
        <f t="shared" si="67"/>
        <v>0</v>
      </c>
      <c r="Z59" s="486">
        <f t="shared" si="68"/>
        <v>0</v>
      </c>
      <c r="AA59" s="319">
        <f t="shared" si="69"/>
        <v>0</v>
      </c>
      <c r="AB59" s="178">
        <f t="shared" si="70"/>
        <v>0</v>
      </c>
      <c r="AC59" s="486">
        <v>0</v>
      </c>
      <c r="AD59" s="486">
        <v>0</v>
      </c>
      <c r="AE59" s="486">
        <f t="shared" si="2"/>
        <v>0</v>
      </c>
      <c r="AF59" s="486">
        <f t="shared" si="3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71"/>
        <v>0</v>
      </c>
      <c r="AM59" s="501">
        <f t="shared" si="72"/>
        <v>0</v>
      </c>
      <c r="AN59" s="529">
        <f t="shared" si="5"/>
        <v>0</v>
      </c>
      <c r="AO59" s="530">
        <f t="shared" si="73"/>
        <v>476113</v>
      </c>
      <c r="AP59" s="486">
        <f t="shared" si="74"/>
        <v>343382</v>
      </c>
      <c r="AQ59" s="486">
        <f t="shared" si="75"/>
        <v>0</v>
      </c>
      <c r="AR59" s="486">
        <f t="shared" si="76"/>
        <v>0</v>
      </c>
      <c r="AS59" s="486">
        <f t="shared" si="77"/>
        <v>116063</v>
      </c>
      <c r="AT59" s="486">
        <f t="shared" si="77"/>
        <v>6868</v>
      </c>
      <c r="AU59" s="486">
        <f t="shared" si="78"/>
        <v>9800</v>
      </c>
      <c r="AV59" s="501">
        <f t="shared" si="79"/>
        <v>1.01</v>
      </c>
      <c r="AW59" s="501">
        <f t="shared" si="80"/>
        <v>1.01</v>
      </c>
      <c r="AX59" s="502">
        <f t="shared" si="80"/>
        <v>0</v>
      </c>
    </row>
    <row r="60" spans="1:50" x14ac:dyDescent="0.2">
      <c r="A60" s="710">
        <v>12</v>
      </c>
      <c r="B60" s="711">
        <v>3405</v>
      </c>
      <c r="C60" s="711">
        <v>600078337</v>
      </c>
      <c r="D60" s="711">
        <v>70698325</v>
      </c>
      <c r="E60" s="712" t="s">
        <v>143</v>
      </c>
      <c r="F60" s="711">
        <v>3141</v>
      </c>
      <c r="G60" s="713" t="s">
        <v>321</v>
      </c>
      <c r="H60" s="714" t="s">
        <v>284</v>
      </c>
      <c r="I60" s="495">
        <v>572977</v>
      </c>
      <c r="J60" s="496">
        <v>420091</v>
      </c>
      <c r="K60" s="475">
        <v>0</v>
      </c>
      <c r="L60" s="475">
        <v>0</v>
      </c>
      <c r="M60" s="319">
        <v>141990</v>
      </c>
      <c r="N60" s="319">
        <v>8402</v>
      </c>
      <c r="O60" s="496">
        <v>2494</v>
      </c>
      <c r="P60" s="497">
        <v>1.43</v>
      </c>
      <c r="Q60" s="412">
        <v>0</v>
      </c>
      <c r="R60" s="764">
        <v>1.43</v>
      </c>
      <c r="S60" s="530">
        <f t="shared" si="65"/>
        <v>0</v>
      </c>
      <c r="T60" s="486">
        <v>0</v>
      </c>
      <c r="U60" s="486">
        <v>0</v>
      </c>
      <c r="V60" s="486">
        <f t="shared" si="66"/>
        <v>0</v>
      </c>
      <c r="W60" s="486">
        <v>0</v>
      </c>
      <c r="X60" s="486">
        <v>0</v>
      </c>
      <c r="Y60" s="486">
        <f t="shared" si="67"/>
        <v>0</v>
      </c>
      <c r="Z60" s="486">
        <f t="shared" si="68"/>
        <v>0</v>
      </c>
      <c r="AA60" s="319">
        <f t="shared" si="69"/>
        <v>0</v>
      </c>
      <c r="AB60" s="178">
        <f t="shared" si="70"/>
        <v>0</v>
      </c>
      <c r="AC60" s="486">
        <v>0</v>
      </c>
      <c r="AD60" s="486">
        <v>0</v>
      </c>
      <c r="AE60" s="486">
        <f t="shared" si="2"/>
        <v>0</v>
      </c>
      <c r="AF60" s="486">
        <f t="shared" si="3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71"/>
        <v>0</v>
      </c>
      <c r="AM60" s="501">
        <f t="shared" si="72"/>
        <v>0</v>
      </c>
      <c r="AN60" s="529">
        <f t="shared" si="5"/>
        <v>0</v>
      </c>
      <c r="AO60" s="530">
        <f t="shared" si="73"/>
        <v>572977</v>
      </c>
      <c r="AP60" s="486">
        <f t="shared" si="74"/>
        <v>420091</v>
      </c>
      <c r="AQ60" s="486">
        <f t="shared" si="75"/>
        <v>0</v>
      </c>
      <c r="AR60" s="486">
        <f t="shared" si="76"/>
        <v>0</v>
      </c>
      <c r="AS60" s="486">
        <f t="shared" si="77"/>
        <v>141990</v>
      </c>
      <c r="AT60" s="486">
        <f t="shared" si="77"/>
        <v>8402</v>
      </c>
      <c r="AU60" s="486">
        <f t="shared" si="78"/>
        <v>2494</v>
      </c>
      <c r="AV60" s="501">
        <f t="shared" si="79"/>
        <v>1.43</v>
      </c>
      <c r="AW60" s="501">
        <f t="shared" si="80"/>
        <v>0</v>
      </c>
      <c r="AX60" s="502">
        <f t="shared" si="80"/>
        <v>1.43</v>
      </c>
    </row>
    <row r="61" spans="1:50" x14ac:dyDescent="0.2">
      <c r="A61" s="710">
        <v>12</v>
      </c>
      <c r="B61" s="711">
        <v>3405</v>
      </c>
      <c r="C61" s="711">
        <v>600078337</v>
      </c>
      <c r="D61" s="711">
        <v>70698325</v>
      </c>
      <c r="E61" s="712" t="s">
        <v>143</v>
      </c>
      <c r="F61" s="711">
        <v>3143</v>
      </c>
      <c r="G61" s="713" t="s">
        <v>634</v>
      </c>
      <c r="H61" s="701" t="s">
        <v>283</v>
      </c>
      <c r="I61" s="495">
        <v>258156</v>
      </c>
      <c r="J61" s="496">
        <v>190100</v>
      </c>
      <c r="K61" s="475">
        <v>0</v>
      </c>
      <c r="L61" s="475">
        <v>0</v>
      </c>
      <c r="M61" s="319">
        <v>64254</v>
      </c>
      <c r="N61" s="319">
        <v>3802</v>
      </c>
      <c r="O61" s="496">
        <v>0</v>
      </c>
      <c r="P61" s="497">
        <v>0.43330000000000002</v>
      </c>
      <c r="Q61" s="412">
        <v>0.43330000000000002</v>
      </c>
      <c r="R61" s="764">
        <v>0</v>
      </c>
      <c r="S61" s="530">
        <f t="shared" si="65"/>
        <v>0</v>
      </c>
      <c r="T61" s="486">
        <v>0</v>
      </c>
      <c r="U61" s="486">
        <v>0</v>
      </c>
      <c r="V61" s="486">
        <f t="shared" si="66"/>
        <v>0</v>
      </c>
      <c r="W61" s="486">
        <v>0</v>
      </c>
      <c r="X61" s="486">
        <v>0</v>
      </c>
      <c r="Y61" s="486">
        <f t="shared" si="67"/>
        <v>0</v>
      </c>
      <c r="Z61" s="486">
        <f t="shared" si="68"/>
        <v>0</v>
      </c>
      <c r="AA61" s="319">
        <f t="shared" si="69"/>
        <v>0</v>
      </c>
      <c r="AB61" s="178">
        <f t="shared" si="70"/>
        <v>0</v>
      </c>
      <c r="AC61" s="486">
        <v>0</v>
      </c>
      <c r="AD61" s="486">
        <v>0</v>
      </c>
      <c r="AE61" s="486">
        <f t="shared" si="2"/>
        <v>0</v>
      </c>
      <c r="AF61" s="486">
        <f t="shared" si="3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71"/>
        <v>0</v>
      </c>
      <c r="AM61" s="501">
        <f t="shared" si="72"/>
        <v>0</v>
      </c>
      <c r="AN61" s="529">
        <f t="shared" si="5"/>
        <v>0</v>
      </c>
      <c r="AO61" s="530">
        <f t="shared" si="73"/>
        <v>258156</v>
      </c>
      <c r="AP61" s="486">
        <f t="shared" si="74"/>
        <v>190100</v>
      </c>
      <c r="AQ61" s="486">
        <f t="shared" si="75"/>
        <v>0</v>
      </c>
      <c r="AR61" s="486">
        <f t="shared" si="76"/>
        <v>0</v>
      </c>
      <c r="AS61" s="486">
        <f t="shared" si="77"/>
        <v>64254</v>
      </c>
      <c r="AT61" s="486">
        <f t="shared" si="77"/>
        <v>3802</v>
      </c>
      <c r="AU61" s="486">
        <f t="shared" si="78"/>
        <v>0</v>
      </c>
      <c r="AV61" s="501">
        <f t="shared" si="79"/>
        <v>0.43330000000000002</v>
      </c>
      <c r="AW61" s="501">
        <f t="shared" si="80"/>
        <v>0.43330000000000002</v>
      </c>
      <c r="AX61" s="502">
        <f t="shared" si="80"/>
        <v>0</v>
      </c>
    </row>
    <row r="62" spans="1:50" x14ac:dyDescent="0.2">
      <c r="A62" s="710">
        <v>12</v>
      </c>
      <c r="B62" s="711">
        <v>3405</v>
      </c>
      <c r="C62" s="711">
        <v>600078337</v>
      </c>
      <c r="D62" s="711">
        <v>70698325</v>
      </c>
      <c r="E62" s="712" t="s">
        <v>143</v>
      </c>
      <c r="F62" s="711">
        <v>3143</v>
      </c>
      <c r="G62" s="713" t="s">
        <v>635</v>
      </c>
      <c r="H62" s="701" t="s">
        <v>284</v>
      </c>
      <c r="I62" s="495">
        <v>10534</v>
      </c>
      <c r="J62" s="496">
        <v>7425</v>
      </c>
      <c r="K62" s="475">
        <v>0</v>
      </c>
      <c r="L62" s="475">
        <v>0</v>
      </c>
      <c r="M62" s="319">
        <v>2510</v>
      </c>
      <c r="N62" s="319">
        <v>149</v>
      </c>
      <c r="O62" s="496">
        <v>450</v>
      </c>
      <c r="P62" s="497">
        <v>0.03</v>
      </c>
      <c r="Q62" s="412">
        <v>0</v>
      </c>
      <c r="R62" s="764">
        <v>0.03</v>
      </c>
      <c r="S62" s="530">
        <f t="shared" si="65"/>
        <v>0</v>
      </c>
      <c r="T62" s="486">
        <v>0</v>
      </c>
      <c r="U62" s="486">
        <v>0</v>
      </c>
      <c r="V62" s="486">
        <f t="shared" si="66"/>
        <v>0</v>
      </c>
      <c r="W62" s="486">
        <v>0</v>
      </c>
      <c r="X62" s="486">
        <v>0</v>
      </c>
      <c r="Y62" s="486">
        <f t="shared" si="67"/>
        <v>0</v>
      </c>
      <c r="Z62" s="486">
        <f t="shared" si="68"/>
        <v>0</v>
      </c>
      <c r="AA62" s="319">
        <f t="shared" si="69"/>
        <v>0</v>
      </c>
      <c r="AB62" s="178">
        <f t="shared" si="70"/>
        <v>0</v>
      </c>
      <c r="AC62" s="486">
        <v>0</v>
      </c>
      <c r="AD62" s="486">
        <v>0</v>
      </c>
      <c r="AE62" s="486">
        <f t="shared" si="2"/>
        <v>0</v>
      </c>
      <c r="AF62" s="486">
        <f t="shared" si="3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71"/>
        <v>0</v>
      </c>
      <c r="AM62" s="501">
        <f t="shared" si="72"/>
        <v>0</v>
      </c>
      <c r="AN62" s="529">
        <f t="shared" si="5"/>
        <v>0</v>
      </c>
      <c r="AO62" s="530">
        <f t="shared" si="73"/>
        <v>10534</v>
      </c>
      <c r="AP62" s="486">
        <f t="shared" si="74"/>
        <v>7425</v>
      </c>
      <c r="AQ62" s="486">
        <f t="shared" si="75"/>
        <v>0</v>
      </c>
      <c r="AR62" s="486">
        <f t="shared" si="76"/>
        <v>0</v>
      </c>
      <c r="AS62" s="486">
        <f t="shared" si="77"/>
        <v>2510</v>
      </c>
      <c r="AT62" s="486">
        <f t="shared" si="77"/>
        <v>149</v>
      </c>
      <c r="AU62" s="486">
        <f t="shared" si="78"/>
        <v>450</v>
      </c>
      <c r="AV62" s="501">
        <f t="shared" si="79"/>
        <v>0.03</v>
      </c>
      <c r="AW62" s="501">
        <f t="shared" si="80"/>
        <v>0</v>
      </c>
      <c r="AX62" s="502">
        <f t="shared" si="80"/>
        <v>0.03</v>
      </c>
    </row>
    <row r="63" spans="1:50" x14ac:dyDescent="0.2">
      <c r="A63" s="282">
        <v>12</v>
      </c>
      <c r="B63" s="27">
        <v>3405</v>
      </c>
      <c r="C63" s="27">
        <v>600078337</v>
      </c>
      <c r="D63" s="27">
        <v>70698325</v>
      </c>
      <c r="E63" s="292" t="s">
        <v>144</v>
      </c>
      <c r="F63" s="27"/>
      <c r="G63" s="281"/>
      <c r="H63" s="377"/>
      <c r="I63" s="5">
        <v>4675972</v>
      </c>
      <c r="J63" s="8">
        <v>3382886</v>
      </c>
      <c r="K63" s="8">
        <v>2368</v>
      </c>
      <c r="L63" s="8">
        <v>2368</v>
      </c>
      <c r="M63" s="8">
        <v>1143415</v>
      </c>
      <c r="N63" s="8">
        <v>67659</v>
      </c>
      <c r="O63" s="8">
        <v>79644</v>
      </c>
      <c r="P63" s="9">
        <v>7.8465999999999996</v>
      </c>
      <c r="Q63" s="9">
        <v>4.9615999999999998</v>
      </c>
      <c r="R63" s="33">
        <v>2.8849999999999993</v>
      </c>
      <c r="S63" s="5">
        <f t="shared" ref="S63:AX63" si="81">SUM(S57:S62)</f>
        <v>0</v>
      </c>
      <c r="T63" s="8">
        <f t="shared" si="81"/>
        <v>0</v>
      </c>
      <c r="U63" s="8">
        <f t="shared" si="81"/>
        <v>0</v>
      </c>
      <c r="V63" s="8">
        <f t="shared" si="81"/>
        <v>0</v>
      </c>
      <c r="W63" s="8">
        <f t="shared" si="81"/>
        <v>0</v>
      </c>
      <c r="X63" s="8">
        <f t="shared" si="81"/>
        <v>0</v>
      </c>
      <c r="Y63" s="8">
        <f t="shared" si="81"/>
        <v>0</v>
      </c>
      <c r="Z63" s="8">
        <f t="shared" si="81"/>
        <v>0</v>
      </c>
      <c r="AA63" s="8">
        <f t="shared" si="81"/>
        <v>0</v>
      </c>
      <c r="AB63" s="8">
        <f t="shared" si="81"/>
        <v>0</v>
      </c>
      <c r="AC63" s="8">
        <f t="shared" si="81"/>
        <v>0</v>
      </c>
      <c r="AD63" s="8">
        <f t="shared" si="81"/>
        <v>0</v>
      </c>
      <c r="AE63" s="8">
        <f t="shared" si="81"/>
        <v>0</v>
      </c>
      <c r="AF63" s="8">
        <f t="shared" si="81"/>
        <v>0</v>
      </c>
      <c r="AG63" s="9">
        <f t="shared" si="81"/>
        <v>0</v>
      </c>
      <c r="AH63" s="9">
        <f t="shared" si="81"/>
        <v>0</v>
      </c>
      <c r="AI63" s="9">
        <f t="shared" si="81"/>
        <v>0</v>
      </c>
      <c r="AJ63" s="9">
        <f t="shared" si="81"/>
        <v>0</v>
      </c>
      <c r="AK63" s="9">
        <f t="shared" si="81"/>
        <v>0</v>
      </c>
      <c r="AL63" s="9">
        <f t="shared" si="81"/>
        <v>0</v>
      </c>
      <c r="AM63" s="9">
        <f t="shared" si="81"/>
        <v>0</v>
      </c>
      <c r="AN63" s="33">
        <f t="shared" si="81"/>
        <v>0</v>
      </c>
      <c r="AO63" s="5">
        <f t="shared" si="81"/>
        <v>4675972</v>
      </c>
      <c r="AP63" s="8">
        <f t="shared" si="81"/>
        <v>3382886</v>
      </c>
      <c r="AQ63" s="38">
        <f t="shared" si="81"/>
        <v>2368</v>
      </c>
      <c r="AR63" s="38">
        <f t="shared" si="81"/>
        <v>2368</v>
      </c>
      <c r="AS63" s="8">
        <f t="shared" si="81"/>
        <v>1143415</v>
      </c>
      <c r="AT63" s="8">
        <f t="shared" si="81"/>
        <v>67659</v>
      </c>
      <c r="AU63" s="8">
        <f t="shared" si="81"/>
        <v>79644</v>
      </c>
      <c r="AV63" s="9">
        <f t="shared" si="81"/>
        <v>7.8465999999999996</v>
      </c>
      <c r="AW63" s="9">
        <f t="shared" si="81"/>
        <v>4.9615999999999998</v>
      </c>
      <c r="AX63" s="74">
        <f t="shared" si="81"/>
        <v>2.8849999999999993</v>
      </c>
    </row>
    <row r="64" spans="1:50" x14ac:dyDescent="0.2">
      <c r="A64" s="710">
        <v>13</v>
      </c>
      <c r="B64" s="711">
        <v>3444</v>
      </c>
      <c r="C64" s="711">
        <v>600078086</v>
      </c>
      <c r="D64" s="711">
        <v>16389573</v>
      </c>
      <c r="E64" s="712" t="s">
        <v>145</v>
      </c>
      <c r="F64" s="711">
        <v>3111</v>
      </c>
      <c r="G64" s="713" t="s">
        <v>317</v>
      </c>
      <c r="H64" s="714" t="s">
        <v>283</v>
      </c>
      <c r="I64" s="495">
        <v>3343824</v>
      </c>
      <c r="J64" s="496">
        <v>2425143</v>
      </c>
      <c r="K64" s="496">
        <v>10000</v>
      </c>
      <c r="L64" s="496">
        <v>0</v>
      </c>
      <c r="M64" s="496">
        <v>823078</v>
      </c>
      <c r="N64" s="496">
        <v>48503</v>
      </c>
      <c r="O64" s="496">
        <v>37100</v>
      </c>
      <c r="P64" s="497">
        <v>5.4897999999999998</v>
      </c>
      <c r="Q64" s="412">
        <v>4</v>
      </c>
      <c r="R64" s="764">
        <v>1.4897999999999998</v>
      </c>
      <c r="S64" s="530">
        <f t="shared" ref="S64:S65" si="82">W64*-1</f>
        <v>0</v>
      </c>
      <c r="T64" s="486">
        <v>0</v>
      </c>
      <c r="U64" s="486">
        <v>-3682</v>
      </c>
      <c r="V64" s="486">
        <f>SUM(S64:U64)</f>
        <v>-3682</v>
      </c>
      <c r="W64" s="486">
        <v>0</v>
      </c>
      <c r="X64" s="486">
        <v>0</v>
      </c>
      <c r="Y64" s="486">
        <f>SUM(W64:X64)</f>
        <v>0</v>
      </c>
      <c r="Z64" s="486">
        <f>V64+Y64</f>
        <v>-3682</v>
      </c>
      <c r="AA64" s="319">
        <f>ROUND((V64+W64)*33.8%,0)</f>
        <v>-1245</v>
      </c>
      <c r="AB64" s="178">
        <f>ROUND(V64*2%,0)</f>
        <v>-74</v>
      </c>
      <c r="AC64" s="486">
        <v>0</v>
      </c>
      <c r="AD64" s="486">
        <v>5001</v>
      </c>
      <c r="AE64" s="486">
        <f t="shared" si="2"/>
        <v>5001</v>
      </c>
      <c r="AF64" s="486">
        <f t="shared" si="3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ref="AL64:AL65" si="83">AG64+AI64+AJ64</f>
        <v>0</v>
      </c>
      <c r="AM64" s="501">
        <f t="shared" ref="AM64:AM65" si="84">AH64+AK64</f>
        <v>0</v>
      </c>
      <c r="AN64" s="529">
        <f t="shared" si="5"/>
        <v>0</v>
      </c>
      <c r="AO64" s="530">
        <f>I64+AF64</f>
        <v>3343824</v>
      </c>
      <c r="AP64" s="486">
        <f>J64+V64</f>
        <v>2421461</v>
      </c>
      <c r="AQ64" s="486">
        <f>K64+Y64</f>
        <v>10000</v>
      </c>
      <c r="AR64" s="486">
        <f>L64</f>
        <v>0</v>
      </c>
      <c r="AS64" s="486">
        <f>M64+AA64</f>
        <v>821833</v>
      </c>
      <c r="AT64" s="486">
        <f>N64+AB64</f>
        <v>48429</v>
      </c>
      <c r="AU64" s="486">
        <f>O64+AE64</f>
        <v>42101</v>
      </c>
      <c r="AV64" s="501">
        <f>P64+AN64</f>
        <v>5.4897999999999998</v>
      </c>
      <c r="AW64" s="501">
        <f>Q64+AL64</f>
        <v>4</v>
      </c>
      <c r="AX64" s="502">
        <f>R64+AM64</f>
        <v>1.4897999999999998</v>
      </c>
    </row>
    <row r="65" spans="1:50" x14ac:dyDescent="0.2">
      <c r="A65" s="710">
        <v>13</v>
      </c>
      <c r="B65" s="711">
        <v>3444</v>
      </c>
      <c r="C65" s="711">
        <v>600078086</v>
      </c>
      <c r="D65" s="711">
        <v>16389573</v>
      </c>
      <c r="E65" s="712" t="s">
        <v>145</v>
      </c>
      <c r="F65" s="711">
        <v>3141</v>
      </c>
      <c r="G65" s="713" t="s">
        <v>321</v>
      </c>
      <c r="H65" s="714" t="s">
        <v>284</v>
      </c>
      <c r="I65" s="495">
        <v>662594</v>
      </c>
      <c r="J65" s="496">
        <v>475803</v>
      </c>
      <c r="K65" s="475">
        <v>10000</v>
      </c>
      <c r="L65" s="475">
        <v>0</v>
      </c>
      <c r="M65" s="319">
        <v>164201</v>
      </c>
      <c r="N65" s="319">
        <v>9516</v>
      </c>
      <c r="O65" s="496">
        <v>3074</v>
      </c>
      <c r="P65" s="497">
        <v>1.65</v>
      </c>
      <c r="Q65" s="412">
        <v>0</v>
      </c>
      <c r="R65" s="764">
        <v>1.65</v>
      </c>
      <c r="S65" s="530">
        <f t="shared" si="82"/>
        <v>0</v>
      </c>
      <c r="T65" s="486">
        <v>0</v>
      </c>
      <c r="U65" s="486">
        <v>0</v>
      </c>
      <c r="V65" s="486">
        <f>SUM(S65:U65)</f>
        <v>0</v>
      </c>
      <c r="W65" s="486">
        <v>0</v>
      </c>
      <c r="X65" s="486">
        <v>0</v>
      </c>
      <c r="Y65" s="486">
        <f>SUM(W65:X65)</f>
        <v>0</v>
      </c>
      <c r="Z65" s="486">
        <f>V65+Y65</f>
        <v>0</v>
      </c>
      <c r="AA65" s="319">
        <f>ROUND((V65+W65)*33.8%,0)</f>
        <v>0</v>
      </c>
      <c r="AB65" s="178">
        <f>ROUND(V65*2%,0)</f>
        <v>0</v>
      </c>
      <c r="AC65" s="486">
        <v>0</v>
      </c>
      <c r="AD65" s="486">
        <v>0</v>
      </c>
      <c r="AE65" s="486">
        <f t="shared" si="2"/>
        <v>0</v>
      </c>
      <c r="AF65" s="486">
        <f t="shared" si="3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si="83"/>
        <v>0</v>
      </c>
      <c r="AM65" s="501">
        <f t="shared" si="84"/>
        <v>0</v>
      </c>
      <c r="AN65" s="529">
        <f t="shared" si="5"/>
        <v>0</v>
      </c>
      <c r="AO65" s="530">
        <f>I65+AF65</f>
        <v>662594</v>
      </c>
      <c r="AP65" s="486">
        <f>J65+V65</f>
        <v>475803</v>
      </c>
      <c r="AQ65" s="486">
        <f>K65+Y65</f>
        <v>10000</v>
      </c>
      <c r="AR65" s="486">
        <f>L65</f>
        <v>0</v>
      </c>
      <c r="AS65" s="486">
        <f>M65+AA65</f>
        <v>164201</v>
      </c>
      <c r="AT65" s="486">
        <f>N65+AB65</f>
        <v>9516</v>
      </c>
      <c r="AU65" s="486">
        <f>O65+AE65</f>
        <v>3074</v>
      </c>
      <c r="AV65" s="501">
        <f>P65+AN65</f>
        <v>1.65</v>
      </c>
      <c r="AW65" s="501">
        <f>Q65+AL65</f>
        <v>0</v>
      </c>
      <c r="AX65" s="502">
        <f>R65+AM65</f>
        <v>1.65</v>
      </c>
    </row>
    <row r="66" spans="1:50" x14ac:dyDescent="0.2">
      <c r="A66" s="282">
        <v>13</v>
      </c>
      <c r="B66" s="27">
        <v>3444</v>
      </c>
      <c r="C66" s="27">
        <v>600078086</v>
      </c>
      <c r="D66" s="27">
        <v>16389573</v>
      </c>
      <c r="E66" s="292" t="s">
        <v>146</v>
      </c>
      <c r="F66" s="27"/>
      <c r="G66" s="281"/>
      <c r="H66" s="377"/>
      <c r="I66" s="5">
        <v>4006418</v>
      </c>
      <c r="J66" s="8">
        <v>2900946</v>
      </c>
      <c r="K66" s="8">
        <v>20000</v>
      </c>
      <c r="L66" s="8">
        <v>0</v>
      </c>
      <c r="M66" s="8">
        <v>987279</v>
      </c>
      <c r="N66" s="8">
        <v>58019</v>
      </c>
      <c r="O66" s="8">
        <v>40174</v>
      </c>
      <c r="P66" s="9">
        <v>7.1397999999999993</v>
      </c>
      <c r="Q66" s="9">
        <v>4</v>
      </c>
      <c r="R66" s="33">
        <v>3.1397999999999997</v>
      </c>
      <c r="S66" s="5">
        <f t="shared" ref="S66:AX66" si="85">SUM(S64:S65)</f>
        <v>0</v>
      </c>
      <c r="T66" s="8">
        <f t="shared" si="85"/>
        <v>0</v>
      </c>
      <c r="U66" s="8">
        <f t="shared" si="85"/>
        <v>-3682</v>
      </c>
      <c r="V66" s="8">
        <f t="shared" si="85"/>
        <v>-3682</v>
      </c>
      <c r="W66" s="8">
        <f t="shared" si="85"/>
        <v>0</v>
      </c>
      <c r="X66" s="8">
        <f t="shared" si="85"/>
        <v>0</v>
      </c>
      <c r="Y66" s="8">
        <f t="shared" si="85"/>
        <v>0</v>
      </c>
      <c r="Z66" s="8">
        <f t="shared" si="85"/>
        <v>-3682</v>
      </c>
      <c r="AA66" s="8">
        <f t="shared" si="85"/>
        <v>-1245</v>
      </c>
      <c r="AB66" s="8">
        <f t="shared" si="85"/>
        <v>-74</v>
      </c>
      <c r="AC66" s="8">
        <f t="shared" si="85"/>
        <v>0</v>
      </c>
      <c r="AD66" s="8">
        <f t="shared" si="85"/>
        <v>5001</v>
      </c>
      <c r="AE66" s="8">
        <f t="shared" si="85"/>
        <v>5001</v>
      </c>
      <c r="AF66" s="8">
        <f t="shared" si="85"/>
        <v>0</v>
      </c>
      <c r="AG66" s="9">
        <f t="shared" si="85"/>
        <v>0</v>
      </c>
      <c r="AH66" s="9">
        <f t="shared" si="85"/>
        <v>0</v>
      </c>
      <c r="AI66" s="9">
        <f t="shared" si="85"/>
        <v>0</v>
      </c>
      <c r="AJ66" s="9">
        <f t="shared" si="85"/>
        <v>0</v>
      </c>
      <c r="AK66" s="9">
        <f t="shared" si="85"/>
        <v>0</v>
      </c>
      <c r="AL66" s="9">
        <f t="shared" si="85"/>
        <v>0</v>
      </c>
      <c r="AM66" s="9">
        <f t="shared" si="85"/>
        <v>0</v>
      </c>
      <c r="AN66" s="33">
        <f t="shared" si="85"/>
        <v>0</v>
      </c>
      <c r="AO66" s="5">
        <f t="shared" si="85"/>
        <v>4006418</v>
      </c>
      <c r="AP66" s="8">
        <f t="shared" si="85"/>
        <v>2897264</v>
      </c>
      <c r="AQ66" s="38">
        <f t="shared" si="85"/>
        <v>20000</v>
      </c>
      <c r="AR66" s="38">
        <f t="shared" si="85"/>
        <v>0</v>
      </c>
      <c r="AS66" s="8">
        <f t="shared" si="85"/>
        <v>986034</v>
      </c>
      <c r="AT66" s="8">
        <f t="shared" si="85"/>
        <v>57945</v>
      </c>
      <c r="AU66" s="8">
        <f t="shared" si="85"/>
        <v>45175</v>
      </c>
      <c r="AV66" s="9">
        <f t="shared" si="85"/>
        <v>7.1397999999999993</v>
      </c>
      <c r="AW66" s="9">
        <f t="shared" si="85"/>
        <v>4</v>
      </c>
      <c r="AX66" s="74">
        <f t="shared" si="85"/>
        <v>3.1397999999999997</v>
      </c>
    </row>
    <row r="67" spans="1:50" x14ac:dyDescent="0.2">
      <c r="A67" s="710">
        <v>14</v>
      </c>
      <c r="B67" s="711">
        <v>3443</v>
      </c>
      <c r="C67" s="711">
        <v>600078582</v>
      </c>
      <c r="D67" s="711">
        <v>16389581</v>
      </c>
      <c r="E67" s="712" t="s">
        <v>147</v>
      </c>
      <c r="F67" s="711">
        <v>3113</v>
      </c>
      <c r="G67" s="713" t="s">
        <v>320</v>
      </c>
      <c r="H67" s="714" t="s">
        <v>283</v>
      </c>
      <c r="I67" s="495">
        <v>12225637</v>
      </c>
      <c r="J67" s="496">
        <v>8622481</v>
      </c>
      <c r="K67" s="496">
        <v>115306</v>
      </c>
      <c r="L67" s="496">
        <v>72106</v>
      </c>
      <c r="M67" s="496">
        <v>2929001</v>
      </c>
      <c r="N67" s="496">
        <v>172449</v>
      </c>
      <c r="O67" s="496">
        <v>386400</v>
      </c>
      <c r="P67" s="497">
        <v>16.6981</v>
      </c>
      <c r="Q67" s="412">
        <v>12.3636</v>
      </c>
      <c r="R67" s="764">
        <v>4.3344999999999994</v>
      </c>
      <c r="S67" s="530">
        <f t="shared" ref="S67:S71" si="86">W67*-1</f>
        <v>0</v>
      </c>
      <c r="T67" s="486">
        <v>0</v>
      </c>
      <c r="U67" s="486">
        <v>0</v>
      </c>
      <c r="V67" s="486">
        <f>SUM(S67:U67)</f>
        <v>0</v>
      </c>
      <c r="W67" s="486">
        <v>0</v>
      </c>
      <c r="X67" s="486">
        <v>0</v>
      </c>
      <c r="Y67" s="486">
        <f>SUM(W67:X67)</f>
        <v>0</v>
      </c>
      <c r="Z67" s="486">
        <f>V67+Y67</f>
        <v>0</v>
      </c>
      <c r="AA67" s="319">
        <f>ROUND((V67+W67)*33.8%,0)</f>
        <v>0</v>
      </c>
      <c r="AB67" s="178">
        <f>ROUND(V67*2%,0)</f>
        <v>0</v>
      </c>
      <c r="AC67" s="486">
        <v>0</v>
      </c>
      <c r="AD67" s="486">
        <v>0</v>
      </c>
      <c r="AE67" s="486">
        <f t="shared" si="2"/>
        <v>0</v>
      </c>
      <c r="AF67" s="486">
        <f t="shared" si="3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ref="AL67:AL71" si="87">AG67+AI67+AJ67</f>
        <v>0</v>
      </c>
      <c r="AM67" s="501">
        <f t="shared" ref="AM67:AM71" si="88">AH67+AK67</f>
        <v>0</v>
      </c>
      <c r="AN67" s="529">
        <f t="shared" si="5"/>
        <v>0</v>
      </c>
      <c r="AO67" s="530">
        <f>I67+AF67</f>
        <v>12225637</v>
      </c>
      <c r="AP67" s="486">
        <f>J67+V67</f>
        <v>8622481</v>
      </c>
      <c r="AQ67" s="486">
        <f>K67+Y67</f>
        <v>115306</v>
      </c>
      <c r="AR67" s="486">
        <f>L67</f>
        <v>72106</v>
      </c>
      <c r="AS67" s="486">
        <f t="shared" ref="AS67:AT71" si="89">M67+AA67</f>
        <v>2929001</v>
      </c>
      <c r="AT67" s="486">
        <f t="shared" si="89"/>
        <v>172449</v>
      </c>
      <c r="AU67" s="486">
        <f>O67+AE67</f>
        <v>386400</v>
      </c>
      <c r="AV67" s="501">
        <f>P67+AN67</f>
        <v>16.6981</v>
      </c>
      <c r="AW67" s="501">
        <f t="shared" ref="AW67:AX71" si="90">Q67+AL67</f>
        <v>12.3636</v>
      </c>
      <c r="AX67" s="502">
        <f t="shared" si="90"/>
        <v>4.3344999999999994</v>
      </c>
    </row>
    <row r="68" spans="1:50" x14ac:dyDescent="0.2">
      <c r="A68" s="710">
        <v>14</v>
      </c>
      <c r="B68" s="711">
        <v>3443</v>
      </c>
      <c r="C68" s="711">
        <v>600078582</v>
      </c>
      <c r="D68" s="711">
        <v>16389581</v>
      </c>
      <c r="E68" s="712" t="s">
        <v>147</v>
      </c>
      <c r="F68" s="711">
        <v>3113</v>
      </c>
      <c r="G68" s="713" t="s">
        <v>318</v>
      </c>
      <c r="H68" s="714" t="s">
        <v>284</v>
      </c>
      <c r="I68" s="495">
        <v>995269</v>
      </c>
      <c r="J68" s="496">
        <v>707120</v>
      </c>
      <c r="K68" s="475">
        <v>0</v>
      </c>
      <c r="L68" s="475">
        <v>0</v>
      </c>
      <c r="M68" s="319">
        <v>239006</v>
      </c>
      <c r="N68" s="319">
        <v>14143</v>
      </c>
      <c r="O68" s="496">
        <v>35000</v>
      </c>
      <c r="P68" s="497">
        <v>2.0500000000000003</v>
      </c>
      <c r="Q68" s="412">
        <v>2.0500000000000003</v>
      </c>
      <c r="R68" s="764">
        <v>0</v>
      </c>
      <c r="S68" s="530">
        <f t="shared" si="86"/>
        <v>0</v>
      </c>
      <c r="T68" s="486">
        <v>-56601</v>
      </c>
      <c r="U68" s="486">
        <v>0</v>
      </c>
      <c r="V68" s="486">
        <f>SUM(S68:U68)</f>
        <v>-56601</v>
      </c>
      <c r="W68" s="486">
        <v>0</v>
      </c>
      <c r="X68" s="486">
        <v>0</v>
      </c>
      <c r="Y68" s="486">
        <f>SUM(W68:X68)</f>
        <v>0</v>
      </c>
      <c r="Z68" s="486">
        <f>V68+Y68</f>
        <v>-56601</v>
      </c>
      <c r="AA68" s="319">
        <f>ROUND((V68+W68)*33.8%,0)</f>
        <v>-19131</v>
      </c>
      <c r="AB68" s="178">
        <f>ROUND(V68*2%,0)</f>
        <v>-1132</v>
      </c>
      <c r="AC68" s="486">
        <v>0</v>
      </c>
      <c r="AD68" s="486">
        <v>0</v>
      </c>
      <c r="AE68" s="486">
        <f t="shared" si="2"/>
        <v>0</v>
      </c>
      <c r="AF68" s="486">
        <f t="shared" si="3"/>
        <v>-76864</v>
      </c>
      <c r="AG68" s="501">
        <v>0</v>
      </c>
      <c r="AH68" s="501">
        <v>0</v>
      </c>
      <c r="AI68" s="501">
        <v>-0.17</v>
      </c>
      <c r="AJ68" s="501">
        <v>0</v>
      </c>
      <c r="AK68" s="501">
        <v>0</v>
      </c>
      <c r="AL68" s="501">
        <f t="shared" si="87"/>
        <v>-0.17</v>
      </c>
      <c r="AM68" s="501">
        <f t="shared" si="88"/>
        <v>0</v>
      </c>
      <c r="AN68" s="529">
        <f t="shared" si="5"/>
        <v>-0.17</v>
      </c>
      <c r="AO68" s="530">
        <f>I68+AF68</f>
        <v>918405</v>
      </c>
      <c r="AP68" s="486">
        <f>J68+V68</f>
        <v>650519</v>
      </c>
      <c r="AQ68" s="486">
        <f>K68+Y68</f>
        <v>0</v>
      </c>
      <c r="AR68" s="486">
        <f>L68</f>
        <v>0</v>
      </c>
      <c r="AS68" s="486">
        <f t="shared" si="89"/>
        <v>219875</v>
      </c>
      <c r="AT68" s="486">
        <f t="shared" si="89"/>
        <v>13011</v>
      </c>
      <c r="AU68" s="486">
        <f>O68+AE68</f>
        <v>35000</v>
      </c>
      <c r="AV68" s="501">
        <f>P68+AN68</f>
        <v>1.8800000000000003</v>
      </c>
      <c r="AW68" s="501">
        <f t="shared" si="90"/>
        <v>1.8800000000000003</v>
      </c>
      <c r="AX68" s="502">
        <f t="shared" si="90"/>
        <v>0</v>
      </c>
    </row>
    <row r="69" spans="1:50" x14ac:dyDescent="0.2">
      <c r="A69" s="710">
        <v>14</v>
      </c>
      <c r="B69" s="711">
        <v>3443</v>
      </c>
      <c r="C69" s="711">
        <v>600078582</v>
      </c>
      <c r="D69" s="711">
        <v>16389581</v>
      </c>
      <c r="E69" s="712" t="s">
        <v>147</v>
      </c>
      <c r="F69" s="711">
        <v>3141</v>
      </c>
      <c r="G69" s="713" t="s">
        <v>321</v>
      </c>
      <c r="H69" s="714" t="s">
        <v>284</v>
      </c>
      <c r="I69" s="495">
        <v>1117372</v>
      </c>
      <c r="J69" s="496">
        <v>810489</v>
      </c>
      <c r="K69" s="475">
        <v>6000</v>
      </c>
      <c r="L69" s="475">
        <v>0</v>
      </c>
      <c r="M69" s="319">
        <v>275973</v>
      </c>
      <c r="N69" s="319">
        <v>16210</v>
      </c>
      <c r="O69" s="496">
        <v>8700</v>
      </c>
      <c r="P69" s="497">
        <v>2.77</v>
      </c>
      <c r="Q69" s="412">
        <v>0</v>
      </c>
      <c r="R69" s="764">
        <v>2.77</v>
      </c>
      <c r="S69" s="530">
        <f t="shared" si="86"/>
        <v>0</v>
      </c>
      <c r="T69" s="486">
        <v>0</v>
      </c>
      <c r="U69" s="486">
        <v>0</v>
      </c>
      <c r="V69" s="486">
        <f>SUM(S69:U69)</f>
        <v>0</v>
      </c>
      <c r="W69" s="486">
        <v>0</v>
      </c>
      <c r="X69" s="486">
        <v>0</v>
      </c>
      <c r="Y69" s="486">
        <f>SUM(W69:X69)</f>
        <v>0</v>
      </c>
      <c r="Z69" s="486">
        <f>V69+Y69</f>
        <v>0</v>
      </c>
      <c r="AA69" s="319">
        <f>ROUND((V69+W69)*33.8%,0)</f>
        <v>0</v>
      </c>
      <c r="AB69" s="178">
        <f>ROUND(V69*2%,0)</f>
        <v>0</v>
      </c>
      <c r="AC69" s="486">
        <v>0</v>
      </c>
      <c r="AD69" s="486">
        <v>0</v>
      </c>
      <c r="AE69" s="486">
        <f t="shared" si="2"/>
        <v>0</v>
      </c>
      <c r="AF69" s="486">
        <f t="shared" si="3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si="87"/>
        <v>0</v>
      </c>
      <c r="AM69" s="501">
        <f t="shared" si="88"/>
        <v>0</v>
      </c>
      <c r="AN69" s="529">
        <f t="shared" si="5"/>
        <v>0</v>
      </c>
      <c r="AO69" s="530">
        <f>I69+AF69</f>
        <v>1117372</v>
      </c>
      <c r="AP69" s="486">
        <f>J69+V69</f>
        <v>810489</v>
      </c>
      <c r="AQ69" s="486">
        <f>K69+Y69</f>
        <v>6000</v>
      </c>
      <c r="AR69" s="486">
        <f>L69</f>
        <v>0</v>
      </c>
      <c r="AS69" s="486">
        <f t="shared" si="89"/>
        <v>275973</v>
      </c>
      <c r="AT69" s="486">
        <f t="shared" si="89"/>
        <v>16210</v>
      </c>
      <c r="AU69" s="486">
        <f>O69+AE69</f>
        <v>8700</v>
      </c>
      <c r="AV69" s="501">
        <f>P69+AN69</f>
        <v>2.77</v>
      </c>
      <c r="AW69" s="501">
        <f t="shared" si="90"/>
        <v>0</v>
      </c>
      <c r="AX69" s="502">
        <f t="shared" si="90"/>
        <v>2.77</v>
      </c>
    </row>
    <row r="70" spans="1:50" x14ac:dyDescent="0.2">
      <c r="A70" s="710">
        <v>14</v>
      </c>
      <c r="B70" s="711">
        <v>3443</v>
      </c>
      <c r="C70" s="711">
        <v>600078582</v>
      </c>
      <c r="D70" s="711">
        <v>16389581</v>
      </c>
      <c r="E70" s="712" t="s">
        <v>147</v>
      </c>
      <c r="F70" s="711">
        <v>3143</v>
      </c>
      <c r="G70" s="713" t="s">
        <v>634</v>
      </c>
      <c r="H70" s="701" t="s">
        <v>283</v>
      </c>
      <c r="I70" s="495">
        <v>922430</v>
      </c>
      <c r="J70" s="496">
        <v>667433</v>
      </c>
      <c r="K70" s="475">
        <v>12000</v>
      </c>
      <c r="L70" s="475">
        <v>0</v>
      </c>
      <c r="M70" s="319">
        <v>229648</v>
      </c>
      <c r="N70" s="319">
        <v>13349</v>
      </c>
      <c r="O70" s="496">
        <v>0</v>
      </c>
      <c r="P70" s="497">
        <v>1.5</v>
      </c>
      <c r="Q70" s="412">
        <v>1.5</v>
      </c>
      <c r="R70" s="764">
        <v>0</v>
      </c>
      <c r="S70" s="530">
        <f t="shared" si="86"/>
        <v>0</v>
      </c>
      <c r="T70" s="486">
        <v>0</v>
      </c>
      <c r="U70" s="486">
        <v>0</v>
      </c>
      <c r="V70" s="486">
        <f>SUM(S70:U70)</f>
        <v>0</v>
      </c>
      <c r="W70" s="486">
        <v>0</v>
      </c>
      <c r="X70" s="486">
        <v>0</v>
      </c>
      <c r="Y70" s="486">
        <f>SUM(W70:X70)</f>
        <v>0</v>
      </c>
      <c r="Z70" s="486">
        <f>V70+Y70</f>
        <v>0</v>
      </c>
      <c r="AA70" s="319">
        <f>ROUND((V70+W70)*33.8%,0)</f>
        <v>0</v>
      </c>
      <c r="AB70" s="178">
        <f>ROUND(V70*2%,0)</f>
        <v>0</v>
      </c>
      <c r="AC70" s="486">
        <v>0</v>
      </c>
      <c r="AD70" s="486">
        <v>0</v>
      </c>
      <c r="AE70" s="486">
        <f t="shared" si="2"/>
        <v>0</v>
      </c>
      <c r="AF70" s="486">
        <f t="shared" si="3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si="87"/>
        <v>0</v>
      </c>
      <c r="AM70" s="501">
        <f t="shared" si="88"/>
        <v>0</v>
      </c>
      <c r="AN70" s="529">
        <f t="shared" si="5"/>
        <v>0</v>
      </c>
      <c r="AO70" s="530">
        <f>I70+AF70</f>
        <v>922430</v>
      </c>
      <c r="AP70" s="486">
        <f>J70+V70</f>
        <v>667433</v>
      </c>
      <c r="AQ70" s="486">
        <f>K70+Y70</f>
        <v>12000</v>
      </c>
      <c r="AR70" s="486">
        <f>L70</f>
        <v>0</v>
      </c>
      <c r="AS70" s="486">
        <f t="shared" si="89"/>
        <v>229648</v>
      </c>
      <c r="AT70" s="486">
        <f t="shared" si="89"/>
        <v>13349</v>
      </c>
      <c r="AU70" s="486">
        <f>O70+AE70</f>
        <v>0</v>
      </c>
      <c r="AV70" s="501">
        <f>P70+AN70</f>
        <v>1.5</v>
      </c>
      <c r="AW70" s="501">
        <f t="shared" si="90"/>
        <v>1.5</v>
      </c>
      <c r="AX70" s="502">
        <f t="shared" si="90"/>
        <v>0</v>
      </c>
    </row>
    <row r="71" spans="1:50" x14ac:dyDescent="0.2">
      <c r="A71" s="710">
        <v>14</v>
      </c>
      <c r="B71" s="711">
        <v>3443</v>
      </c>
      <c r="C71" s="711">
        <v>600078582</v>
      </c>
      <c r="D71" s="711">
        <v>16389581</v>
      </c>
      <c r="E71" s="712" t="s">
        <v>147</v>
      </c>
      <c r="F71" s="711">
        <v>3143</v>
      </c>
      <c r="G71" s="713" t="s">
        <v>635</v>
      </c>
      <c r="H71" s="701" t="s">
        <v>284</v>
      </c>
      <c r="I71" s="495">
        <v>33706</v>
      </c>
      <c r="J71" s="496">
        <v>23760</v>
      </c>
      <c r="K71" s="475">
        <v>0</v>
      </c>
      <c r="L71" s="475">
        <v>0</v>
      </c>
      <c r="M71" s="319">
        <v>8031</v>
      </c>
      <c r="N71" s="319">
        <v>475</v>
      </c>
      <c r="O71" s="496">
        <v>1440</v>
      </c>
      <c r="P71" s="497">
        <v>0.1</v>
      </c>
      <c r="Q71" s="412">
        <v>0</v>
      </c>
      <c r="R71" s="764">
        <v>0.1</v>
      </c>
      <c r="S71" s="530">
        <f t="shared" si="86"/>
        <v>0</v>
      </c>
      <c r="T71" s="486">
        <v>0</v>
      </c>
      <c r="U71" s="486">
        <v>0</v>
      </c>
      <c r="V71" s="486">
        <f>SUM(S71:U71)</f>
        <v>0</v>
      </c>
      <c r="W71" s="486">
        <v>0</v>
      </c>
      <c r="X71" s="486">
        <v>0</v>
      </c>
      <c r="Y71" s="486">
        <f>SUM(W71:X71)</f>
        <v>0</v>
      </c>
      <c r="Z71" s="486">
        <f>V71+Y71</f>
        <v>0</v>
      </c>
      <c r="AA71" s="319">
        <f>ROUND((V71+W71)*33.8%,0)</f>
        <v>0</v>
      </c>
      <c r="AB71" s="178">
        <f>ROUND(V71*2%,0)</f>
        <v>0</v>
      </c>
      <c r="AC71" s="486">
        <v>0</v>
      </c>
      <c r="AD71" s="486">
        <v>0</v>
      </c>
      <c r="AE71" s="486">
        <f t="shared" si="2"/>
        <v>0</v>
      </c>
      <c r="AF71" s="486">
        <f t="shared" si="3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87"/>
        <v>0</v>
      </c>
      <c r="AM71" s="501">
        <f t="shared" si="88"/>
        <v>0</v>
      </c>
      <c r="AN71" s="529">
        <f t="shared" si="5"/>
        <v>0</v>
      </c>
      <c r="AO71" s="530">
        <f>I71+AF71</f>
        <v>33706</v>
      </c>
      <c r="AP71" s="486">
        <f>J71+V71</f>
        <v>23760</v>
      </c>
      <c r="AQ71" s="486">
        <f>K71+Y71</f>
        <v>0</v>
      </c>
      <c r="AR71" s="486">
        <f>L71</f>
        <v>0</v>
      </c>
      <c r="AS71" s="486">
        <f t="shared" si="89"/>
        <v>8031</v>
      </c>
      <c r="AT71" s="486">
        <f t="shared" si="89"/>
        <v>475</v>
      </c>
      <c r="AU71" s="486">
        <f>O71+AE71</f>
        <v>1440</v>
      </c>
      <c r="AV71" s="501">
        <f>P71+AN71</f>
        <v>0.1</v>
      </c>
      <c r="AW71" s="501">
        <f t="shared" si="90"/>
        <v>0</v>
      </c>
      <c r="AX71" s="502">
        <f t="shared" si="90"/>
        <v>0.1</v>
      </c>
    </row>
    <row r="72" spans="1:50" ht="13.5" thickBot="1" x14ac:dyDescent="0.25">
      <c r="A72" s="287">
        <v>14</v>
      </c>
      <c r="B72" s="45">
        <v>3443</v>
      </c>
      <c r="C72" s="45">
        <v>600078582</v>
      </c>
      <c r="D72" s="45">
        <v>16389581</v>
      </c>
      <c r="E72" s="715" t="s">
        <v>148</v>
      </c>
      <c r="F72" s="45"/>
      <c r="G72" s="288"/>
      <c r="H72" s="716"/>
      <c r="I72" s="765">
        <v>15294414</v>
      </c>
      <c r="J72" s="38">
        <v>10831283</v>
      </c>
      <c r="K72" s="38">
        <v>133306</v>
      </c>
      <c r="L72" s="38">
        <v>72106</v>
      </c>
      <c r="M72" s="38">
        <v>3681659</v>
      </c>
      <c r="N72" s="38">
        <v>216626</v>
      </c>
      <c r="O72" s="38">
        <v>431540</v>
      </c>
      <c r="P72" s="40">
        <v>23.118100000000002</v>
      </c>
      <c r="Q72" s="40">
        <v>15.913600000000001</v>
      </c>
      <c r="R72" s="51">
        <v>7.2044999999999995</v>
      </c>
      <c r="S72" s="765">
        <f t="shared" ref="S72:AX72" si="91">SUM(S67:S71)</f>
        <v>0</v>
      </c>
      <c r="T72" s="38">
        <f t="shared" si="91"/>
        <v>-56601</v>
      </c>
      <c r="U72" s="38">
        <f t="shared" si="91"/>
        <v>0</v>
      </c>
      <c r="V72" s="38">
        <f t="shared" si="91"/>
        <v>-56601</v>
      </c>
      <c r="W72" s="38">
        <f t="shared" si="91"/>
        <v>0</v>
      </c>
      <c r="X72" s="38">
        <f t="shared" si="91"/>
        <v>0</v>
      </c>
      <c r="Y72" s="38">
        <f t="shared" si="91"/>
        <v>0</v>
      </c>
      <c r="Z72" s="38">
        <f t="shared" si="91"/>
        <v>-56601</v>
      </c>
      <c r="AA72" s="38">
        <f t="shared" si="91"/>
        <v>-19131</v>
      </c>
      <c r="AB72" s="38">
        <f t="shared" si="91"/>
        <v>-1132</v>
      </c>
      <c r="AC72" s="38">
        <f t="shared" si="91"/>
        <v>0</v>
      </c>
      <c r="AD72" s="38">
        <f t="shared" si="91"/>
        <v>0</v>
      </c>
      <c r="AE72" s="38">
        <f t="shared" si="91"/>
        <v>0</v>
      </c>
      <c r="AF72" s="38">
        <f t="shared" si="91"/>
        <v>-76864</v>
      </c>
      <c r="AG72" s="40">
        <f t="shared" si="91"/>
        <v>0</v>
      </c>
      <c r="AH72" s="40">
        <f t="shared" si="91"/>
        <v>0</v>
      </c>
      <c r="AI72" s="40">
        <f t="shared" si="91"/>
        <v>-0.17</v>
      </c>
      <c r="AJ72" s="40">
        <f t="shared" si="91"/>
        <v>0</v>
      </c>
      <c r="AK72" s="40">
        <f t="shared" si="91"/>
        <v>0</v>
      </c>
      <c r="AL72" s="40">
        <f t="shared" si="91"/>
        <v>-0.17</v>
      </c>
      <c r="AM72" s="40">
        <f t="shared" si="91"/>
        <v>0</v>
      </c>
      <c r="AN72" s="51">
        <f t="shared" si="91"/>
        <v>-0.17</v>
      </c>
      <c r="AO72" s="765">
        <f t="shared" si="91"/>
        <v>15217550</v>
      </c>
      <c r="AP72" s="38">
        <f t="shared" si="91"/>
        <v>10774682</v>
      </c>
      <c r="AQ72" s="38">
        <f t="shared" si="91"/>
        <v>133306</v>
      </c>
      <c r="AR72" s="38">
        <f t="shared" si="91"/>
        <v>72106</v>
      </c>
      <c r="AS72" s="38">
        <f t="shared" si="91"/>
        <v>3662528</v>
      </c>
      <c r="AT72" s="38">
        <f t="shared" si="91"/>
        <v>215494</v>
      </c>
      <c r="AU72" s="38">
        <f t="shared" si="91"/>
        <v>431540</v>
      </c>
      <c r="AV72" s="40">
        <f t="shared" si="91"/>
        <v>22.9481</v>
      </c>
      <c r="AW72" s="40">
        <f t="shared" si="91"/>
        <v>15.743600000000001</v>
      </c>
      <c r="AX72" s="76">
        <f t="shared" si="91"/>
        <v>7.2044999999999995</v>
      </c>
    </row>
    <row r="73" spans="1:50" ht="13.5" thickBot="1" x14ac:dyDescent="0.25">
      <c r="A73" s="289"/>
      <c r="B73" s="42"/>
      <c r="C73" s="42"/>
      <c r="D73" s="42"/>
      <c r="E73" s="189" t="s">
        <v>796</v>
      </c>
      <c r="F73" s="42"/>
      <c r="G73" s="290"/>
      <c r="H73" s="762"/>
      <c r="I73" s="53">
        <f t="shared" ref="I73:AX73" si="92">I15+I18+I22+I24+I31+I37+I39+I42+I47+I51+I56+I63+I66+I72</f>
        <v>136331592</v>
      </c>
      <c r="J73" s="43">
        <f t="shared" si="92"/>
        <v>97581884</v>
      </c>
      <c r="K73" s="43">
        <f t="shared" si="92"/>
        <v>779947</v>
      </c>
      <c r="L73" s="43">
        <f t="shared" si="92"/>
        <v>297007</v>
      </c>
      <c r="M73" s="43">
        <f t="shared" si="92"/>
        <v>33145910</v>
      </c>
      <c r="N73" s="43">
        <f t="shared" si="92"/>
        <v>1951641</v>
      </c>
      <c r="O73" s="43">
        <f t="shared" si="92"/>
        <v>2872210</v>
      </c>
      <c r="P73" s="44">
        <f t="shared" si="92"/>
        <v>213.19290000000001</v>
      </c>
      <c r="Q73" s="44">
        <f t="shared" si="92"/>
        <v>145.1336</v>
      </c>
      <c r="R73" s="54">
        <f t="shared" si="92"/>
        <v>68.059299999999993</v>
      </c>
      <c r="S73" s="53">
        <f t="shared" si="92"/>
        <v>-10000</v>
      </c>
      <c r="T73" s="43">
        <f t="shared" si="92"/>
        <v>-54711</v>
      </c>
      <c r="U73" s="43">
        <f t="shared" si="92"/>
        <v>-92048</v>
      </c>
      <c r="V73" s="43">
        <f t="shared" si="92"/>
        <v>-156759</v>
      </c>
      <c r="W73" s="43">
        <f t="shared" si="92"/>
        <v>10000</v>
      </c>
      <c r="X73" s="43">
        <f t="shared" si="92"/>
        <v>0</v>
      </c>
      <c r="Y73" s="43">
        <f t="shared" si="92"/>
        <v>10000</v>
      </c>
      <c r="Z73" s="43">
        <f t="shared" si="92"/>
        <v>-146759</v>
      </c>
      <c r="AA73" s="43">
        <f t="shared" si="92"/>
        <v>-49605</v>
      </c>
      <c r="AB73" s="43">
        <f t="shared" si="92"/>
        <v>-3135</v>
      </c>
      <c r="AC73" s="43">
        <f t="shared" si="92"/>
        <v>0</v>
      </c>
      <c r="AD73" s="43">
        <f t="shared" si="92"/>
        <v>125002</v>
      </c>
      <c r="AE73" s="43">
        <f t="shared" si="92"/>
        <v>125002</v>
      </c>
      <c r="AF73" s="43">
        <f t="shared" si="92"/>
        <v>-74497</v>
      </c>
      <c r="AG73" s="44">
        <f t="shared" si="92"/>
        <v>0</v>
      </c>
      <c r="AH73" s="44">
        <f t="shared" si="92"/>
        <v>0</v>
      </c>
      <c r="AI73" s="44">
        <f t="shared" si="92"/>
        <v>-0.17</v>
      </c>
      <c r="AJ73" s="44">
        <f t="shared" si="92"/>
        <v>0</v>
      </c>
      <c r="AK73" s="44">
        <f t="shared" si="92"/>
        <v>0</v>
      </c>
      <c r="AL73" s="44">
        <f t="shared" si="92"/>
        <v>-0.17</v>
      </c>
      <c r="AM73" s="44">
        <f t="shared" si="92"/>
        <v>0</v>
      </c>
      <c r="AN73" s="54">
        <f t="shared" si="92"/>
        <v>-0.17</v>
      </c>
      <c r="AO73" s="53">
        <f t="shared" si="92"/>
        <v>136257095</v>
      </c>
      <c r="AP73" s="43">
        <f t="shared" si="92"/>
        <v>97425125</v>
      </c>
      <c r="AQ73" s="43">
        <f t="shared" si="92"/>
        <v>789947</v>
      </c>
      <c r="AR73" s="43">
        <f t="shared" si="92"/>
        <v>297007</v>
      </c>
      <c r="AS73" s="43">
        <f t="shared" si="92"/>
        <v>33096305</v>
      </c>
      <c r="AT73" s="43">
        <f t="shared" si="92"/>
        <v>1948506</v>
      </c>
      <c r="AU73" s="43">
        <f t="shared" si="92"/>
        <v>2997212</v>
      </c>
      <c r="AV73" s="44">
        <f t="shared" si="92"/>
        <v>213.02290000000002</v>
      </c>
      <c r="AW73" s="44">
        <f t="shared" si="92"/>
        <v>144.96359999999999</v>
      </c>
      <c r="AX73" s="73">
        <f t="shared" si="92"/>
        <v>68.059299999999993</v>
      </c>
    </row>
    <row r="74" spans="1:50" x14ac:dyDescent="0.2">
      <c r="D74" s="16"/>
      <c r="E74" s="12"/>
      <c r="F74" s="16"/>
      <c r="G74" s="36"/>
      <c r="H74" s="12"/>
      <c r="I74" s="509">
        <f>J73+K73+M73+N73+O73</f>
        <v>136331592</v>
      </c>
      <c r="J74" s="509"/>
      <c r="K74" s="509"/>
      <c r="L74" s="509"/>
      <c r="M74" s="509"/>
      <c r="N74" s="509"/>
      <c r="O74" s="509"/>
      <c r="P74" s="510">
        <f>SUM(Q73:R73)</f>
        <v>213.19290000000001</v>
      </c>
      <c r="Q74" s="510"/>
      <c r="R74" s="510"/>
      <c r="S74" s="509">
        <f>W73</f>
        <v>10000</v>
      </c>
      <c r="T74" s="510"/>
      <c r="U74" s="510"/>
      <c r="V74" s="739">
        <f>SUM(S73:U73)</f>
        <v>-156759</v>
      </c>
      <c r="W74" s="607"/>
      <c r="X74" s="607"/>
      <c r="Y74" s="606">
        <f>SUM(W73:X73)</f>
        <v>10000</v>
      </c>
      <c r="Z74" s="739">
        <f>V73+Y73</f>
        <v>-146759</v>
      </c>
      <c r="AA74" s="741"/>
      <c r="AB74" s="741"/>
      <c r="AC74" s="740"/>
      <c r="AD74" s="740"/>
      <c r="AE74" s="739">
        <f>SUM(AC73:AD73)</f>
        <v>125002</v>
      </c>
      <c r="AF74" s="739">
        <f>Z73+AA73+AB73+AE73</f>
        <v>-74497</v>
      </c>
      <c r="AG74" s="742"/>
      <c r="AH74" s="742"/>
      <c r="AI74" s="742"/>
      <c r="AJ74" s="742"/>
      <c r="AK74" s="742"/>
      <c r="AL74" s="743">
        <f>AG73+AI73+AJ73</f>
        <v>-0.17</v>
      </c>
      <c r="AM74" s="743">
        <f>AH73+AK73</f>
        <v>0</v>
      </c>
      <c r="AN74" s="743">
        <f>SUM(AL73:AM73)</f>
        <v>-0.17</v>
      </c>
      <c r="AO74" s="509">
        <f>AP73+AQ73+AS73+AT73+AU73</f>
        <v>136257095</v>
      </c>
      <c r="AP74" s="177"/>
      <c r="AQ74" s="177"/>
      <c r="AR74" s="509"/>
      <c r="AS74" s="177"/>
      <c r="AT74" s="177"/>
      <c r="AU74" s="177"/>
      <c r="AV74" s="510">
        <f>SUM(AW73:AX73)</f>
        <v>213.02289999999999</v>
      </c>
      <c r="AW74" s="177"/>
      <c r="AX74" s="177"/>
    </row>
    <row r="75" spans="1:50" ht="13.5" thickBot="1" x14ac:dyDescent="0.25">
      <c r="D75" s="16"/>
      <c r="E75" s="12"/>
      <c r="F75" s="16"/>
      <c r="G75" s="36"/>
      <c r="H75" s="12"/>
      <c r="I75" s="192">
        <f ca="1">J76+K76+M76+N76+O76</f>
        <v>136331592</v>
      </c>
      <c r="J75" s="193"/>
      <c r="K75" s="193"/>
      <c r="L75" s="193"/>
      <c r="M75" s="193"/>
      <c r="N75" s="193"/>
      <c r="O75" s="193"/>
      <c r="P75" s="194">
        <f ca="1">SUM(Q76:R76)</f>
        <v>213.19289999999998</v>
      </c>
      <c r="Q75" s="339"/>
      <c r="R75" s="339"/>
      <c r="S75" s="355"/>
      <c r="T75" s="355"/>
      <c r="U75" s="355"/>
      <c r="V75" s="511">
        <f ca="1">SUM(S76:U76)</f>
        <v>-156759</v>
      </c>
      <c r="W75" s="512"/>
      <c r="X75" s="512"/>
      <c r="Y75" s="511">
        <f ca="1">SUM(W76:X76)</f>
        <v>10000</v>
      </c>
      <c r="Z75" s="511">
        <f ca="1">V76+Y76</f>
        <v>-146759</v>
      </c>
      <c r="AA75" s="354"/>
      <c r="AB75" s="354"/>
      <c r="AC75" s="512"/>
      <c r="AD75" s="512"/>
      <c r="AE75" s="511">
        <f ca="1">SUM(AC76:AD76)</f>
        <v>125002</v>
      </c>
      <c r="AF75" s="511">
        <f ca="1">Z76+AA76+AB76+AE76</f>
        <v>-74497</v>
      </c>
      <c r="AG75" s="513"/>
      <c r="AH75" s="513"/>
      <c r="AI75" s="513"/>
      <c r="AJ75" s="513"/>
      <c r="AK75" s="513"/>
      <c r="AL75" s="514">
        <f ca="1">AG76+AI76+AJ76</f>
        <v>-0.17</v>
      </c>
      <c r="AM75" s="514">
        <f ca="1">AH76+AK76</f>
        <v>0</v>
      </c>
      <c r="AN75" s="514">
        <f ca="1">SUM(AL76:AM76)</f>
        <v>-0.17</v>
      </c>
      <c r="AO75" s="362">
        <f ca="1">AP76+AQ76+AS76+AT76+AU76</f>
        <v>136257095</v>
      </c>
      <c r="AP75" s="363"/>
      <c r="AQ75" s="363"/>
      <c r="AR75" s="683"/>
      <c r="AS75" s="363"/>
      <c r="AT75" s="363"/>
      <c r="AU75" s="363"/>
      <c r="AV75" s="355">
        <f ca="1">SUM(AW76:AX76)</f>
        <v>213.02289999999999</v>
      </c>
      <c r="AW75" s="363"/>
      <c r="AX75" s="363"/>
    </row>
    <row r="76" spans="1:50" ht="13.5" thickBot="1" x14ac:dyDescent="0.25">
      <c r="D76" s="16"/>
      <c r="E76" s="12"/>
      <c r="F76" s="16"/>
      <c r="G76" s="36"/>
      <c r="H76" s="39" t="s">
        <v>0</v>
      </c>
      <c r="I76" s="255">
        <f t="shared" ref="I76:AX76" ca="1" si="93">SUM(I77:I86)</f>
        <v>136331592</v>
      </c>
      <c r="J76" s="46">
        <f t="shared" ca="1" si="93"/>
        <v>97581884</v>
      </c>
      <c r="K76" s="46">
        <f t="shared" ca="1" si="93"/>
        <v>779947</v>
      </c>
      <c r="L76" s="46">
        <f t="shared" ca="1" si="93"/>
        <v>297007</v>
      </c>
      <c r="M76" s="46">
        <f t="shared" ca="1" si="93"/>
        <v>33145910</v>
      </c>
      <c r="N76" s="46">
        <f t="shared" ca="1" si="93"/>
        <v>1951641</v>
      </c>
      <c r="O76" s="46">
        <f t="shared" ca="1" si="93"/>
        <v>2872210</v>
      </c>
      <c r="P76" s="47">
        <f t="shared" ca="1" si="93"/>
        <v>213.19290000000001</v>
      </c>
      <c r="Q76" s="47">
        <f t="shared" ca="1" si="93"/>
        <v>145.13359999999997</v>
      </c>
      <c r="R76" s="48">
        <f t="shared" ca="1" si="93"/>
        <v>68.059300000000007</v>
      </c>
      <c r="S76" s="264">
        <f t="shared" ca="1" si="93"/>
        <v>-10000</v>
      </c>
      <c r="T76" s="264">
        <f t="shared" ca="1" si="93"/>
        <v>-54711</v>
      </c>
      <c r="U76" s="264">
        <f t="shared" ca="1" si="93"/>
        <v>-92048</v>
      </c>
      <c r="V76" s="264">
        <f t="shared" ca="1" si="93"/>
        <v>-156759</v>
      </c>
      <c r="W76" s="264">
        <f t="shared" ca="1" si="93"/>
        <v>10000</v>
      </c>
      <c r="X76" s="264">
        <f t="shared" ca="1" si="93"/>
        <v>0</v>
      </c>
      <c r="Y76" s="264">
        <f t="shared" ca="1" si="93"/>
        <v>10000</v>
      </c>
      <c r="Z76" s="264">
        <f t="shared" ca="1" si="93"/>
        <v>-146759</v>
      </c>
      <c r="AA76" s="264">
        <f t="shared" ca="1" si="93"/>
        <v>-49605</v>
      </c>
      <c r="AB76" s="264">
        <f t="shared" ca="1" si="93"/>
        <v>-3135</v>
      </c>
      <c r="AC76" s="264">
        <f t="shared" ca="1" si="93"/>
        <v>0</v>
      </c>
      <c r="AD76" s="264">
        <f t="shared" ca="1" si="93"/>
        <v>125002</v>
      </c>
      <c r="AE76" s="264">
        <f t="shared" ca="1" si="93"/>
        <v>125002</v>
      </c>
      <c r="AF76" s="264">
        <f t="shared" ca="1" si="93"/>
        <v>-74497</v>
      </c>
      <c r="AG76" s="384">
        <f t="shared" ca="1" si="93"/>
        <v>0</v>
      </c>
      <c r="AH76" s="384">
        <f t="shared" ca="1" si="93"/>
        <v>0</v>
      </c>
      <c r="AI76" s="384">
        <f t="shared" ca="1" si="93"/>
        <v>-0.17</v>
      </c>
      <c r="AJ76" s="384">
        <f t="shared" ca="1" si="93"/>
        <v>0</v>
      </c>
      <c r="AK76" s="384">
        <f t="shared" ca="1" si="93"/>
        <v>0</v>
      </c>
      <c r="AL76" s="384">
        <f t="shared" ca="1" si="93"/>
        <v>-0.17</v>
      </c>
      <c r="AM76" s="384">
        <f t="shared" ca="1" si="93"/>
        <v>0</v>
      </c>
      <c r="AN76" s="364">
        <f t="shared" ca="1" si="93"/>
        <v>-0.17</v>
      </c>
      <c r="AO76" s="255">
        <f t="shared" ca="1" si="93"/>
        <v>136257095</v>
      </c>
      <c r="AP76" s="264">
        <f t="shared" ca="1" si="93"/>
        <v>97425125</v>
      </c>
      <c r="AQ76" s="264">
        <f t="shared" ca="1" si="93"/>
        <v>789947</v>
      </c>
      <c r="AR76" s="264">
        <f t="shared" ca="1" si="93"/>
        <v>297007</v>
      </c>
      <c r="AS76" s="264">
        <f t="shared" ca="1" si="93"/>
        <v>33096305</v>
      </c>
      <c r="AT76" s="264">
        <f t="shared" ca="1" si="93"/>
        <v>1948506</v>
      </c>
      <c r="AU76" s="264">
        <f t="shared" ca="1" si="93"/>
        <v>2997212</v>
      </c>
      <c r="AV76" s="384">
        <f t="shared" ca="1" si="93"/>
        <v>213.02289999999999</v>
      </c>
      <c r="AW76" s="384">
        <f t="shared" ca="1" si="93"/>
        <v>144.96359999999999</v>
      </c>
      <c r="AX76" s="400">
        <f t="shared" ca="1" si="93"/>
        <v>68.059300000000007</v>
      </c>
    </row>
    <row r="77" spans="1:50" x14ac:dyDescent="0.2">
      <c r="D77" s="16"/>
      <c r="E77" s="12"/>
      <c r="F77" s="16"/>
      <c r="G77" s="36"/>
      <c r="H77" s="1">
        <v>3111</v>
      </c>
      <c r="I77" s="321">
        <f t="shared" ref="I77:AX77" ca="1" si="94">SUMIF($F$12:$F$426,"=3111",I$12:I$382)</f>
        <v>26978158</v>
      </c>
      <c r="J77" s="322">
        <f t="shared" ca="1" si="94"/>
        <v>19597435</v>
      </c>
      <c r="K77" s="322">
        <f t="shared" ca="1" si="94"/>
        <v>30000</v>
      </c>
      <c r="L77" s="322">
        <f t="shared" ca="1" si="94"/>
        <v>0</v>
      </c>
      <c r="M77" s="322">
        <f t="shared" ca="1" si="94"/>
        <v>6634074</v>
      </c>
      <c r="N77" s="322">
        <f t="shared" ca="1" si="94"/>
        <v>391949</v>
      </c>
      <c r="O77" s="322">
        <f t="shared" ca="1" si="94"/>
        <v>324700</v>
      </c>
      <c r="P77" s="323">
        <f t="shared" ca="1" si="94"/>
        <v>44.881799999999998</v>
      </c>
      <c r="Q77" s="323">
        <f t="shared" ca="1" si="94"/>
        <v>33.401899999999998</v>
      </c>
      <c r="R77" s="324">
        <f t="shared" ca="1" si="94"/>
        <v>11.479899999999997</v>
      </c>
      <c r="S77" s="325">
        <f t="shared" ca="1" si="94"/>
        <v>0</v>
      </c>
      <c r="T77" s="325">
        <f t="shared" ca="1" si="94"/>
        <v>0</v>
      </c>
      <c r="U77" s="325">
        <f t="shared" ca="1" si="94"/>
        <v>-47865</v>
      </c>
      <c r="V77" s="325">
        <f t="shared" ca="1" si="94"/>
        <v>-47865</v>
      </c>
      <c r="W77" s="325">
        <f t="shared" ca="1" si="94"/>
        <v>0</v>
      </c>
      <c r="X77" s="325">
        <f t="shared" ca="1" si="94"/>
        <v>0</v>
      </c>
      <c r="Y77" s="325">
        <f t="shared" ca="1" si="94"/>
        <v>0</v>
      </c>
      <c r="Z77" s="325">
        <f t="shared" ca="1" si="94"/>
        <v>-47865</v>
      </c>
      <c r="AA77" s="325">
        <f t="shared" ca="1" si="94"/>
        <v>-16179</v>
      </c>
      <c r="AB77" s="325">
        <f t="shared" ca="1" si="94"/>
        <v>-958</v>
      </c>
      <c r="AC77" s="325">
        <f t="shared" ca="1" si="94"/>
        <v>0</v>
      </c>
      <c r="AD77" s="325">
        <f t="shared" ca="1" si="94"/>
        <v>65002</v>
      </c>
      <c r="AE77" s="325">
        <f t="shared" ca="1" si="94"/>
        <v>65002</v>
      </c>
      <c r="AF77" s="325">
        <f t="shared" ca="1" si="94"/>
        <v>0</v>
      </c>
      <c r="AG77" s="368">
        <f t="shared" ca="1" si="94"/>
        <v>0</v>
      </c>
      <c r="AH77" s="368">
        <f t="shared" ca="1" si="94"/>
        <v>0</v>
      </c>
      <c r="AI77" s="368">
        <f t="shared" ca="1" si="94"/>
        <v>0</v>
      </c>
      <c r="AJ77" s="368">
        <f t="shared" ca="1" si="94"/>
        <v>0</v>
      </c>
      <c r="AK77" s="368">
        <f t="shared" ca="1" si="94"/>
        <v>0</v>
      </c>
      <c r="AL77" s="368">
        <f t="shared" ca="1" si="94"/>
        <v>0</v>
      </c>
      <c r="AM77" s="368">
        <f t="shared" ca="1" si="94"/>
        <v>0</v>
      </c>
      <c r="AN77" s="365">
        <f t="shared" ca="1" si="94"/>
        <v>0</v>
      </c>
      <c r="AO77" s="321">
        <f t="shared" ca="1" si="94"/>
        <v>26978158</v>
      </c>
      <c r="AP77" s="325">
        <f t="shared" ca="1" si="94"/>
        <v>19549570</v>
      </c>
      <c r="AQ77" s="325">
        <f t="shared" ca="1" si="94"/>
        <v>30000</v>
      </c>
      <c r="AR77" s="325">
        <f t="shared" ca="1" si="94"/>
        <v>0</v>
      </c>
      <c r="AS77" s="325">
        <f t="shared" ca="1" si="94"/>
        <v>6617895</v>
      </c>
      <c r="AT77" s="325">
        <f t="shared" ca="1" si="94"/>
        <v>390991</v>
      </c>
      <c r="AU77" s="325">
        <f t="shared" ca="1" si="94"/>
        <v>389702</v>
      </c>
      <c r="AV77" s="368">
        <f t="shared" ca="1" si="94"/>
        <v>44.881799999999998</v>
      </c>
      <c r="AW77" s="368">
        <f t="shared" ca="1" si="94"/>
        <v>33.401899999999998</v>
      </c>
      <c r="AX77" s="401">
        <f t="shared" ca="1" si="94"/>
        <v>11.479899999999997</v>
      </c>
    </row>
    <row r="78" spans="1:50" x14ac:dyDescent="0.2">
      <c r="D78" s="16"/>
      <c r="E78" s="12"/>
      <c r="F78" s="16"/>
      <c r="G78" s="36"/>
      <c r="H78" s="2">
        <v>3113</v>
      </c>
      <c r="I78" s="327">
        <f t="shared" ref="I78:AX78" si="95">SUMIF($F$12:$F$426,"=3113",I$12:I$426)</f>
        <v>72848532</v>
      </c>
      <c r="J78" s="328">
        <f t="shared" si="95"/>
        <v>51646878</v>
      </c>
      <c r="K78" s="328">
        <f t="shared" si="95"/>
        <v>468355</v>
      </c>
      <c r="L78" s="328">
        <f t="shared" si="95"/>
        <v>286055</v>
      </c>
      <c r="M78" s="328">
        <f t="shared" si="95"/>
        <v>17518261</v>
      </c>
      <c r="N78" s="328">
        <f t="shared" si="95"/>
        <v>1032938</v>
      </c>
      <c r="O78" s="328">
        <f t="shared" si="95"/>
        <v>2182100</v>
      </c>
      <c r="P78" s="329">
        <f t="shared" si="95"/>
        <v>101.79459999999999</v>
      </c>
      <c r="Q78" s="329">
        <f t="shared" si="95"/>
        <v>79.436300000000003</v>
      </c>
      <c r="R78" s="330">
        <f t="shared" si="95"/>
        <v>22.3583</v>
      </c>
      <c r="S78" s="331">
        <f t="shared" si="95"/>
        <v>0</v>
      </c>
      <c r="T78" s="331">
        <f t="shared" si="95"/>
        <v>-54711</v>
      </c>
      <c r="U78" s="331">
        <f t="shared" si="95"/>
        <v>-36819</v>
      </c>
      <c r="V78" s="331">
        <f t="shared" si="95"/>
        <v>-91530</v>
      </c>
      <c r="W78" s="331">
        <f t="shared" si="95"/>
        <v>0</v>
      </c>
      <c r="X78" s="331">
        <f t="shared" si="95"/>
        <v>0</v>
      </c>
      <c r="Y78" s="331">
        <f t="shared" si="95"/>
        <v>0</v>
      </c>
      <c r="Z78" s="331">
        <f t="shared" si="95"/>
        <v>-91530</v>
      </c>
      <c r="AA78" s="331">
        <f t="shared" si="95"/>
        <v>-30937</v>
      </c>
      <c r="AB78" s="331">
        <f t="shared" si="95"/>
        <v>-1830</v>
      </c>
      <c r="AC78" s="331">
        <f t="shared" si="95"/>
        <v>0</v>
      </c>
      <c r="AD78" s="331">
        <f t="shared" si="95"/>
        <v>50000</v>
      </c>
      <c r="AE78" s="331">
        <f t="shared" si="95"/>
        <v>50000</v>
      </c>
      <c r="AF78" s="331">
        <f t="shared" si="95"/>
        <v>-74297</v>
      </c>
      <c r="AG78" s="369">
        <f t="shared" si="95"/>
        <v>0</v>
      </c>
      <c r="AH78" s="369">
        <f t="shared" si="95"/>
        <v>0</v>
      </c>
      <c r="AI78" s="369">
        <f t="shared" si="95"/>
        <v>-0.17</v>
      </c>
      <c r="AJ78" s="369">
        <f t="shared" si="95"/>
        <v>0</v>
      </c>
      <c r="AK78" s="369">
        <f t="shared" si="95"/>
        <v>0</v>
      </c>
      <c r="AL78" s="369">
        <f t="shared" si="95"/>
        <v>-0.17</v>
      </c>
      <c r="AM78" s="369">
        <f t="shared" si="95"/>
        <v>0</v>
      </c>
      <c r="AN78" s="366">
        <f t="shared" si="95"/>
        <v>-0.17</v>
      </c>
      <c r="AO78" s="327">
        <f t="shared" si="95"/>
        <v>72774235</v>
      </c>
      <c r="AP78" s="331">
        <f t="shared" si="95"/>
        <v>51555348</v>
      </c>
      <c r="AQ78" s="331">
        <f t="shared" si="95"/>
        <v>468355</v>
      </c>
      <c r="AR78" s="331">
        <f t="shared" si="95"/>
        <v>286055</v>
      </c>
      <c r="AS78" s="331">
        <f t="shared" si="95"/>
        <v>17487324</v>
      </c>
      <c r="AT78" s="331">
        <f t="shared" si="95"/>
        <v>1031108</v>
      </c>
      <c r="AU78" s="331">
        <f t="shared" si="95"/>
        <v>2232100</v>
      </c>
      <c r="AV78" s="369">
        <f t="shared" si="95"/>
        <v>101.62459999999999</v>
      </c>
      <c r="AW78" s="369">
        <f t="shared" si="95"/>
        <v>79.266300000000001</v>
      </c>
      <c r="AX78" s="402">
        <f t="shared" si="95"/>
        <v>22.3583</v>
      </c>
    </row>
    <row r="79" spans="1:50" x14ac:dyDescent="0.2">
      <c r="D79" s="16"/>
      <c r="E79" s="12"/>
      <c r="F79" s="16"/>
      <c r="G79" s="36"/>
      <c r="H79" s="2">
        <v>3114</v>
      </c>
      <c r="I79" s="327">
        <f t="shared" ref="I79:AX79" si="96">SUMIF($F$12:$F$426,"=3114",I$12:I$426)</f>
        <v>0</v>
      </c>
      <c r="J79" s="328">
        <f t="shared" si="96"/>
        <v>0</v>
      </c>
      <c r="K79" s="328">
        <f t="shared" si="96"/>
        <v>0</v>
      </c>
      <c r="L79" s="328">
        <f t="shared" si="96"/>
        <v>0</v>
      </c>
      <c r="M79" s="328">
        <f t="shared" si="96"/>
        <v>0</v>
      </c>
      <c r="N79" s="328">
        <f t="shared" si="96"/>
        <v>0</v>
      </c>
      <c r="O79" s="328">
        <f t="shared" si="96"/>
        <v>0</v>
      </c>
      <c r="P79" s="329">
        <f t="shared" si="96"/>
        <v>0</v>
      </c>
      <c r="Q79" s="329">
        <f t="shared" si="96"/>
        <v>0</v>
      </c>
      <c r="R79" s="330">
        <f t="shared" si="96"/>
        <v>0</v>
      </c>
      <c r="S79" s="331">
        <f t="shared" si="96"/>
        <v>0</v>
      </c>
      <c r="T79" s="331">
        <f t="shared" si="96"/>
        <v>0</v>
      </c>
      <c r="U79" s="331">
        <f t="shared" si="96"/>
        <v>0</v>
      </c>
      <c r="V79" s="331">
        <f t="shared" si="96"/>
        <v>0</v>
      </c>
      <c r="W79" s="331">
        <f t="shared" si="96"/>
        <v>0</v>
      </c>
      <c r="X79" s="331">
        <f t="shared" si="96"/>
        <v>0</v>
      </c>
      <c r="Y79" s="331">
        <f t="shared" si="96"/>
        <v>0</v>
      </c>
      <c r="Z79" s="331">
        <f t="shared" si="96"/>
        <v>0</v>
      </c>
      <c r="AA79" s="331">
        <f t="shared" si="96"/>
        <v>0</v>
      </c>
      <c r="AB79" s="331">
        <f t="shared" si="96"/>
        <v>0</v>
      </c>
      <c r="AC79" s="331">
        <f t="shared" si="96"/>
        <v>0</v>
      </c>
      <c r="AD79" s="331">
        <f t="shared" si="96"/>
        <v>0</v>
      </c>
      <c r="AE79" s="331">
        <f t="shared" si="96"/>
        <v>0</v>
      </c>
      <c r="AF79" s="331">
        <f t="shared" si="96"/>
        <v>0</v>
      </c>
      <c r="AG79" s="369">
        <f t="shared" si="96"/>
        <v>0</v>
      </c>
      <c r="AH79" s="369">
        <f t="shared" si="96"/>
        <v>0</v>
      </c>
      <c r="AI79" s="369">
        <f t="shared" si="96"/>
        <v>0</v>
      </c>
      <c r="AJ79" s="369">
        <f t="shared" si="96"/>
        <v>0</v>
      </c>
      <c r="AK79" s="369">
        <f t="shared" si="96"/>
        <v>0</v>
      </c>
      <c r="AL79" s="369">
        <f t="shared" si="96"/>
        <v>0</v>
      </c>
      <c r="AM79" s="369">
        <f t="shared" si="96"/>
        <v>0</v>
      </c>
      <c r="AN79" s="366">
        <f t="shared" si="96"/>
        <v>0</v>
      </c>
      <c r="AO79" s="327">
        <f t="shared" si="96"/>
        <v>0</v>
      </c>
      <c r="AP79" s="331">
        <f t="shared" si="96"/>
        <v>0</v>
      </c>
      <c r="AQ79" s="331">
        <f t="shared" si="96"/>
        <v>0</v>
      </c>
      <c r="AR79" s="331">
        <f t="shared" si="96"/>
        <v>0</v>
      </c>
      <c r="AS79" s="331">
        <f t="shared" si="96"/>
        <v>0</v>
      </c>
      <c r="AT79" s="331">
        <f t="shared" si="96"/>
        <v>0</v>
      </c>
      <c r="AU79" s="331">
        <f t="shared" si="96"/>
        <v>0</v>
      </c>
      <c r="AV79" s="369">
        <f t="shared" si="96"/>
        <v>0</v>
      </c>
      <c r="AW79" s="369">
        <f t="shared" si="96"/>
        <v>0</v>
      </c>
      <c r="AX79" s="402">
        <f t="shared" si="96"/>
        <v>0</v>
      </c>
    </row>
    <row r="80" spans="1:50" x14ac:dyDescent="0.2">
      <c r="D80" s="16"/>
      <c r="E80" s="12"/>
      <c r="F80" s="16"/>
      <c r="G80" s="36"/>
      <c r="H80" s="2">
        <v>3117</v>
      </c>
      <c r="I80" s="327">
        <f t="shared" ref="I80:AX80" si="97">SUMIF($F$12:$F$426,"=3117",I$12:I$426)</f>
        <v>7156122</v>
      </c>
      <c r="J80" s="328">
        <f t="shared" si="97"/>
        <v>5084698</v>
      </c>
      <c r="K80" s="328">
        <f t="shared" si="97"/>
        <v>17192</v>
      </c>
      <c r="L80" s="328">
        <f t="shared" si="97"/>
        <v>10952</v>
      </c>
      <c r="M80" s="328">
        <f t="shared" si="97"/>
        <v>1720737</v>
      </c>
      <c r="N80" s="328">
        <f t="shared" si="97"/>
        <v>101695</v>
      </c>
      <c r="O80" s="328">
        <f t="shared" si="97"/>
        <v>231800</v>
      </c>
      <c r="P80" s="329">
        <f t="shared" si="97"/>
        <v>10.882700000000002</v>
      </c>
      <c r="Q80" s="329">
        <f t="shared" si="97"/>
        <v>8.0314999999999994</v>
      </c>
      <c r="R80" s="330">
        <f t="shared" si="97"/>
        <v>2.8512</v>
      </c>
      <c r="S80" s="331">
        <f t="shared" si="97"/>
        <v>0</v>
      </c>
      <c r="T80" s="331">
        <f t="shared" si="97"/>
        <v>0</v>
      </c>
      <c r="U80" s="331">
        <f t="shared" si="97"/>
        <v>0</v>
      </c>
      <c r="V80" s="331">
        <f t="shared" si="97"/>
        <v>0</v>
      </c>
      <c r="W80" s="331">
        <f t="shared" si="97"/>
        <v>0</v>
      </c>
      <c r="X80" s="331">
        <f t="shared" si="97"/>
        <v>0</v>
      </c>
      <c r="Y80" s="331">
        <f t="shared" si="97"/>
        <v>0</v>
      </c>
      <c r="Z80" s="331">
        <f t="shared" si="97"/>
        <v>0</v>
      </c>
      <c r="AA80" s="331">
        <f t="shared" si="97"/>
        <v>0</v>
      </c>
      <c r="AB80" s="331">
        <f t="shared" si="97"/>
        <v>0</v>
      </c>
      <c r="AC80" s="331">
        <f t="shared" si="97"/>
        <v>0</v>
      </c>
      <c r="AD80" s="331">
        <f t="shared" si="97"/>
        <v>0</v>
      </c>
      <c r="AE80" s="331">
        <f t="shared" si="97"/>
        <v>0</v>
      </c>
      <c r="AF80" s="331">
        <f t="shared" si="97"/>
        <v>0</v>
      </c>
      <c r="AG80" s="369">
        <f t="shared" si="97"/>
        <v>0</v>
      </c>
      <c r="AH80" s="369">
        <f t="shared" si="97"/>
        <v>0</v>
      </c>
      <c r="AI80" s="369">
        <f t="shared" si="97"/>
        <v>0</v>
      </c>
      <c r="AJ80" s="369">
        <f t="shared" si="97"/>
        <v>0</v>
      </c>
      <c r="AK80" s="369">
        <f t="shared" si="97"/>
        <v>0</v>
      </c>
      <c r="AL80" s="369">
        <f t="shared" si="97"/>
        <v>0</v>
      </c>
      <c r="AM80" s="369">
        <f t="shared" si="97"/>
        <v>0</v>
      </c>
      <c r="AN80" s="366">
        <f t="shared" si="97"/>
        <v>0</v>
      </c>
      <c r="AO80" s="327">
        <f t="shared" si="97"/>
        <v>7156122</v>
      </c>
      <c r="AP80" s="331">
        <f t="shared" si="97"/>
        <v>5084698</v>
      </c>
      <c r="AQ80" s="331">
        <f t="shared" si="97"/>
        <v>17192</v>
      </c>
      <c r="AR80" s="331">
        <f t="shared" si="97"/>
        <v>10952</v>
      </c>
      <c r="AS80" s="331">
        <f t="shared" si="97"/>
        <v>1720737</v>
      </c>
      <c r="AT80" s="331">
        <f t="shared" si="97"/>
        <v>101695</v>
      </c>
      <c r="AU80" s="331">
        <f t="shared" si="97"/>
        <v>231800</v>
      </c>
      <c r="AV80" s="369">
        <f t="shared" si="97"/>
        <v>10.882700000000002</v>
      </c>
      <c r="AW80" s="369">
        <f t="shared" si="97"/>
        <v>8.0314999999999994</v>
      </c>
      <c r="AX80" s="402">
        <f t="shared" si="97"/>
        <v>2.8512</v>
      </c>
    </row>
    <row r="81" spans="4:50" x14ac:dyDescent="0.2">
      <c r="D81" s="16"/>
      <c r="E81" s="12"/>
      <c r="F81" s="16"/>
      <c r="G81" s="36"/>
      <c r="H81" s="2">
        <v>3122</v>
      </c>
      <c r="I81" s="327">
        <f t="shared" ref="I81:AX81" si="98">SUMIF($F$12:$F$382,"=3122",I$12:I$382)</f>
        <v>0</v>
      </c>
      <c r="J81" s="328">
        <f t="shared" si="98"/>
        <v>0</v>
      </c>
      <c r="K81" s="328">
        <f t="shared" si="98"/>
        <v>0</v>
      </c>
      <c r="L81" s="328">
        <f t="shared" si="98"/>
        <v>0</v>
      </c>
      <c r="M81" s="328">
        <f t="shared" si="98"/>
        <v>0</v>
      </c>
      <c r="N81" s="328">
        <f t="shared" si="98"/>
        <v>0</v>
      </c>
      <c r="O81" s="328">
        <f t="shared" si="98"/>
        <v>0</v>
      </c>
      <c r="P81" s="329">
        <f t="shared" si="98"/>
        <v>0</v>
      </c>
      <c r="Q81" s="329">
        <f t="shared" si="98"/>
        <v>0</v>
      </c>
      <c r="R81" s="330">
        <f t="shared" si="98"/>
        <v>0</v>
      </c>
      <c r="S81" s="331">
        <f t="shared" si="98"/>
        <v>0</v>
      </c>
      <c r="T81" s="331">
        <f t="shared" si="98"/>
        <v>0</v>
      </c>
      <c r="U81" s="331">
        <f t="shared" si="98"/>
        <v>0</v>
      </c>
      <c r="V81" s="331">
        <f t="shared" si="98"/>
        <v>0</v>
      </c>
      <c r="W81" s="331">
        <f t="shared" si="98"/>
        <v>0</v>
      </c>
      <c r="X81" s="331">
        <f t="shared" si="98"/>
        <v>0</v>
      </c>
      <c r="Y81" s="331">
        <f t="shared" si="98"/>
        <v>0</v>
      </c>
      <c r="Z81" s="331">
        <f t="shared" si="98"/>
        <v>0</v>
      </c>
      <c r="AA81" s="331">
        <f t="shared" si="98"/>
        <v>0</v>
      </c>
      <c r="AB81" s="331">
        <f t="shared" si="98"/>
        <v>0</v>
      </c>
      <c r="AC81" s="331">
        <f t="shared" si="98"/>
        <v>0</v>
      </c>
      <c r="AD81" s="331">
        <f t="shared" si="98"/>
        <v>0</v>
      </c>
      <c r="AE81" s="331">
        <f t="shared" si="98"/>
        <v>0</v>
      </c>
      <c r="AF81" s="331">
        <f t="shared" si="98"/>
        <v>0</v>
      </c>
      <c r="AG81" s="369">
        <f t="shared" si="98"/>
        <v>0</v>
      </c>
      <c r="AH81" s="369">
        <f t="shared" si="98"/>
        <v>0</v>
      </c>
      <c r="AI81" s="369">
        <f t="shared" si="98"/>
        <v>0</v>
      </c>
      <c r="AJ81" s="369">
        <f t="shared" si="98"/>
        <v>0</v>
      </c>
      <c r="AK81" s="369">
        <f t="shared" si="98"/>
        <v>0</v>
      </c>
      <c r="AL81" s="369">
        <f t="shared" si="98"/>
        <v>0</v>
      </c>
      <c r="AM81" s="369">
        <f t="shared" si="98"/>
        <v>0</v>
      </c>
      <c r="AN81" s="366">
        <f t="shared" si="98"/>
        <v>0</v>
      </c>
      <c r="AO81" s="327">
        <f t="shared" si="98"/>
        <v>0</v>
      </c>
      <c r="AP81" s="331">
        <f t="shared" si="98"/>
        <v>0</v>
      </c>
      <c r="AQ81" s="331">
        <f t="shared" si="98"/>
        <v>0</v>
      </c>
      <c r="AR81" s="331">
        <f t="shared" si="98"/>
        <v>0</v>
      </c>
      <c r="AS81" s="331">
        <f t="shared" si="98"/>
        <v>0</v>
      </c>
      <c r="AT81" s="331">
        <f t="shared" si="98"/>
        <v>0</v>
      </c>
      <c r="AU81" s="331">
        <f t="shared" si="98"/>
        <v>0</v>
      </c>
      <c r="AV81" s="369">
        <f t="shared" si="98"/>
        <v>0</v>
      </c>
      <c r="AW81" s="369">
        <f t="shared" si="98"/>
        <v>0</v>
      </c>
      <c r="AX81" s="402">
        <f t="shared" si="98"/>
        <v>0</v>
      </c>
    </row>
    <row r="82" spans="4:50" x14ac:dyDescent="0.2">
      <c r="D82" s="16"/>
      <c r="E82" s="12"/>
      <c r="F82" s="16"/>
      <c r="G82" s="36"/>
      <c r="H82" s="2">
        <v>3124</v>
      </c>
      <c r="I82" s="327">
        <f t="shared" ref="I82:AX82" si="99">SUMIF($F$12:$F$382,"=3124",I$12:I$382)</f>
        <v>0</v>
      </c>
      <c r="J82" s="328">
        <f t="shared" si="99"/>
        <v>0</v>
      </c>
      <c r="K82" s="328">
        <f t="shared" si="99"/>
        <v>0</v>
      </c>
      <c r="L82" s="328">
        <f t="shared" si="99"/>
        <v>0</v>
      </c>
      <c r="M82" s="328">
        <f t="shared" si="99"/>
        <v>0</v>
      </c>
      <c r="N82" s="328">
        <f t="shared" si="99"/>
        <v>0</v>
      </c>
      <c r="O82" s="328">
        <f t="shared" si="99"/>
        <v>0</v>
      </c>
      <c r="P82" s="329">
        <f t="shared" si="99"/>
        <v>0</v>
      </c>
      <c r="Q82" s="329">
        <f t="shared" si="99"/>
        <v>0</v>
      </c>
      <c r="R82" s="330">
        <f t="shared" si="99"/>
        <v>0</v>
      </c>
      <c r="S82" s="331">
        <f t="shared" si="99"/>
        <v>0</v>
      </c>
      <c r="T82" s="331">
        <f t="shared" si="99"/>
        <v>0</v>
      </c>
      <c r="U82" s="331">
        <f t="shared" si="99"/>
        <v>0</v>
      </c>
      <c r="V82" s="331">
        <f t="shared" si="99"/>
        <v>0</v>
      </c>
      <c r="W82" s="331">
        <f t="shared" si="99"/>
        <v>0</v>
      </c>
      <c r="X82" s="331">
        <f t="shared" si="99"/>
        <v>0</v>
      </c>
      <c r="Y82" s="331">
        <f t="shared" si="99"/>
        <v>0</v>
      </c>
      <c r="Z82" s="331">
        <f t="shared" si="99"/>
        <v>0</v>
      </c>
      <c r="AA82" s="331">
        <f t="shared" si="99"/>
        <v>0</v>
      </c>
      <c r="AB82" s="331">
        <f t="shared" si="99"/>
        <v>0</v>
      </c>
      <c r="AC82" s="331">
        <f t="shared" si="99"/>
        <v>0</v>
      </c>
      <c r="AD82" s="331">
        <f t="shared" si="99"/>
        <v>0</v>
      </c>
      <c r="AE82" s="331">
        <f t="shared" si="99"/>
        <v>0</v>
      </c>
      <c r="AF82" s="331">
        <f t="shared" si="99"/>
        <v>0</v>
      </c>
      <c r="AG82" s="369">
        <f t="shared" si="99"/>
        <v>0</v>
      </c>
      <c r="AH82" s="369">
        <f t="shared" si="99"/>
        <v>0</v>
      </c>
      <c r="AI82" s="369">
        <f t="shared" si="99"/>
        <v>0</v>
      </c>
      <c r="AJ82" s="369">
        <f t="shared" si="99"/>
        <v>0</v>
      </c>
      <c r="AK82" s="369">
        <f t="shared" si="99"/>
        <v>0</v>
      </c>
      <c r="AL82" s="369">
        <f t="shared" si="99"/>
        <v>0</v>
      </c>
      <c r="AM82" s="369">
        <f t="shared" si="99"/>
        <v>0</v>
      </c>
      <c r="AN82" s="366">
        <f t="shared" si="99"/>
        <v>0</v>
      </c>
      <c r="AO82" s="327">
        <f t="shared" si="99"/>
        <v>0</v>
      </c>
      <c r="AP82" s="331">
        <f t="shared" si="99"/>
        <v>0</v>
      </c>
      <c r="AQ82" s="331">
        <f t="shared" si="99"/>
        <v>0</v>
      </c>
      <c r="AR82" s="331">
        <f t="shared" si="99"/>
        <v>0</v>
      </c>
      <c r="AS82" s="331">
        <f t="shared" si="99"/>
        <v>0</v>
      </c>
      <c r="AT82" s="331">
        <f t="shared" si="99"/>
        <v>0</v>
      </c>
      <c r="AU82" s="331">
        <f t="shared" si="99"/>
        <v>0</v>
      </c>
      <c r="AV82" s="369">
        <f t="shared" si="99"/>
        <v>0</v>
      </c>
      <c r="AW82" s="369">
        <f t="shared" si="99"/>
        <v>0</v>
      </c>
      <c r="AX82" s="402">
        <f t="shared" si="99"/>
        <v>0</v>
      </c>
    </row>
    <row r="83" spans="4:50" x14ac:dyDescent="0.2">
      <c r="D83" s="16"/>
      <c r="E83" s="12"/>
      <c r="F83" s="16"/>
      <c r="G83" s="36"/>
      <c r="H83" s="2">
        <v>3141</v>
      </c>
      <c r="I83" s="327">
        <f t="shared" ref="I83:AX83" si="100">SUMIF($F$12:$F$426,"=3141",I$12:I$426)</f>
        <v>11401944</v>
      </c>
      <c r="J83" s="328">
        <f t="shared" si="100"/>
        <v>8299520</v>
      </c>
      <c r="K83" s="328">
        <f t="shared" si="100"/>
        <v>40400</v>
      </c>
      <c r="L83" s="328">
        <f t="shared" si="100"/>
        <v>0</v>
      </c>
      <c r="M83" s="328">
        <f t="shared" si="100"/>
        <v>2818892</v>
      </c>
      <c r="N83" s="328">
        <f t="shared" si="100"/>
        <v>165992</v>
      </c>
      <c r="O83" s="328">
        <f t="shared" si="100"/>
        <v>77140</v>
      </c>
      <c r="P83" s="329">
        <f t="shared" si="100"/>
        <v>28.349999999999998</v>
      </c>
      <c r="Q83" s="329">
        <f t="shared" si="100"/>
        <v>0</v>
      </c>
      <c r="R83" s="330">
        <f t="shared" si="100"/>
        <v>28.349999999999998</v>
      </c>
      <c r="S83" s="331">
        <f t="shared" si="100"/>
        <v>0</v>
      </c>
      <c r="T83" s="331">
        <f t="shared" si="100"/>
        <v>0</v>
      </c>
      <c r="U83" s="331">
        <f t="shared" si="100"/>
        <v>0</v>
      </c>
      <c r="V83" s="331">
        <f t="shared" si="100"/>
        <v>0</v>
      </c>
      <c r="W83" s="331">
        <f t="shared" si="100"/>
        <v>0</v>
      </c>
      <c r="X83" s="331">
        <f t="shared" si="100"/>
        <v>0</v>
      </c>
      <c r="Y83" s="331">
        <f t="shared" si="100"/>
        <v>0</v>
      </c>
      <c r="Z83" s="331">
        <f t="shared" si="100"/>
        <v>0</v>
      </c>
      <c r="AA83" s="331">
        <f t="shared" si="100"/>
        <v>0</v>
      </c>
      <c r="AB83" s="331">
        <f t="shared" si="100"/>
        <v>0</v>
      </c>
      <c r="AC83" s="331">
        <f t="shared" si="100"/>
        <v>0</v>
      </c>
      <c r="AD83" s="331">
        <f t="shared" si="100"/>
        <v>0</v>
      </c>
      <c r="AE83" s="331">
        <f t="shared" si="100"/>
        <v>0</v>
      </c>
      <c r="AF83" s="331">
        <f t="shared" si="100"/>
        <v>0</v>
      </c>
      <c r="AG83" s="369">
        <f t="shared" si="100"/>
        <v>0</v>
      </c>
      <c r="AH83" s="369">
        <f t="shared" si="100"/>
        <v>0</v>
      </c>
      <c r="AI83" s="369">
        <f t="shared" si="100"/>
        <v>0</v>
      </c>
      <c r="AJ83" s="369">
        <f t="shared" si="100"/>
        <v>0</v>
      </c>
      <c r="AK83" s="369">
        <f t="shared" si="100"/>
        <v>0</v>
      </c>
      <c r="AL83" s="369">
        <f t="shared" si="100"/>
        <v>0</v>
      </c>
      <c r="AM83" s="369">
        <f t="shared" si="100"/>
        <v>0</v>
      </c>
      <c r="AN83" s="366">
        <f t="shared" si="100"/>
        <v>0</v>
      </c>
      <c r="AO83" s="327">
        <f t="shared" si="100"/>
        <v>11401944</v>
      </c>
      <c r="AP83" s="331">
        <f t="shared" si="100"/>
        <v>8299520</v>
      </c>
      <c r="AQ83" s="331">
        <f t="shared" si="100"/>
        <v>40400</v>
      </c>
      <c r="AR83" s="331">
        <f t="shared" si="100"/>
        <v>0</v>
      </c>
      <c r="AS83" s="331">
        <f t="shared" si="100"/>
        <v>2818892</v>
      </c>
      <c r="AT83" s="331">
        <f t="shared" si="100"/>
        <v>165992</v>
      </c>
      <c r="AU83" s="331">
        <f t="shared" si="100"/>
        <v>77140</v>
      </c>
      <c r="AV83" s="369">
        <f t="shared" si="100"/>
        <v>28.349999999999998</v>
      </c>
      <c r="AW83" s="369">
        <f t="shared" si="100"/>
        <v>0</v>
      </c>
      <c r="AX83" s="402">
        <f t="shared" si="100"/>
        <v>28.349999999999998</v>
      </c>
    </row>
    <row r="84" spans="4:50" x14ac:dyDescent="0.2">
      <c r="D84" s="16"/>
      <c r="E84" s="12"/>
      <c r="F84" s="16"/>
      <c r="G84" s="36"/>
      <c r="H84" s="2">
        <v>3143</v>
      </c>
      <c r="I84" s="327">
        <f t="shared" ref="I84:AX84" si="101">SUMIF($F$12:$F$426,"=3143",I$12:I$426)</f>
        <v>5783618</v>
      </c>
      <c r="J84" s="328">
        <f t="shared" si="101"/>
        <v>4236944</v>
      </c>
      <c r="K84" s="328">
        <f t="shared" si="101"/>
        <v>16500</v>
      </c>
      <c r="L84" s="328">
        <f t="shared" si="101"/>
        <v>0</v>
      </c>
      <c r="M84" s="328">
        <f t="shared" si="101"/>
        <v>1437665</v>
      </c>
      <c r="N84" s="328">
        <f t="shared" si="101"/>
        <v>84739</v>
      </c>
      <c r="O84" s="328">
        <f t="shared" si="101"/>
        <v>7770</v>
      </c>
      <c r="P84" s="329">
        <f t="shared" si="101"/>
        <v>9.7510999999999974</v>
      </c>
      <c r="Q84" s="329">
        <f t="shared" si="101"/>
        <v>9.2111000000000001</v>
      </c>
      <c r="R84" s="330">
        <f t="shared" si="101"/>
        <v>0.54</v>
      </c>
      <c r="S84" s="331">
        <f t="shared" si="101"/>
        <v>0</v>
      </c>
      <c r="T84" s="331">
        <f t="shared" si="101"/>
        <v>0</v>
      </c>
      <c r="U84" s="331">
        <f t="shared" si="101"/>
        <v>0</v>
      </c>
      <c r="V84" s="331">
        <f t="shared" si="101"/>
        <v>0</v>
      </c>
      <c r="W84" s="331">
        <f t="shared" si="101"/>
        <v>0</v>
      </c>
      <c r="X84" s="331">
        <f t="shared" si="101"/>
        <v>0</v>
      </c>
      <c r="Y84" s="331">
        <f t="shared" si="101"/>
        <v>0</v>
      </c>
      <c r="Z84" s="331">
        <f t="shared" si="101"/>
        <v>0</v>
      </c>
      <c r="AA84" s="331">
        <f t="shared" si="101"/>
        <v>0</v>
      </c>
      <c r="AB84" s="331">
        <f t="shared" si="101"/>
        <v>0</v>
      </c>
      <c r="AC84" s="331">
        <f t="shared" si="101"/>
        <v>0</v>
      </c>
      <c r="AD84" s="331">
        <f t="shared" si="101"/>
        <v>0</v>
      </c>
      <c r="AE84" s="331">
        <f t="shared" si="101"/>
        <v>0</v>
      </c>
      <c r="AF84" s="331">
        <f t="shared" si="101"/>
        <v>0</v>
      </c>
      <c r="AG84" s="369">
        <f t="shared" si="101"/>
        <v>0</v>
      </c>
      <c r="AH84" s="369">
        <f t="shared" si="101"/>
        <v>0</v>
      </c>
      <c r="AI84" s="369">
        <f t="shared" si="101"/>
        <v>0</v>
      </c>
      <c r="AJ84" s="369">
        <f t="shared" si="101"/>
        <v>0</v>
      </c>
      <c r="AK84" s="369">
        <f t="shared" si="101"/>
        <v>0</v>
      </c>
      <c r="AL84" s="369">
        <f t="shared" si="101"/>
        <v>0</v>
      </c>
      <c r="AM84" s="369">
        <f t="shared" si="101"/>
        <v>0</v>
      </c>
      <c r="AN84" s="366">
        <f t="shared" si="101"/>
        <v>0</v>
      </c>
      <c r="AO84" s="327">
        <f t="shared" si="101"/>
        <v>5783618</v>
      </c>
      <c r="AP84" s="331">
        <f t="shared" si="101"/>
        <v>4236944</v>
      </c>
      <c r="AQ84" s="331">
        <f t="shared" si="101"/>
        <v>16500</v>
      </c>
      <c r="AR84" s="331">
        <f t="shared" si="101"/>
        <v>0</v>
      </c>
      <c r="AS84" s="331">
        <f t="shared" si="101"/>
        <v>1437665</v>
      </c>
      <c r="AT84" s="331">
        <f t="shared" si="101"/>
        <v>84739</v>
      </c>
      <c r="AU84" s="331">
        <f t="shared" si="101"/>
        <v>7770</v>
      </c>
      <c r="AV84" s="369">
        <f t="shared" si="101"/>
        <v>9.7510999999999974</v>
      </c>
      <c r="AW84" s="369">
        <f t="shared" si="101"/>
        <v>9.2111000000000001</v>
      </c>
      <c r="AX84" s="402">
        <f t="shared" si="101"/>
        <v>0.54</v>
      </c>
    </row>
    <row r="85" spans="4:50" x14ac:dyDescent="0.2">
      <c r="D85" s="16"/>
      <c r="E85" s="12"/>
      <c r="F85" s="16"/>
      <c r="G85" s="36"/>
      <c r="H85" s="2">
        <v>3231</v>
      </c>
      <c r="I85" s="327">
        <f t="shared" ref="I85:AX85" si="102">SUMIF($F$12:$F$426,"=3231",I$12:I$426)</f>
        <v>9988592</v>
      </c>
      <c r="J85" s="328">
        <f t="shared" si="102"/>
        <v>7323312</v>
      </c>
      <c r="K85" s="328">
        <f t="shared" si="102"/>
        <v>7500</v>
      </c>
      <c r="L85" s="328">
        <f t="shared" si="102"/>
        <v>0</v>
      </c>
      <c r="M85" s="328">
        <f t="shared" si="102"/>
        <v>2477814</v>
      </c>
      <c r="N85" s="328">
        <f t="shared" si="102"/>
        <v>146466</v>
      </c>
      <c r="O85" s="328">
        <f t="shared" si="102"/>
        <v>33500</v>
      </c>
      <c r="P85" s="329">
        <f t="shared" si="102"/>
        <v>14.382699999999998</v>
      </c>
      <c r="Q85" s="329">
        <f t="shared" si="102"/>
        <v>12.792799999999998</v>
      </c>
      <c r="R85" s="330">
        <f t="shared" si="102"/>
        <v>1.5899000000000001</v>
      </c>
      <c r="S85" s="331">
        <f t="shared" si="102"/>
        <v>-10000</v>
      </c>
      <c r="T85" s="331">
        <f t="shared" si="102"/>
        <v>0</v>
      </c>
      <c r="U85" s="331">
        <f t="shared" si="102"/>
        <v>-7364</v>
      </c>
      <c r="V85" s="331">
        <f t="shared" si="102"/>
        <v>-17364</v>
      </c>
      <c r="W85" s="331">
        <f t="shared" si="102"/>
        <v>10000</v>
      </c>
      <c r="X85" s="331">
        <f t="shared" si="102"/>
        <v>0</v>
      </c>
      <c r="Y85" s="331">
        <f t="shared" si="102"/>
        <v>10000</v>
      </c>
      <c r="Z85" s="331">
        <f t="shared" si="102"/>
        <v>-7364</v>
      </c>
      <c r="AA85" s="331">
        <f t="shared" si="102"/>
        <v>-2489</v>
      </c>
      <c r="AB85" s="331">
        <f t="shared" si="102"/>
        <v>-347</v>
      </c>
      <c r="AC85" s="331">
        <f t="shared" si="102"/>
        <v>0</v>
      </c>
      <c r="AD85" s="331">
        <f t="shared" si="102"/>
        <v>10000</v>
      </c>
      <c r="AE85" s="331">
        <f t="shared" si="102"/>
        <v>10000</v>
      </c>
      <c r="AF85" s="331">
        <f t="shared" si="102"/>
        <v>-200</v>
      </c>
      <c r="AG85" s="369">
        <f t="shared" si="102"/>
        <v>0</v>
      </c>
      <c r="AH85" s="369">
        <f t="shared" si="102"/>
        <v>0</v>
      </c>
      <c r="AI85" s="369">
        <f t="shared" si="102"/>
        <v>0</v>
      </c>
      <c r="AJ85" s="369">
        <f t="shared" si="102"/>
        <v>0</v>
      </c>
      <c r="AK85" s="369">
        <f t="shared" si="102"/>
        <v>0</v>
      </c>
      <c r="AL85" s="369">
        <f t="shared" si="102"/>
        <v>0</v>
      </c>
      <c r="AM85" s="369">
        <f t="shared" si="102"/>
        <v>0</v>
      </c>
      <c r="AN85" s="366">
        <f t="shared" si="102"/>
        <v>0</v>
      </c>
      <c r="AO85" s="327">
        <f t="shared" si="102"/>
        <v>9988392</v>
      </c>
      <c r="AP85" s="331">
        <f t="shared" si="102"/>
        <v>7305948</v>
      </c>
      <c r="AQ85" s="331">
        <f t="shared" si="102"/>
        <v>17500</v>
      </c>
      <c r="AR85" s="331">
        <f t="shared" si="102"/>
        <v>0</v>
      </c>
      <c r="AS85" s="331">
        <f t="shared" si="102"/>
        <v>2475325</v>
      </c>
      <c r="AT85" s="331">
        <f t="shared" si="102"/>
        <v>146119</v>
      </c>
      <c r="AU85" s="331">
        <f t="shared" si="102"/>
        <v>43500</v>
      </c>
      <c r="AV85" s="369">
        <f t="shared" si="102"/>
        <v>14.382699999999998</v>
      </c>
      <c r="AW85" s="369">
        <f t="shared" si="102"/>
        <v>12.792799999999998</v>
      </c>
      <c r="AX85" s="402">
        <f t="shared" si="102"/>
        <v>1.5899000000000001</v>
      </c>
    </row>
    <row r="86" spans="4:50" ht="13.5" thickBot="1" x14ac:dyDescent="0.25">
      <c r="D86" s="16"/>
      <c r="E86" s="12"/>
      <c r="F86" s="16"/>
      <c r="G86" s="36"/>
      <c r="H86" s="265">
        <v>3233</v>
      </c>
      <c r="I86" s="333">
        <f t="shared" ref="I86:AX86" si="103">SUMIF($F$12:$F$426,"=3233",I$12:I$426)</f>
        <v>2174626</v>
      </c>
      <c r="J86" s="334">
        <f t="shared" si="103"/>
        <v>1393097</v>
      </c>
      <c r="K86" s="334">
        <f t="shared" si="103"/>
        <v>200000</v>
      </c>
      <c r="L86" s="334">
        <f t="shared" si="103"/>
        <v>0</v>
      </c>
      <c r="M86" s="334">
        <f t="shared" si="103"/>
        <v>538467</v>
      </c>
      <c r="N86" s="334">
        <f t="shared" si="103"/>
        <v>27862</v>
      </c>
      <c r="O86" s="334">
        <f t="shared" si="103"/>
        <v>15200</v>
      </c>
      <c r="P86" s="335">
        <f t="shared" si="103"/>
        <v>3.15</v>
      </c>
      <c r="Q86" s="335">
        <f t="shared" si="103"/>
        <v>2.2599999999999998</v>
      </c>
      <c r="R86" s="336">
        <f t="shared" si="103"/>
        <v>0.89</v>
      </c>
      <c r="S86" s="337">
        <f t="shared" si="103"/>
        <v>0</v>
      </c>
      <c r="T86" s="337">
        <f t="shared" si="103"/>
        <v>0</v>
      </c>
      <c r="U86" s="337">
        <f t="shared" si="103"/>
        <v>0</v>
      </c>
      <c r="V86" s="337">
        <f t="shared" si="103"/>
        <v>0</v>
      </c>
      <c r="W86" s="337">
        <f t="shared" si="103"/>
        <v>0</v>
      </c>
      <c r="X86" s="337">
        <f t="shared" si="103"/>
        <v>0</v>
      </c>
      <c r="Y86" s="337">
        <f t="shared" si="103"/>
        <v>0</v>
      </c>
      <c r="Z86" s="337">
        <f t="shared" si="103"/>
        <v>0</v>
      </c>
      <c r="AA86" s="337">
        <f t="shared" si="103"/>
        <v>0</v>
      </c>
      <c r="AB86" s="337">
        <f t="shared" si="103"/>
        <v>0</v>
      </c>
      <c r="AC86" s="337">
        <f t="shared" si="103"/>
        <v>0</v>
      </c>
      <c r="AD86" s="337">
        <f t="shared" si="103"/>
        <v>0</v>
      </c>
      <c r="AE86" s="337">
        <f t="shared" si="103"/>
        <v>0</v>
      </c>
      <c r="AF86" s="337">
        <f t="shared" si="103"/>
        <v>0</v>
      </c>
      <c r="AG86" s="370">
        <f t="shared" si="103"/>
        <v>0</v>
      </c>
      <c r="AH86" s="370">
        <f t="shared" si="103"/>
        <v>0</v>
      </c>
      <c r="AI86" s="370">
        <f t="shared" si="103"/>
        <v>0</v>
      </c>
      <c r="AJ86" s="370">
        <f t="shared" si="103"/>
        <v>0</v>
      </c>
      <c r="AK86" s="370">
        <f t="shared" si="103"/>
        <v>0</v>
      </c>
      <c r="AL86" s="370">
        <f t="shared" si="103"/>
        <v>0</v>
      </c>
      <c r="AM86" s="370">
        <f t="shared" si="103"/>
        <v>0</v>
      </c>
      <c r="AN86" s="367">
        <f t="shared" si="103"/>
        <v>0</v>
      </c>
      <c r="AO86" s="333">
        <f t="shared" si="103"/>
        <v>2174626</v>
      </c>
      <c r="AP86" s="337">
        <f t="shared" si="103"/>
        <v>1393097</v>
      </c>
      <c r="AQ86" s="337">
        <f t="shared" si="103"/>
        <v>200000</v>
      </c>
      <c r="AR86" s="337">
        <f t="shared" si="103"/>
        <v>0</v>
      </c>
      <c r="AS86" s="337">
        <f t="shared" si="103"/>
        <v>538467</v>
      </c>
      <c r="AT86" s="337">
        <f t="shared" si="103"/>
        <v>27862</v>
      </c>
      <c r="AU86" s="337">
        <f t="shared" si="103"/>
        <v>15200</v>
      </c>
      <c r="AV86" s="370">
        <f t="shared" si="103"/>
        <v>3.15</v>
      </c>
      <c r="AW86" s="370">
        <f t="shared" si="103"/>
        <v>2.2599999999999998</v>
      </c>
      <c r="AX86" s="403">
        <f t="shared" si="103"/>
        <v>0.89</v>
      </c>
    </row>
    <row r="87" spans="4:50" x14ac:dyDescent="0.2">
      <c r="D87" s="12"/>
      <c r="E87" s="12"/>
      <c r="F87" s="12"/>
      <c r="G87" s="36"/>
      <c r="H87" s="12"/>
      <c r="I87" s="26"/>
      <c r="J87" s="26"/>
      <c r="K87" s="26"/>
      <c r="L87" s="26"/>
      <c r="M87" s="26"/>
      <c r="N87" s="26"/>
      <c r="O87" s="26"/>
      <c r="P87" s="7"/>
      <c r="Q87" s="7"/>
      <c r="R87" s="7"/>
    </row>
    <row r="89" spans="4:50" x14ac:dyDescent="0.2">
      <c r="I89" s="738"/>
      <c r="J89" s="738"/>
      <c r="K89" s="738"/>
      <c r="L89" s="738"/>
      <c r="M89" s="738"/>
      <c r="N89" s="738"/>
      <c r="O89" s="738"/>
      <c r="P89" s="738"/>
      <c r="Q89" s="738"/>
      <c r="R89" s="738"/>
      <c r="S89" s="738"/>
    </row>
    <row r="91" spans="4:50" x14ac:dyDescent="0.2">
      <c r="P91" s="15"/>
      <c r="Q91" s="15"/>
      <c r="R91" s="15"/>
    </row>
  </sheetData>
  <mergeCells count="24">
    <mergeCell ref="Z7:Z10"/>
    <mergeCell ref="AO8:AO10"/>
    <mergeCell ref="AP8:AU9"/>
    <mergeCell ref="AV8:AV10"/>
    <mergeCell ref="AG8:AH9"/>
    <mergeCell ref="AI8:AI9"/>
    <mergeCell ref="AJ8:AK9"/>
    <mergeCell ref="AL8:AN9"/>
    <mergeCell ref="AW8:AX9"/>
    <mergeCell ref="A3:E3"/>
    <mergeCell ref="I8:I10"/>
    <mergeCell ref="AA7:AA10"/>
    <mergeCell ref="I6:R7"/>
    <mergeCell ref="S6:AN6"/>
    <mergeCell ref="AO6:AX7"/>
    <mergeCell ref="S7:V9"/>
    <mergeCell ref="W7:Y9"/>
    <mergeCell ref="AB7:AB10"/>
    <mergeCell ref="AC7:AE9"/>
    <mergeCell ref="AF7:AF10"/>
    <mergeCell ref="AG7:AN7"/>
    <mergeCell ref="J8:O9"/>
    <mergeCell ref="P8:P10"/>
    <mergeCell ref="Q8:R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320"/>
  <sheetViews>
    <sheetView workbookViewId="0">
      <pane xSplit="8" ySplit="11" topLeftCell="AI198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RowHeight="12.75" x14ac:dyDescent="0.2"/>
  <cols>
    <col min="1" max="1" width="5" style="738" customWidth="1"/>
    <col min="2" max="2" width="5.7109375" style="738" bestFit="1" customWidth="1"/>
    <col min="3" max="3" width="8.7109375" style="738" bestFit="1" customWidth="1"/>
    <col min="4" max="4" width="7.85546875" style="738" bestFit="1" customWidth="1"/>
    <col min="5" max="5" width="28.140625" style="738" customWidth="1"/>
    <col min="6" max="6" width="4.42578125" style="738" bestFit="1" customWidth="1"/>
    <col min="7" max="7" width="10.28515625" style="78" bestFit="1" customWidth="1"/>
    <col min="8" max="8" width="8" style="738" customWidth="1"/>
    <col min="9" max="9" width="11.42578125" style="15" customWidth="1"/>
    <col min="10" max="10" width="11.85546875" style="15" customWidth="1"/>
    <col min="11" max="12" width="11.42578125" style="15" customWidth="1"/>
    <col min="13" max="13" width="11.28515625" style="15" customWidth="1"/>
    <col min="14" max="14" width="11.42578125" style="15" customWidth="1"/>
    <col min="15" max="15" width="11" style="15" customWidth="1"/>
    <col min="16" max="16" width="11.42578125" style="14" customWidth="1"/>
    <col min="17" max="18" width="9.28515625" style="14" customWidth="1"/>
    <col min="19" max="19" width="9.140625" style="15" customWidth="1"/>
    <col min="20" max="20" width="9.140625" style="738" customWidth="1"/>
    <col min="21" max="21" width="9.7109375" style="738" customWidth="1"/>
    <col min="22" max="22" width="10" style="738" customWidth="1"/>
    <col min="23" max="25" width="9.140625" style="738" customWidth="1"/>
    <col min="26" max="26" width="9.7109375" style="738" customWidth="1"/>
    <col min="27" max="32" width="9.140625" style="738" customWidth="1"/>
    <col min="33" max="40" width="9.140625" style="14" customWidth="1"/>
    <col min="41" max="41" width="10.42578125" style="738" customWidth="1"/>
    <col min="42" max="42" width="10.140625" style="738" customWidth="1"/>
    <col min="43" max="43" width="9.140625" style="738" customWidth="1"/>
    <col min="44" max="44" width="10.28515625" style="738" customWidth="1"/>
    <col min="45" max="45" width="10" style="738" customWidth="1"/>
    <col min="46" max="47" width="9.140625" style="738"/>
    <col min="48" max="48" width="11.85546875" style="14" customWidth="1"/>
    <col min="49" max="50" width="9.140625" style="14"/>
    <col min="51" max="216" width="9.140625" style="738"/>
    <col min="217" max="217" width="6.85546875" style="738" customWidth="1"/>
    <col min="218" max="218" width="29.85546875" style="738" customWidth="1"/>
    <col min="219" max="219" width="6.7109375" style="738" customWidth="1"/>
    <col min="220" max="220" width="32.28515625" style="738" customWidth="1"/>
    <col min="221" max="221" width="10.85546875" style="738" customWidth="1"/>
    <col min="222" max="222" width="11.7109375" style="738" customWidth="1"/>
    <col min="223" max="223" width="10.85546875" style="738" customWidth="1"/>
    <col min="224" max="224" width="10.5703125" style="738" customWidth="1"/>
    <col min="225" max="225" width="9.140625" style="738"/>
    <col min="226" max="226" width="10.85546875" style="738" customWidth="1"/>
    <col min="227" max="228" width="9.140625" style="738"/>
    <col min="229" max="229" width="12" style="738" customWidth="1"/>
    <col min="230" max="472" width="9.140625" style="738"/>
    <col min="473" max="473" width="6.85546875" style="738" customWidth="1"/>
    <col min="474" max="474" width="29.85546875" style="738" customWidth="1"/>
    <col min="475" max="475" width="6.7109375" style="738" customWidth="1"/>
    <col min="476" max="476" width="32.28515625" style="738" customWidth="1"/>
    <col min="477" max="477" width="10.85546875" style="738" customWidth="1"/>
    <col min="478" max="478" width="11.7109375" style="738" customWidth="1"/>
    <col min="479" max="479" width="10.85546875" style="738" customWidth="1"/>
    <col min="480" max="480" width="10.5703125" style="738" customWidth="1"/>
    <col min="481" max="481" width="9.140625" style="738"/>
    <col min="482" max="482" width="10.85546875" style="738" customWidth="1"/>
    <col min="483" max="484" width="9.140625" style="738"/>
    <col min="485" max="485" width="12" style="738" customWidth="1"/>
    <col min="486" max="728" width="9.140625" style="738"/>
    <col min="729" max="729" width="6.85546875" style="738" customWidth="1"/>
    <col min="730" max="730" width="29.85546875" style="738" customWidth="1"/>
    <col min="731" max="731" width="6.7109375" style="738" customWidth="1"/>
    <col min="732" max="732" width="32.28515625" style="738" customWidth="1"/>
    <col min="733" max="733" width="10.85546875" style="738" customWidth="1"/>
    <col min="734" max="734" width="11.7109375" style="738" customWidth="1"/>
    <col min="735" max="735" width="10.85546875" style="738" customWidth="1"/>
    <col min="736" max="736" width="10.5703125" style="738" customWidth="1"/>
    <col min="737" max="737" width="9.140625" style="738"/>
    <col min="738" max="738" width="10.85546875" style="738" customWidth="1"/>
    <col min="739" max="740" width="9.140625" style="738"/>
    <col min="741" max="741" width="12" style="738" customWidth="1"/>
    <col min="742" max="984" width="9.140625" style="738"/>
    <col min="985" max="985" width="6.85546875" style="738" customWidth="1"/>
    <col min="986" max="986" width="29.85546875" style="738" customWidth="1"/>
    <col min="987" max="987" width="6.7109375" style="738" customWidth="1"/>
    <col min="988" max="988" width="32.28515625" style="738" customWidth="1"/>
    <col min="989" max="989" width="10.85546875" style="738" customWidth="1"/>
    <col min="990" max="990" width="11.7109375" style="738" customWidth="1"/>
    <col min="991" max="991" width="10.85546875" style="738" customWidth="1"/>
    <col min="992" max="992" width="10.5703125" style="738" customWidth="1"/>
    <col min="993" max="993" width="9.140625" style="738"/>
    <col min="994" max="994" width="10.85546875" style="738" customWidth="1"/>
    <col min="995" max="996" width="9.140625" style="738"/>
    <col min="997" max="997" width="12" style="738" customWidth="1"/>
    <col min="998" max="1240" width="9.140625" style="738"/>
    <col min="1241" max="1241" width="6.85546875" style="738" customWidth="1"/>
    <col min="1242" max="1242" width="29.85546875" style="738" customWidth="1"/>
    <col min="1243" max="1243" width="6.7109375" style="738" customWidth="1"/>
    <col min="1244" max="1244" width="32.28515625" style="738" customWidth="1"/>
    <col min="1245" max="1245" width="10.85546875" style="738" customWidth="1"/>
    <col min="1246" max="1246" width="11.7109375" style="738" customWidth="1"/>
    <col min="1247" max="1247" width="10.85546875" style="738" customWidth="1"/>
    <col min="1248" max="1248" width="10.5703125" style="738" customWidth="1"/>
    <col min="1249" max="1249" width="9.140625" style="738"/>
    <col min="1250" max="1250" width="10.85546875" style="738" customWidth="1"/>
    <col min="1251" max="1252" width="9.140625" style="738"/>
    <col min="1253" max="1253" width="12" style="738" customWidth="1"/>
    <col min="1254" max="1496" width="9.140625" style="738"/>
    <col min="1497" max="1497" width="6.85546875" style="738" customWidth="1"/>
    <col min="1498" max="1498" width="29.85546875" style="738" customWidth="1"/>
    <col min="1499" max="1499" width="6.7109375" style="738" customWidth="1"/>
    <col min="1500" max="1500" width="32.28515625" style="738" customWidth="1"/>
    <col min="1501" max="1501" width="10.85546875" style="738" customWidth="1"/>
    <col min="1502" max="1502" width="11.7109375" style="738" customWidth="1"/>
    <col min="1503" max="1503" width="10.85546875" style="738" customWidth="1"/>
    <col min="1504" max="1504" width="10.5703125" style="738" customWidth="1"/>
    <col min="1505" max="1505" width="9.140625" style="738"/>
    <col min="1506" max="1506" width="10.85546875" style="738" customWidth="1"/>
    <col min="1507" max="1508" width="9.140625" style="738"/>
    <col min="1509" max="1509" width="12" style="738" customWidth="1"/>
    <col min="1510" max="1752" width="9.140625" style="738"/>
    <col min="1753" max="1753" width="6.85546875" style="738" customWidth="1"/>
    <col min="1754" max="1754" width="29.85546875" style="738" customWidth="1"/>
    <col min="1755" max="1755" width="6.7109375" style="738" customWidth="1"/>
    <col min="1756" max="1756" width="32.28515625" style="738" customWidth="1"/>
    <col min="1757" max="1757" width="10.85546875" style="738" customWidth="1"/>
    <col min="1758" max="1758" width="11.7109375" style="738" customWidth="1"/>
    <col min="1759" max="1759" width="10.85546875" style="738" customWidth="1"/>
    <col min="1760" max="1760" width="10.5703125" style="738" customWidth="1"/>
    <col min="1761" max="1761" width="9.140625" style="738"/>
    <col min="1762" max="1762" width="10.85546875" style="738" customWidth="1"/>
    <col min="1763" max="1764" width="9.140625" style="738"/>
    <col min="1765" max="1765" width="12" style="738" customWidth="1"/>
    <col min="1766" max="2008" width="9.140625" style="738"/>
    <col min="2009" max="2009" width="6.85546875" style="738" customWidth="1"/>
    <col min="2010" max="2010" width="29.85546875" style="738" customWidth="1"/>
    <col min="2011" max="2011" width="6.7109375" style="738" customWidth="1"/>
    <col min="2012" max="2012" width="32.28515625" style="738" customWidth="1"/>
    <col min="2013" max="2013" width="10.85546875" style="738" customWidth="1"/>
    <col min="2014" max="2014" width="11.7109375" style="738" customWidth="1"/>
    <col min="2015" max="2015" width="10.85546875" style="738" customWidth="1"/>
    <col min="2016" max="2016" width="10.5703125" style="738" customWidth="1"/>
    <col min="2017" max="2017" width="9.140625" style="738"/>
    <col min="2018" max="2018" width="10.85546875" style="738" customWidth="1"/>
    <col min="2019" max="2020" width="9.140625" style="738"/>
    <col min="2021" max="2021" width="12" style="738" customWidth="1"/>
    <col min="2022" max="2264" width="9.140625" style="738"/>
    <col min="2265" max="2265" width="6.85546875" style="738" customWidth="1"/>
    <col min="2266" max="2266" width="29.85546875" style="738" customWidth="1"/>
    <col min="2267" max="2267" width="6.7109375" style="738" customWidth="1"/>
    <col min="2268" max="2268" width="32.28515625" style="738" customWidth="1"/>
    <col min="2269" max="2269" width="10.85546875" style="738" customWidth="1"/>
    <col min="2270" max="2270" width="11.7109375" style="738" customWidth="1"/>
    <col min="2271" max="2271" width="10.85546875" style="738" customWidth="1"/>
    <col min="2272" max="2272" width="10.5703125" style="738" customWidth="1"/>
    <col min="2273" max="2273" width="9.140625" style="738"/>
    <col min="2274" max="2274" width="10.85546875" style="738" customWidth="1"/>
    <col min="2275" max="2276" width="9.140625" style="738"/>
    <col min="2277" max="2277" width="12" style="738" customWidth="1"/>
    <col min="2278" max="2520" width="9.140625" style="738"/>
    <col min="2521" max="2521" width="6.85546875" style="738" customWidth="1"/>
    <col min="2522" max="2522" width="29.85546875" style="738" customWidth="1"/>
    <col min="2523" max="2523" width="6.7109375" style="738" customWidth="1"/>
    <col min="2524" max="2524" width="32.28515625" style="738" customWidth="1"/>
    <col min="2525" max="2525" width="10.85546875" style="738" customWidth="1"/>
    <col min="2526" max="2526" width="11.7109375" style="738" customWidth="1"/>
    <col min="2527" max="2527" width="10.85546875" style="738" customWidth="1"/>
    <col min="2528" max="2528" width="10.5703125" style="738" customWidth="1"/>
    <col min="2529" max="2529" width="9.140625" style="738"/>
    <col min="2530" max="2530" width="10.85546875" style="738" customWidth="1"/>
    <col min="2531" max="2532" width="9.140625" style="738"/>
    <col min="2533" max="2533" width="12" style="738" customWidth="1"/>
    <col min="2534" max="2776" width="9.140625" style="738"/>
    <col min="2777" max="2777" width="6.85546875" style="738" customWidth="1"/>
    <col min="2778" max="2778" width="29.85546875" style="738" customWidth="1"/>
    <col min="2779" max="2779" width="6.7109375" style="738" customWidth="1"/>
    <col min="2780" max="2780" width="32.28515625" style="738" customWidth="1"/>
    <col min="2781" max="2781" width="10.85546875" style="738" customWidth="1"/>
    <col min="2782" max="2782" width="11.7109375" style="738" customWidth="1"/>
    <col min="2783" max="2783" width="10.85546875" style="738" customWidth="1"/>
    <col min="2784" max="2784" width="10.5703125" style="738" customWidth="1"/>
    <col min="2785" max="2785" width="9.140625" style="738"/>
    <col min="2786" max="2786" width="10.85546875" style="738" customWidth="1"/>
    <col min="2787" max="2788" width="9.140625" style="738"/>
    <col min="2789" max="2789" width="12" style="738" customWidth="1"/>
    <col min="2790" max="3032" width="9.140625" style="738"/>
    <col min="3033" max="3033" width="6.85546875" style="738" customWidth="1"/>
    <col min="3034" max="3034" width="29.85546875" style="738" customWidth="1"/>
    <col min="3035" max="3035" width="6.7109375" style="738" customWidth="1"/>
    <col min="3036" max="3036" width="32.28515625" style="738" customWidth="1"/>
    <col min="3037" max="3037" width="10.85546875" style="738" customWidth="1"/>
    <col min="3038" max="3038" width="11.7109375" style="738" customWidth="1"/>
    <col min="3039" max="3039" width="10.85546875" style="738" customWidth="1"/>
    <col min="3040" max="3040" width="10.5703125" style="738" customWidth="1"/>
    <col min="3041" max="3041" width="9.140625" style="738"/>
    <col min="3042" max="3042" width="10.85546875" style="738" customWidth="1"/>
    <col min="3043" max="3044" width="9.140625" style="738"/>
    <col min="3045" max="3045" width="12" style="738" customWidth="1"/>
    <col min="3046" max="3288" width="9.140625" style="738"/>
    <col min="3289" max="3289" width="6.85546875" style="738" customWidth="1"/>
    <col min="3290" max="3290" width="29.85546875" style="738" customWidth="1"/>
    <col min="3291" max="3291" width="6.7109375" style="738" customWidth="1"/>
    <col min="3292" max="3292" width="32.28515625" style="738" customWidth="1"/>
    <col min="3293" max="3293" width="10.85546875" style="738" customWidth="1"/>
    <col min="3294" max="3294" width="11.7109375" style="738" customWidth="1"/>
    <col min="3295" max="3295" width="10.85546875" style="738" customWidth="1"/>
    <col min="3296" max="3296" width="10.5703125" style="738" customWidth="1"/>
    <col min="3297" max="3297" width="9.140625" style="738"/>
    <col min="3298" max="3298" width="10.85546875" style="738" customWidth="1"/>
    <col min="3299" max="3300" width="9.140625" style="738"/>
    <col min="3301" max="3301" width="12" style="738" customWidth="1"/>
    <col min="3302" max="3544" width="9.140625" style="738"/>
    <col min="3545" max="3545" width="6.85546875" style="738" customWidth="1"/>
    <col min="3546" max="3546" width="29.85546875" style="738" customWidth="1"/>
    <col min="3547" max="3547" width="6.7109375" style="738" customWidth="1"/>
    <col min="3548" max="3548" width="32.28515625" style="738" customWidth="1"/>
    <col min="3549" max="3549" width="10.85546875" style="738" customWidth="1"/>
    <col min="3550" max="3550" width="11.7109375" style="738" customWidth="1"/>
    <col min="3551" max="3551" width="10.85546875" style="738" customWidth="1"/>
    <col min="3552" max="3552" width="10.5703125" style="738" customWidth="1"/>
    <col min="3553" max="3553" width="9.140625" style="738"/>
    <col min="3554" max="3554" width="10.85546875" style="738" customWidth="1"/>
    <col min="3555" max="3556" width="9.140625" style="738"/>
    <col min="3557" max="3557" width="12" style="738" customWidth="1"/>
    <col min="3558" max="3800" width="9.140625" style="738"/>
    <col min="3801" max="3801" width="6.85546875" style="738" customWidth="1"/>
    <col min="3802" max="3802" width="29.85546875" style="738" customWidth="1"/>
    <col min="3803" max="3803" width="6.7109375" style="738" customWidth="1"/>
    <col min="3804" max="3804" width="32.28515625" style="738" customWidth="1"/>
    <col min="3805" max="3805" width="10.85546875" style="738" customWidth="1"/>
    <col min="3806" max="3806" width="11.7109375" style="738" customWidth="1"/>
    <col min="3807" max="3807" width="10.85546875" style="738" customWidth="1"/>
    <col min="3808" max="3808" width="10.5703125" style="738" customWidth="1"/>
    <col min="3809" max="3809" width="9.140625" style="738"/>
    <col min="3810" max="3810" width="10.85546875" style="738" customWidth="1"/>
    <col min="3811" max="3812" width="9.140625" style="738"/>
    <col min="3813" max="3813" width="12" style="738" customWidth="1"/>
    <col min="3814" max="4056" width="9.140625" style="738"/>
    <col min="4057" max="4057" width="6.85546875" style="738" customWidth="1"/>
    <col min="4058" max="4058" width="29.85546875" style="738" customWidth="1"/>
    <col min="4059" max="4059" width="6.7109375" style="738" customWidth="1"/>
    <col min="4060" max="4060" width="32.28515625" style="738" customWidth="1"/>
    <col min="4061" max="4061" width="10.85546875" style="738" customWidth="1"/>
    <col min="4062" max="4062" width="11.7109375" style="738" customWidth="1"/>
    <col min="4063" max="4063" width="10.85546875" style="738" customWidth="1"/>
    <col min="4064" max="4064" width="10.5703125" style="738" customWidth="1"/>
    <col min="4065" max="4065" width="9.140625" style="738"/>
    <col min="4066" max="4066" width="10.85546875" style="738" customWidth="1"/>
    <col min="4067" max="4068" width="9.140625" style="738"/>
    <col min="4069" max="4069" width="12" style="738" customWidth="1"/>
    <col min="4070" max="4312" width="9.140625" style="738"/>
    <col min="4313" max="4313" width="6.85546875" style="738" customWidth="1"/>
    <col min="4314" max="4314" width="29.85546875" style="738" customWidth="1"/>
    <col min="4315" max="4315" width="6.7109375" style="738" customWidth="1"/>
    <col min="4316" max="4316" width="32.28515625" style="738" customWidth="1"/>
    <col min="4317" max="4317" width="10.85546875" style="738" customWidth="1"/>
    <col min="4318" max="4318" width="11.7109375" style="738" customWidth="1"/>
    <col min="4319" max="4319" width="10.85546875" style="738" customWidth="1"/>
    <col min="4320" max="4320" width="10.5703125" style="738" customWidth="1"/>
    <col min="4321" max="4321" width="9.140625" style="738"/>
    <col min="4322" max="4322" width="10.85546875" style="738" customWidth="1"/>
    <col min="4323" max="4324" width="9.140625" style="738"/>
    <col min="4325" max="4325" width="12" style="738" customWidth="1"/>
    <col min="4326" max="4568" width="9.140625" style="738"/>
    <col min="4569" max="4569" width="6.85546875" style="738" customWidth="1"/>
    <col min="4570" max="4570" width="29.85546875" style="738" customWidth="1"/>
    <col min="4571" max="4571" width="6.7109375" style="738" customWidth="1"/>
    <col min="4572" max="4572" width="32.28515625" style="738" customWidth="1"/>
    <col min="4573" max="4573" width="10.85546875" style="738" customWidth="1"/>
    <col min="4574" max="4574" width="11.7109375" style="738" customWidth="1"/>
    <col min="4575" max="4575" width="10.85546875" style="738" customWidth="1"/>
    <col min="4576" max="4576" width="10.5703125" style="738" customWidth="1"/>
    <col min="4577" max="4577" width="9.140625" style="738"/>
    <col min="4578" max="4578" width="10.85546875" style="738" customWidth="1"/>
    <col min="4579" max="4580" width="9.140625" style="738"/>
    <col min="4581" max="4581" width="12" style="738" customWidth="1"/>
    <col min="4582" max="4824" width="9.140625" style="738"/>
    <col min="4825" max="4825" width="6.85546875" style="738" customWidth="1"/>
    <col min="4826" max="4826" width="29.85546875" style="738" customWidth="1"/>
    <col min="4827" max="4827" width="6.7109375" style="738" customWidth="1"/>
    <col min="4828" max="4828" width="32.28515625" style="738" customWidth="1"/>
    <col min="4829" max="4829" width="10.85546875" style="738" customWidth="1"/>
    <col min="4830" max="4830" width="11.7109375" style="738" customWidth="1"/>
    <col min="4831" max="4831" width="10.85546875" style="738" customWidth="1"/>
    <col min="4832" max="4832" width="10.5703125" style="738" customWidth="1"/>
    <col min="4833" max="4833" width="9.140625" style="738"/>
    <col min="4834" max="4834" width="10.85546875" style="738" customWidth="1"/>
    <col min="4835" max="4836" width="9.140625" style="738"/>
    <col min="4837" max="4837" width="12" style="738" customWidth="1"/>
    <col min="4838" max="5080" width="9.140625" style="738"/>
    <col min="5081" max="5081" width="6.85546875" style="738" customWidth="1"/>
    <col min="5082" max="5082" width="29.85546875" style="738" customWidth="1"/>
    <col min="5083" max="5083" width="6.7109375" style="738" customWidth="1"/>
    <col min="5084" max="5084" width="32.28515625" style="738" customWidth="1"/>
    <col min="5085" max="5085" width="10.85546875" style="738" customWidth="1"/>
    <col min="5086" max="5086" width="11.7109375" style="738" customWidth="1"/>
    <col min="5087" max="5087" width="10.85546875" style="738" customWidth="1"/>
    <col min="5088" max="5088" width="10.5703125" style="738" customWidth="1"/>
    <col min="5089" max="5089" width="9.140625" style="738"/>
    <col min="5090" max="5090" width="10.85546875" style="738" customWidth="1"/>
    <col min="5091" max="5092" width="9.140625" style="738"/>
    <col min="5093" max="5093" width="12" style="738" customWidth="1"/>
    <col min="5094" max="5336" width="9.140625" style="738"/>
    <col min="5337" max="5337" width="6.85546875" style="738" customWidth="1"/>
    <col min="5338" max="5338" width="29.85546875" style="738" customWidth="1"/>
    <col min="5339" max="5339" width="6.7109375" style="738" customWidth="1"/>
    <col min="5340" max="5340" width="32.28515625" style="738" customWidth="1"/>
    <col min="5341" max="5341" width="10.85546875" style="738" customWidth="1"/>
    <col min="5342" max="5342" width="11.7109375" style="738" customWidth="1"/>
    <col min="5343" max="5343" width="10.85546875" style="738" customWidth="1"/>
    <col min="5344" max="5344" width="10.5703125" style="738" customWidth="1"/>
    <col min="5345" max="5345" width="9.140625" style="738"/>
    <col min="5346" max="5346" width="10.85546875" style="738" customWidth="1"/>
    <col min="5347" max="5348" width="9.140625" style="738"/>
    <col min="5349" max="5349" width="12" style="738" customWidth="1"/>
    <col min="5350" max="5592" width="9.140625" style="738"/>
    <col min="5593" max="5593" width="6.85546875" style="738" customWidth="1"/>
    <col min="5594" max="5594" width="29.85546875" style="738" customWidth="1"/>
    <col min="5595" max="5595" width="6.7109375" style="738" customWidth="1"/>
    <col min="5596" max="5596" width="32.28515625" style="738" customWidth="1"/>
    <col min="5597" max="5597" width="10.85546875" style="738" customWidth="1"/>
    <col min="5598" max="5598" width="11.7109375" style="738" customWidth="1"/>
    <col min="5599" max="5599" width="10.85546875" style="738" customWidth="1"/>
    <col min="5600" max="5600" width="10.5703125" style="738" customWidth="1"/>
    <col min="5601" max="5601" width="9.140625" style="738"/>
    <col min="5602" max="5602" width="10.85546875" style="738" customWidth="1"/>
    <col min="5603" max="5604" width="9.140625" style="738"/>
    <col min="5605" max="5605" width="12" style="738" customWidth="1"/>
    <col min="5606" max="5848" width="9.140625" style="738"/>
    <col min="5849" max="5849" width="6.85546875" style="738" customWidth="1"/>
    <col min="5850" max="5850" width="29.85546875" style="738" customWidth="1"/>
    <col min="5851" max="5851" width="6.7109375" style="738" customWidth="1"/>
    <col min="5852" max="5852" width="32.28515625" style="738" customWidth="1"/>
    <col min="5853" max="5853" width="10.85546875" style="738" customWidth="1"/>
    <col min="5854" max="5854" width="11.7109375" style="738" customWidth="1"/>
    <col min="5855" max="5855" width="10.85546875" style="738" customWidth="1"/>
    <col min="5856" max="5856" width="10.5703125" style="738" customWidth="1"/>
    <col min="5857" max="5857" width="9.140625" style="738"/>
    <col min="5858" max="5858" width="10.85546875" style="738" customWidth="1"/>
    <col min="5859" max="5860" width="9.140625" style="738"/>
    <col min="5861" max="5861" width="12" style="738" customWidth="1"/>
    <col min="5862" max="6104" width="9.140625" style="738"/>
    <col min="6105" max="6105" width="6.85546875" style="738" customWidth="1"/>
    <col min="6106" max="6106" width="29.85546875" style="738" customWidth="1"/>
    <col min="6107" max="6107" width="6.7109375" style="738" customWidth="1"/>
    <col min="6108" max="6108" width="32.28515625" style="738" customWidth="1"/>
    <col min="6109" max="6109" width="10.85546875" style="738" customWidth="1"/>
    <col min="6110" max="6110" width="11.7109375" style="738" customWidth="1"/>
    <col min="6111" max="6111" width="10.85546875" style="738" customWidth="1"/>
    <col min="6112" max="6112" width="10.5703125" style="738" customWidth="1"/>
    <col min="6113" max="6113" width="9.140625" style="738"/>
    <col min="6114" max="6114" width="10.85546875" style="738" customWidth="1"/>
    <col min="6115" max="6116" width="9.140625" style="738"/>
    <col min="6117" max="6117" width="12" style="738" customWidth="1"/>
    <col min="6118" max="6360" width="9.140625" style="738"/>
    <col min="6361" max="6361" width="6.85546875" style="738" customWidth="1"/>
    <col min="6362" max="6362" width="29.85546875" style="738" customWidth="1"/>
    <col min="6363" max="6363" width="6.7109375" style="738" customWidth="1"/>
    <col min="6364" max="6364" width="32.28515625" style="738" customWidth="1"/>
    <col min="6365" max="6365" width="10.85546875" style="738" customWidth="1"/>
    <col min="6366" max="6366" width="11.7109375" style="738" customWidth="1"/>
    <col min="6367" max="6367" width="10.85546875" style="738" customWidth="1"/>
    <col min="6368" max="6368" width="10.5703125" style="738" customWidth="1"/>
    <col min="6369" max="6369" width="9.140625" style="738"/>
    <col min="6370" max="6370" width="10.85546875" style="738" customWidth="1"/>
    <col min="6371" max="6372" width="9.140625" style="738"/>
    <col min="6373" max="6373" width="12" style="738" customWidth="1"/>
    <col min="6374" max="6616" width="9.140625" style="738"/>
    <col min="6617" max="6617" width="6.85546875" style="738" customWidth="1"/>
    <col min="6618" max="6618" width="29.85546875" style="738" customWidth="1"/>
    <col min="6619" max="6619" width="6.7109375" style="738" customWidth="1"/>
    <col min="6620" max="6620" width="32.28515625" style="738" customWidth="1"/>
    <col min="6621" max="6621" width="10.85546875" style="738" customWidth="1"/>
    <col min="6622" max="6622" width="11.7109375" style="738" customWidth="1"/>
    <col min="6623" max="6623" width="10.85546875" style="738" customWidth="1"/>
    <col min="6624" max="6624" width="10.5703125" style="738" customWidth="1"/>
    <col min="6625" max="6625" width="9.140625" style="738"/>
    <col min="6626" max="6626" width="10.85546875" style="738" customWidth="1"/>
    <col min="6627" max="6628" width="9.140625" style="738"/>
    <col min="6629" max="6629" width="12" style="738" customWidth="1"/>
    <col min="6630" max="6872" width="9.140625" style="738"/>
    <col min="6873" max="6873" width="6.85546875" style="738" customWidth="1"/>
    <col min="6874" max="6874" width="29.85546875" style="738" customWidth="1"/>
    <col min="6875" max="6875" width="6.7109375" style="738" customWidth="1"/>
    <col min="6876" max="6876" width="32.28515625" style="738" customWidth="1"/>
    <col min="6877" max="6877" width="10.85546875" style="738" customWidth="1"/>
    <col min="6878" max="6878" width="11.7109375" style="738" customWidth="1"/>
    <col min="6879" max="6879" width="10.85546875" style="738" customWidth="1"/>
    <col min="6880" max="6880" width="10.5703125" style="738" customWidth="1"/>
    <col min="6881" max="6881" width="9.140625" style="738"/>
    <col min="6882" max="6882" width="10.85546875" style="738" customWidth="1"/>
    <col min="6883" max="6884" width="9.140625" style="738"/>
    <col min="6885" max="6885" width="12" style="738" customWidth="1"/>
    <col min="6886" max="7128" width="9.140625" style="738"/>
    <col min="7129" max="7129" width="6.85546875" style="738" customWidth="1"/>
    <col min="7130" max="7130" width="29.85546875" style="738" customWidth="1"/>
    <col min="7131" max="7131" width="6.7109375" style="738" customWidth="1"/>
    <col min="7132" max="7132" width="32.28515625" style="738" customWidth="1"/>
    <col min="7133" max="7133" width="10.85546875" style="738" customWidth="1"/>
    <col min="7134" max="7134" width="11.7109375" style="738" customWidth="1"/>
    <col min="7135" max="7135" width="10.85546875" style="738" customWidth="1"/>
    <col min="7136" max="7136" width="10.5703125" style="738" customWidth="1"/>
    <col min="7137" max="7137" width="9.140625" style="738"/>
    <col min="7138" max="7138" width="10.85546875" style="738" customWidth="1"/>
    <col min="7139" max="7140" width="9.140625" style="738"/>
    <col min="7141" max="7141" width="12" style="738" customWidth="1"/>
    <col min="7142" max="7384" width="9.140625" style="738"/>
    <col min="7385" max="7385" width="6.85546875" style="738" customWidth="1"/>
    <col min="7386" max="7386" width="29.85546875" style="738" customWidth="1"/>
    <col min="7387" max="7387" width="6.7109375" style="738" customWidth="1"/>
    <col min="7388" max="7388" width="32.28515625" style="738" customWidth="1"/>
    <col min="7389" max="7389" width="10.85546875" style="738" customWidth="1"/>
    <col min="7390" max="7390" width="11.7109375" style="738" customWidth="1"/>
    <col min="7391" max="7391" width="10.85546875" style="738" customWidth="1"/>
    <col min="7392" max="7392" width="10.5703125" style="738" customWidth="1"/>
    <col min="7393" max="7393" width="9.140625" style="738"/>
    <col min="7394" max="7394" width="10.85546875" style="738" customWidth="1"/>
    <col min="7395" max="7396" width="9.140625" style="738"/>
    <col min="7397" max="7397" width="12" style="738" customWidth="1"/>
    <col min="7398" max="7640" width="9.140625" style="738"/>
    <col min="7641" max="7641" width="6.85546875" style="738" customWidth="1"/>
    <col min="7642" max="7642" width="29.85546875" style="738" customWidth="1"/>
    <col min="7643" max="7643" width="6.7109375" style="738" customWidth="1"/>
    <col min="7644" max="7644" width="32.28515625" style="738" customWidth="1"/>
    <col min="7645" max="7645" width="10.85546875" style="738" customWidth="1"/>
    <col min="7646" max="7646" width="11.7109375" style="738" customWidth="1"/>
    <col min="7647" max="7647" width="10.85546875" style="738" customWidth="1"/>
    <col min="7648" max="7648" width="10.5703125" style="738" customWidth="1"/>
    <col min="7649" max="7649" width="9.140625" style="738"/>
    <col min="7650" max="7650" width="10.85546875" style="738" customWidth="1"/>
    <col min="7651" max="7652" width="9.140625" style="738"/>
    <col min="7653" max="7653" width="12" style="738" customWidth="1"/>
    <col min="7654" max="7896" width="9.140625" style="738"/>
    <col min="7897" max="7897" width="6.85546875" style="738" customWidth="1"/>
    <col min="7898" max="7898" width="29.85546875" style="738" customWidth="1"/>
    <col min="7899" max="7899" width="6.7109375" style="738" customWidth="1"/>
    <col min="7900" max="7900" width="32.28515625" style="738" customWidth="1"/>
    <col min="7901" max="7901" width="10.85546875" style="738" customWidth="1"/>
    <col min="7902" max="7902" width="11.7109375" style="738" customWidth="1"/>
    <col min="7903" max="7903" width="10.85546875" style="738" customWidth="1"/>
    <col min="7904" max="7904" width="10.5703125" style="738" customWidth="1"/>
    <col min="7905" max="7905" width="9.140625" style="738"/>
    <col min="7906" max="7906" width="10.85546875" style="738" customWidth="1"/>
    <col min="7907" max="7908" width="9.140625" style="738"/>
    <col min="7909" max="7909" width="12" style="738" customWidth="1"/>
    <col min="7910" max="8152" width="9.140625" style="738"/>
    <col min="8153" max="8153" width="6.85546875" style="738" customWidth="1"/>
    <col min="8154" max="8154" width="29.85546875" style="738" customWidth="1"/>
    <col min="8155" max="8155" width="6.7109375" style="738" customWidth="1"/>
    <col min="8156" max="8156" width="32.28515625" style="738" customWidth="1"/>
    <col min="8157" max="8157" width="10.85546875" style="738" customWidth="1"/>
    <col min="8158" max="8158" width="11.7109375" style="738" customWidth="1"/>
    <col min="8159" max="8159" width="10.85546875" style="738" customWidth="1"/>
    <col min="8160" max="8160" width="10.5703125" style="738" customWidth="1"/>
    <col min="8161" max="8161" width="9.140625" style="738"/>
    <col min="8162" max="8162" width="10.85546875" style="738" customWidth="1"/>
    <col min="8163" max="8164" width="9.140625" style="738"/>
    <col min="8165" max="8165" width="12" style="738" customWidth="1"/>
    <col min="8166" max="8408" width="9.140625" style="738"/>
    <col min="8409" max="8409" width="6.85546875" style="738" customWidth="1"/>
    <col min="8410" max="8410" width="29.85546875" style="738" customWidth="1"/>
    <col min="8411" max="8411" width="6.7109375" style="738" customWidth="1"/>
    <col min="8412" max="8412" width="32.28515625" style="738" customWidth="1"/>
    <col min="8413" max="8413" width="10.85546875" style="738" customWidth="1"/>
    <col min="8414" max="8414" width="11.7109375" style="738" customWidth="1"/>
    <col min="8415" max="8415" width="10.85546875" style="738" customWidth="1"/>
    <col min="8416" max="8416" width="10.5703125" style="738" customWidth="1"/>
    <col min="8417" max="8417" width="9.140625" style="738"/>
    <col min="8418" max="8418" width="10.85546875" style="738" customWidth="1"/>
    <col min="8419" max="8420" width="9.140625" style="738"/>
    <col min="8421" max="8421" width="12" style="738" customWidth="1"/>
    <col min="8422" max="8664" width="9.140625" style="738"/>
    <col min="8665" max="8665" width="6.85546875" style="738" customWidth="1"/>
    <col min="8666" max="8666" width="29.85546875" style="738" customWidth="1"/>
    <col min="8667" max="8667" width="6.7109375" style="738" customWidth="1"/>
    <col min="8668" max="8668" width="32.28515625" style="738" customWidth="1"/>
    <col min="8669" max="8669" width="10.85546875" style="738" customWidth="1"/>
    <col min="8670" max="8670" width="11.7109375" style="738" customWidth="1"/>
    <col min="8671" max="8671" width="10.85546875" style="738" customWidth="1"/>
    <col min="8672" max="8672" width="10.5703125" style="738" customWidth="1"/>
    <col min="8673" max="8673" width="9.140625" style="738"/>
    <col min="8674" max="8674" width="10.85546875" style="738" customWidth="1"/>
    <col min="8675" max="8676" width="9.140625" style="738"/>
    <col min="8677" max="8677" width="12" style="738" customWidth="1"/>
    <col min="8678" max="8920" width="9.140625" style="738"/>
    <col min="8921" max="8921" width="6.85546875" style="738" customWidth="1"/>
    <col min="8922" max="8922" width="29.85546875" style="738" customWidth="1"/>
    <col min="8923" max="8923" width="6.7109375" style="738" customWidth="1"/>
    <col min="8924" max="8924" width="32.28515625" style="738" customWidth="1"/>
    <col min="8925" max="8925" width="10.85546875" style="738" customWidth="1"/>
    <col min="8926" max="8926" width="11.7109375" style="738" customWidth="1"/>
    <col min="8927" max="8927" width="10.85546875" style="738" customWidth="1"/>
    <col min="8928" max="8928" width="10.5703125" style="738" customWidth="1"/>
    <col min="8929" max="8929" width="9.140625" style="738"/>
    <col min="8930" max="8930" width="10.85546875" style="738" customWidth="1"/>
    <col min="8931" max="8932" width="9.140625" style="738"/>
    <col min="8933" max="8933" width="12" style="738" customWidth="1"/>
    <col min="8934" max="9176" width="9.140625" style="738"/>
    <col min="9177" max="9177" width="6.85546875" style="738" customWidth="1"/>
    <col min="9178" max="9178" width="29.85546875" style="738" customWidth="1"/>
    <col min="9179" max="9179" width="6.7109375" style="738" customWidth="1"/>
    <col min="9180" max="9180" width="32.28515625" style="738" customWidth="1"/>
    <col min="9181" max="9181" width="10.85546875" style="738" customWidth="1"/>
    <col min="9182" max="9182" width="11.7109375" style="738" customWidth="1"/>
    <col min="9183" max="9183" width="10.85546875" style="738" customWidth="1"/>
    <col min="9184" max="9184" width="10.5703125" style="738" customWidth="1"/>
    <col min="9185" max="9185" width="9.140625" style="738"/>
    <col min="9186" max="9186" width="10.85546875" style="738" customWidth="1"/>
    <col min="9187" max="9188" width="9.140625" style="738"/>
    <col min="9189" max="9189" width="12" style="738" customWidth="1"/>
    <col min="9190" max="9432" width="9.140625" style="738"/>
    <col min="9433" max="9433" width="6.85546875" style="738" customWidth="1"/>
    <col min="9434" max="9434" width="29.85546875" style="738" customWidth="1"/>
    <col min="9435" max="9435" width="6.7109375" style="738" customWidth="1"/>
    <col min="9436" max="9436" width="32.28515625" style="738" customWidth="1"/>
    <col min="9437" max="9437" width="10.85546875" style="738" customWidth="1"/>
    <col min="9438" max="9438" width="11.7109375" style="738" customWidth="1"/>
    <col min="9439" max="9439" width="10.85546875" style="738" customWidth="1"/>
    <col min="9440" max="9440" width="10.5703125" style="738" customWidth="1"/>
    <col min="9441" max="9441" width="9.140625" style="738"/>
    <col min="9442" max="9442" width="10.85546875" style="738" customWidth="1"/>
    <col min="9443" max="9444" width="9.140625" style="738"/>
    <col min="9445" max="9445" width="12" style="738" customWidth="1"/>
    <col min="9446" max="9688" width="9.140625" style="738"/>
    <col min="9689" max="9689" width="6.85546875" style="738" customWidth="1"/>
    <col min="9690" max="9690" width="29.85546875" style="738" customWidth="1"/>
    <col min="9691" max="9691" width="6.7109375" style="738" customWidth="1"/>
    <col min="9692" max="9692" width="32.28515625" style="738" customWidth="1"/>
    <col min="9693" max="9693" width="10.85546875" style="738" customWidth="1"/>
    <col min="9694" max="9694" width="11.7109375" style="738" customWidth="1"/>
    <col min="9695" max="9695" width="10.85546875" style="738" customWidth="1"/>
    <col min="9696" max="9696" width="10.5703125" style="738" customWidth="1"/>
    <col min="9697" max="9697" width="9.140625" style="738"/>
    <col min="9698" max="9698" width="10.85546875" style="738" customWidth="1"/>
    <col min="9699" max="9700" width="9.140625" style="738"/>
    <col min="9701" max="9701" width="12" style="738" customWidth="1"/>
    <col min="9702" max="9944" width="9.140625" style="738"/>
    <col min="9945" max="9945" width="6.85546875" style="738" customWidth="1"/>
    <col min="9946" max="9946" width="29.85546875" style="738" customWidth="1"/>
    <col min="9947" max="9947" width="6.7109375" style="738" customWidth="1"/>
    <col min="9948" max="9948" width="32.28515625" style="738" customWidth="1"/>
    <col min="9949" max="9949" width="10.85546875" style="738" customWidth="1"/>
    <col min="9950" max="9950" width="11.7109375" style="738" customWidth="1"/>
    <col min="9951" max="9951" width="10.85546875" style="738" customWidth="1"/>
    <col min="9952" max="9952" width="10.5703125" style="738" customWidth="1"/>
    <col min="9953" max="9953" width="9.140625" style="738"/>
    <col min="9954" max="9954" width="10.85546875" style="738" customWidth="1"/>
    <col min="9955" max="9956" width="9.140625" style="738"/>
    <col min="9957" max="9957" width="12" style="738" customWidth="1"/>
    <col min="9958" max="10200" width="9.140625" style="738"/>
    <col min="10201" max="10201" width="6.85546875" style="738" customWidth="1"/>
    <col min="10202" max="10202" width="29.85546875" style="738" customWidth="1"/>
    <col min="10203" max="10203" width="6.7109375" style="738" customWidth="1"/>
    <col min="10204" max="10204" width="32.28515625" style="738" customWidth="1"/>
    <col min="10205" max="10205" width="10.85546875" style="738" customWidth="1"/>
    <col min="10206" max="10206" width="11.7109375" style="738" customWidth="1"/>
    <col min="10207" max="10207" width="10.85546875" style="738" customWidth="1"/>
    <col min="10208" max="10208" width="10.5703125" style="738" customWidth="1"/>
    <col min="10209" max="10209" width="9.140625" style="738"/>
    <col min="10210" max="10210" width="10.85546875" style="738" customWidth="1"/>
    <col min="10211" max="10212" width="9.140625" style="738"/>
    <col min="10213" max="10213" width="12" style="738" customWidth="1"/>
    <col min="10214" max="10456" width="9.140625" style="738"/>
    <col min="10457" max="10457" width="6.85546875" style="738" customWidth="1"/>
    <col min="10458" max="10458" width="29.85546875" style="738" customWidth="1"/>
    <col min="10459" max="10459" width="6.7109375" style="738" customWidth="1"/>
    <col min="10460" max="10460" width="32.28515625" style="738" customWidth="1"/>
    <col min="10461" max="10461" width="10.85546875" style="738" customWidth="1"/>
    <col min="10462" max="10462" width="11.7109375" style="738" customWidth="1"/>
    <col min="10463" max="10463" width="10.85546875" style="738" customWidth="1"/>
    <col min="10464" max="10464" width="10.5703125" style="738" customWidth="1"/>
    <col min="10465" max="10465" width="9.140625" style="738"/>
    <col min="10466" max="10466" width="10.85546875" style="738" customWidth="1"/>
    <col min="10467" max="10468" width="9.140625" style="738"/>
    <col min="10469" max="10469" width="12" style="738" customWidth="1"/>
    <col min="10470" max="10712" width="9.140625" style="738"/>
    <col min="10713" max="10713" width="6.85546875" style="738" customWidth="1"/>
    <col min="10714" max="10714" width="29.85546875" style="738" customWidth="1"/>
    <col min="10715" max="10715" width="6.7109375" style="738" customWidth="1"/>
    <col min="10716" max="10716" width="32.28515625" style="738" customWidth="1"/>
    <col min="10717" max="10717" width="10.85546875" style="738" customWidth="1"/>
    <col min="10718" max="10718" width="11.7109375" style="738" customWidth="1"/>
    <col min="10719" max="10719" width="10.85546875" style="738" customWidth="1"/>
    <col min="10720" max="10720" width="10.5703125" style="738" customWidth="1"/>
    <col min="10721" max="10721" width="9.140625" style="738"/>
    <col min="10722" max="10722" width="10.85546875" style="738" customWidth="1"/>
    <col min="10723" max="10724" width="9.140625" style="738"/>
    <col min="10725" max="10725" width="12" style="738" customWidth="1"/>
    <col min="10726" max="10968" width="9.140625" style="738"/>
    <col min="10969" max="10969" width="6.85546875" style="738" customWidth="1"/>
    <col min="10970" max="10970" width="29.85546875" style="738" customWidth="1"/>
    <col min="10971" max="10971" width="6.7109375" style="738" customWidth="1"/>
    <col min="10972" max="10972" width="32.28515625" style="738" customWidth="1"/>
    <col min="10973" max="10973" width="10.85546875" style="738" customWidth="1"/>
    <col min="10974" max="10974" width="11.7109375" style="738" customWidth="1"/>
    <col min="10975" max="10975" width="10.85546875" style="738" customWidth="1"/>
    <col min="10976" max="10976" width="10.5703125" style="738" customWidth="1"/>
    <col min="10977" max="10977" width="9.140625" style="738"/>
    <col min="10978" max="10978" width="10.85546875" style="738" customWidth="1"/>
    <col min="10979" max="10980" width="9.140625" style="738"/>
    <col min="10981" max="10981" width="12" style="738" customWidth="1"/>
    <col min="10982" max="11224" width="9.140625" style="738"/>
    <col min="11225" max="11225" width="6.85546875" style="738" customWidth="1"/>
    <col min="11226" max="11226" width="29.85546875" style="738" customWidth="1"/>
    <col min="11227" max="11227" width="6.7109375" style="738" customWidth="1"/>
    <col min="11228" max="11228" width="32.28515625" style="738" customWidth="1"/>
    <col min="11229" max="11229" width="10.85546875" style="738" customWidth="1"/>
    <col min="11230" max="11230" width="11.7109375" style="738" customWidth="1"/>
    <col min="11231" max="11231" width="10.85546875" style="738" customWidth="1"/>
    <col min="11232" max="11232" width="10.5703125" style="738" customWidth="1"/>
    <col min="11233" max="11233" width="9.140625" style="738"/>
    <col min="11234" max="11234" width="10.85546875" style="738" customWidth="1"/>
    <col min="11235" max="11236" width="9.140625" style="738"/>
    <col min="11237" max="11237" width="12" style="738" customWidth="1"/>
    <col min="11238" max="11480" width="9.140625" style="738"/>
    <col min="11481" max="11481" width="6.85546875" style="738" customWidth="1"/>
    <col min="11482" max="11482" width="29.85546875" style="738" customWidth="1"/>
    <col min="11483" max="11483" width="6.7109375" style="738" customWidth="1"/>
    <col min="11484" max="11484" width="32.28515625" style="738" customWidth="1"/>
    <col min="11485" max="11485" width="10.85546875" style="738" customWidth="1"/>
    <col min="11486" max="11486" width="11.7109375" style="738" customWidth="1"/>
    <col min="11487" max="11487" width="10.85546875" style="738" customWidth="1"/>
    <col min="11488" max="11488" width="10.5703125" style="738" customWidth="1"/>
    <col min="11489" max="11489" width="9.140625" style="738"/>
    <col min="11490" max="11490" width="10.85546875" style="738" customWidth="1"/>
    <col min="11491" max="11492" width="9.140625" style="738"/>
    <col min="11493" max="11493" width="12" style="738" customWidth="1"/>
    <col min="11494" max="11736" width="9.140625" style="738"/>
    <col min="11737" max="11737" width="6.85546875" style="738" customWidth="1"/>
    <col min="11738" max="11738" width="29.85546875" style="738" customWidth="1"/>
    <col min="11739" max="11739" width="6.7109375" style="738" customWidth="1"/>
    <col min="11740" max="11740" width="32.28515625" style="738" customWidth="1"/>
    <col min="11741" max="11741" width="10.85546875" style="738" customWidth="1"/>
    <col min="11742" max="11742" width="11.7109375" style="738" customWidth="1"/>
    <col min="11743" max="11743" width="10.85546875" style="738" customWidth="1"/>
    <col min="11744" max="11744" width="10.5703125" style="738" customWidth="1"/>
    <col min="11745" max="11745" width="9.140625" style="738"/>
    <col min="11746" max="11746" width="10.85546875" style="738" customWidth="1"/>
    <col min="11747" max="11748" width="9.140625" style="738"/>
    <col min="11749" max="11749" width="12" style="738" customWidth="1"/>
    <col min="11750" max="11992" width="9.140625" style="738"/>
    <col min="11993" max="11993" width="6.85546875" style="738" customWidth="1"/>
    <col min="11994" max="11994" width="29.85546875" style="738" customWidth="1"/>
    <col min="11995" max="11995" width="6.7109375" style="738" customWidth="1"/>
    <col min="11996" max="11996" width="32.28515625" style="738" customWidth="1"/>
    <col min="11997" max="11997" width="10.85546875" style="738" customWidth="1"/>
    <col min="11998" max="11998" width="11.7109375" style="738" customWidth="1"/>
    <col min="11999" max="11999" width="10.85546875" style="738" customWidth="1"/>
    <col min="12000" max="12000" width="10.5703125" style="738" customWidth="1"/>
    <col min="12001" max="12001" width="9.140625" style="738"/>
    <col min="12002" max="12002" width="10.85546875" style="738" customWidth="1"/>
    <col min="12003" max="12004" width="9.140625" style="738"/>
    <col min="12005" max="12005" width="12" style="738" customWidth="1"/>
    <col min="12006" max="12248" width="9.140625" style="738"/>
    <col min="12249" max="12249" width="6.85546875" style="738" customWidth="1"/>
    <col min="12250" max="12250" width="29.85546875" style="738" customWidth="1"/>
    <col min="12251" max="12251" width="6.7109375" style="738" customWidth="1"/>
    <col min="12252" max="12252" width="32.28515625" style="738" customWidth="1"/>
    <col min="12253" max="12253" width="10.85546875" style="738" customWidth="1"/>
    <col min="12254" max="12254" width="11.7109375" style="738" customWidth="1"/>
    <col min="12255" max="12255" width="10.85546875" style="738" customWidth="1"/>
    <col min="12256" max="12256" width="10.5703125" style="738" customWidth="1"/>
    <col min="12257" max="12257" width="9.140625" style="738"/>
    <col min="12258" max="12258" width="10.85546875" style="738" customWidth="1"/>
    <col min="12259" max="12260" width="9.140625" style="738"/>
    <col min="12261" max="12261" width="12" style="738" customWidth="1"/>
    <col min="12262" max="12504" width="9.140625" style="738"/>
    <col min="12505" max="12505" width="6.85546875" style="738" customWidth="1"/>
    <col min="12506" max="12506" width="29.85546875" style="738" customWidth="1"/>
    <col min="12507" max="12507" width="6.7109375" style="738" customWidth="1"/>
    <col min="12508" max="12508" width="32.28515625" style="738" customWidth="1"/>
    <col min="12509" max="12509" width="10.85546875" style="738" customWidth="1"/>
    <col min="12510" max="12510" width="11.7109375" style="738" customWidth="1"/>
    <col min="12511" max="12511" width="10.85546875" style="738" customWidth="1"/>
    <col min="12512" max="12512" width="10.5703125" style="738" customWidth="1"/>
    <col min="12513" max="12513" width="9.140625" style="738"/>
    <col min="12514" max="12514" width="10.85546875" style="738" customWidth="1"/>
    <col min="12515" max="12516" width="9.140625" style="738"/>
    <col min="12517" max="12517" width="12" style="738" customWidth="1"/>
    <col min="12518" max="12760" width="9.140625" style="738"/>
    <col min="12761" max="12761" width="6.85546875" style="738" customWidth="1"/>
    <col min="12762" max="12762" width="29.85546875" style="738" customWidth="1"/>
    <col min="12763" max="12763" width="6.7109375" style="738" customWidth="1"/>
    <col min="12764" max="12764" width="32.28515625" style="738" customWidth="1"/>
    <col min="12765" max="12765" width="10.85546875" style="738" customWidth="1"/>
    <col min="12766" max="12766" width="11.7109375" style="738" customWidth="1"/>
    <col min="12767" max="12767" width="10.85546875" style="738" customWidth="1"/>
    <col min="12768" max="12768" width="10.5703125" style="738" customWidth="1"/>
    <col min="12769" max="12769" width="9.140625" style="738"/>
    <col min="12770" max="12770" width="10.85546875" style="738" customWidth="1"/>
    <col min="12771" max="12772" width="9.140625" style="738"/>
    <col min="12773" max="12773" width="12" style="738" customWidth="1"/>
    <col min="12774" max="13016" width="9.140625" style="738"/>
    <col min="13017" max="13017" width="6.85546875" style="738" customWidth="1"/>
    <col min="13018" max="13018" width="29.85546875" style="738" customWidth="1"/>
    <col min="13019" max="13019" width="6.7109375" style="738" customWidth="1"/>
    <col min="13020" max="13020" width="32.28515625" style="738" customWidth="1"/>
    <col min="13021" max="13021" width="10.85546875" style="738" customWidth="1"/>
    <col min="13022" max="13022" width="11.7109375" style="738" customWidth="1"/>
    <col min="13023" max="13023" width="10.85546875" style="738" customWidth="1"/>
    <col min="13024" max="13024" width="10.5703125" style="738" customWidth="1"/>
    <col min="13025" max="13025" width="9.140625" style="738"/>
    <col min="13026" max="13026" width="10.85546875" style="738" customWidth="1"/>
    <col min="13027" max="13028" width="9.140625" style="738"/>
    <col min="13029" max="13029" width="12" style="738" customWidth="1"/>
    <col min="13030" max="13272" width="9.140625" style="738"/>
    <col min="13273" max="13273" width="6.85546875" style="738" customWidth="1"/>
    <col min="13274" max="13274" width="29.85546875" style="738" customWidth="1"/>
    <col min="13275" max="13275" width="6.7109375" style="738" customWidth="1"/>
    <col min="13276" max="13276" width="32.28515625" style="738" customWidth="1"/>
    <col min="13277" max="13277" width="10.85546875" style="738" customWidth="1"/>
    <col min="13278" max="13278" width="11.7109375" style="738" customWidth="1"/>
    <col min="13279" max="13279" width="10.85546875" style="738" customWidth="1"/>
    <col min="13280" max="13280" width="10.5703125" style="738" customWidth="1"/>
    <col min="13281" max="13281" width="9.140625" style="738"/>
    <col min="13282" max="13282" width="10.85546875" style="738" customWidth="1"/>
    <col min="13283" max="13284" width="9.140625" style="738"/>
    <col min="13285" max="13285" width="12" style="738" customWidth="1"/>
    <col min="13286" max="13528" width="9.140625" style="738"/>
    <col min="13529" max="13529" width="6.85546875" style="738" customWidth="1"/>
    <col min="13530" max="13530" width="29.85546875" style="738" customWidth="1"/>
    <col min="13531" max="13531" width="6.7109375" style="738" customWidth="1"/>
    <col min="13532" max="13532" width="32.28515625" style="738" customWidth="1"/>
    <col min="13533" max="13533" width="10.85546875" style="738" customWidth="1"/>
    <col min="13534" max="13534" width="11.7109375" style="738" customWidth="1"/>
    <col min="13535" max="13535" width="10.85546875" style="738" customWidth="1"/>
    <col min="13536" max="13536" width="10.5703125" style="738" customWidth="1"/>
    <col min="13537" max="13537" width="9.140625" style="738"/>
    <col min="13538" max="13538" width="10.85546875" style="738" customWidth="1"/>
    <col min="13539" max="13540" width="9.140625" style="738"/>
    <col min="13541" max="13541" width="12" style="738" customWidth="1"/>
    <col min="13542" max="13784" width="9.140625" style="738"/>
    <col min="13785" max="13785" width="6.85546875" style="738" customWidth="1"/>
    <col min="13786" max="13786" width="29.85546875" style="738" customWidth="1"/>
    <col min="13787" max="13787" width="6.7109375" style="738" customWidth="1"/>
    <col min="13788" max="13788" width="32.28515625" style="738" customWidth="1"/>
    <col min="13789" max="13789" width="10.85546875" style="738" customWidth="1"/>
    <col min="13790" max="13790" width="11.7109375" style="738" customWidth="1"/>
    <col min="13791" max="13791" width="10.85546875" style="738" customWidth="1"/>
    <col min="13792" max="13792" width="10.5703125" style="738" customWidth="1"/>
    <col min="13793" max="13793" width="9.140625" style="738"/>
    <col min="13794" max="13794" width="10.85546875" style="738" customWidth="1"/>
    <col min="13795" max="13796" width="9.140625" style="738"/>
    <col min="13797" max="13797" width="12" style="738" customWidth="1"/>
    <col min="13798" max="14040" width="9.140625" style="738"/>
    <col min="14041" max="14041" width="6.85546875" style="738" customWidth="1"/>
    <col min="14042" max="14042" width="29.85546875" style="738" customWidth="1"/>
    <col min="14043" max="14043" width="6.7109375" style="738" customWidth="1"/>
    <col min="14044" max="14044" width="32.28515625" style="738" customWidth="1"/>
    <col min="14045" max="14045" width="10.85546875" style="738" customWidth="1"/>
    <col min="14046" max="14046" width="11.7109375" style="738" customWidth="1"/>
    <col min="14047" max="14047" width="10.85546875" style="738" customWidth="1"/>
    <col min="14048" max="14048" width="10.5703125" style="738" customWidth="1"/>
    <col min="14049" max="14049" width="9.140625" style="738"/>
    <col min="14050" max="14050" width="10.85546875" style="738" customWidth="1"/>
    <col min="14051" max="14052" width="9.140625" style="738"/>
    <col min="14053" max="14053" width="12" style="738" customWidth="1"/>
    <col min="14054" max="14296" width="9.140625" style="738"/>
    <col min="14297" max="14297" width="6.85546875" style="738" customWidth="1"/>
    <col min="14298" max="14298" width="29.85546875" style="738" customWidth="1"/>
    <col min="14299" max="14299" width="6.7109375" style="738" customWidth="1"/>
    <col min="14300" max="14300" width="32.28515625" style="738" customWidth="1"/>
    <col min="14301" max="14301" width="10.85546875" style="738" customWidth="1"/>
    <col min="14302" max="14302" width="11.7109375" style="738" customWidth="1"/>
    <col min="14303" max="14303" width="10.85546875" style="738" customWidth="1"/>
    <col min="14304" max="14304" width="10.5703125" style="738" customWidth="1"/>
    <col min="14305" max="14305" width="9.140625" style="738"/>
    <col min="14306" max="14306" width="10.85546875" style="738" customWidth="1"/>
    <col min="14307" max="14308" width="9.140625" style="738"/>
    <col min="14309" max="14309" width="12" style="738" customWidth="1"/>
    <col min="14310" max="14552" width="9.140625" style="738"/>
    <col min="14553" max="14553" width="6.85546875" style="738" customWidth="1"/>
    <col min="14554" max="14554" width="29.85546875" style="738" customWidth="1"/>
    <col min="14555" max="14555" width="6.7109375" style="738" customWidth="1"/>
    <col min="14556" max="14556" width="32.28515625" style="738" customWidth="1"/>
    <col min="14557" max="14557" width="10.85546875" style="738" customWidth="1"/>
    <col min="14558" max="14558" width="11.7109375" style="738" customWidth="1"/>
    <col min="14559" max="14559" width="10.85546875" style="738" customWidth="1"/>
    <col min="14560" max="14560" width="10.5703125" style="738" customWidth="1"/>
    <col min="14561" max="14561" width="9.140625" style="738"/>
    <col min="14562" max="14562" width="10.85546875" style="738" customWidth="1"/>
    <col min="14563" max="14564" width="9.140625" style="738"/>
    <col min="14565" max="14565" width="12" style="738" customWidth="1"/>
    <col min="14566" max="14808" width="9.140625" style="738"/>
    <col min="14809" max="14809" width="6.85546875" style="738" customWidth="1"/>
    <col min="14810" max="14810" width="29.85546875" style="738" customWidth="1"/>
    <col min="14811" max="14811" width="6.7109375" style="738" customWidth="1"/>
    <col min="14812" max="14812" width="32.28515625" style="738" customWidth="1"/>
    <col min="14813" max="14813" width="10.85546875" style="738" customWidth="1"/>
    <col min="14814" max="14814" width="11.7109375" style="738" customWidth="1"/>
    <col min="14815" max="14815" width="10.85546875" style="738" customWidth="1"/>
    <col min="14816" max="14816" width="10.5703125" style="738" customWidth="1"/>
    <col min="14817" max="14817" width="9.140625" style="738"/>
    <col min="14818" max="14818" width="10.85546875" style="738" customWidth="1"/>
    <col min="14819" max="14820" width="9.140625" style="738"/>
    <col min="14821" max="14821" width="12" style="738" customWidth="1"/>
    <col min="14822" max="15064" width="9.140625" style="738"/>
    <col min="15065" max="15065" width="6.85546875" style="738" customWidth="1"/>
    <col min="15066" max="15066" width="29.85546875" style="738" customWidth="1"/>
    <col min="15067" max="15067" width="6.7109375" style="738" customWidth="1"/>
    <col min="15068" max="15068" width="32.28515625" style="738" customWidth="1"/>
    <col min="15069" max="15069" width="10.85546875" style="738" customWidth="1"/>
    <col min="15070" max="15070" width="11.7109375" style="738" customWidth="1"/>
    <col min="15071" max="15071" width="10.85546875" style="738" customWidth="1"/>
    <col min="15072" max="15072" width="10.5703125" style="738" customWidth="1"/>
    <col min="15073" max="15073" width="9.140625" style="738"/>
    <col min="15074" max="15074" width="10.85546875" style="738" customWidth="1"/>
    <col min="15075" max="15076" width="9.140625" style="738"/>
    <col min="15077" max="15077" width="12" style="738" customWidth="1"/>
    <col min="15078" max="15320" width="9.140625" style="738"/>
    <col min="15321" max="15321" width="6.85546875" style="738" customWidth="1"/>
    <col min="15322" max="15322" width="29.85546875" style="738" customWidth="1"/>
    <col min="15323" max="15323" width="6.7109375" style="738" customWidth="1"/>
    <col min="15324" max="15324" width="32.28515625" style="738" customWidth="1"/>
    <col min="15325" max="15325" width="10.85546875" style="738" customWidth="1"/>
    <col min="15326" max="15326" width="11.7109375" style="738" customWidth="1"/>
    <col min="15327" max="15327" width="10.85546875" style="738" customWidth="1"/>
    <col min="15328" max="15328" width="10.5703125" style="738" customWidth="1"/>
    <col min="15329" max="15329" width="9.140625" style="738"/>
    <col min="15330" max="15330" width="10.85546875" style="738" customWidth="1"/>
    <col min="15331" max="15332" width="9.140625" style="738"/>
    <col min="15333" max="15333" width="12" style="738" customWidth="1"/>
    <col min="15334" max="15576" width="9.140625" style="738"/>
    <col min="15577" max="15577" width="6.85546875" style="738" customWidth="1"/>
    <col min="15578" max="15578" width="29.85546875" style="738" customWidth="1"/>
    <col min="15579" max="15579" width="6.7109375" style="738" customWidth="1"/>
    <col min="15580" max="15580" width="32.28515625" style="738" customWidth="1"/>
    <col min="15581" max="15581" width="10.85546875" style="738" customWidth="1"/>
    <col min="15582" max="15582" width="11.7109375" style="738" customWidth="1"/>
    <col min="15583" max="15583" width="10.85546875" style="738" customWidth="1"/>
    <col min="15584" max="15584" width="10.5703125" style="738" customWidth="1"/>
    <col min="15585" max="15585" width="9.140625" style="738"/>
    <col min="15586" max="15586" width="10.85546875" style="738" customWidth="1"/>
    <col min="15587" max="15588" width="9.140625" style="738"/>
    <col min="15589" max="15589" width="12" style="738" customWidth="1"/>
    <col min="15590" max="15832" width="9.140625" style="738"/>
    <col min="15833" max="15833" width="6.85546875" style="738" customWidth="1"/>
    <col min="15834" max="15834" width="29.85546875" style="738" customWidth="1"/>
    <col min="15835" max="15835" width="6.7109375" style="738" customWidth="1"/>
    <col min="15836" max="15836" width="32.28515625" style="738" customWidth="1"/>
    <col min="15837" max="15837" width="10.85546875" style="738" customWidth="1"/>
    <col min="15838" max="15838" width="11.7109375" style="738" customWidth="1"/>
    <col min="15839" max="15839" width="10.85546875" style="738" customWidth="1"/>
    <col min="15840" max="15840" width="10.5703125" style="738" customWidth="1"/>
    <col min="15841" max="15841" width="9.140625" style="738"/>
    <col min="15842" max="15842" width="10.85546875" style="738" customWidth="1"/>
    <col min="15843" max="15844" width="9.140625" style="738"/>
    <col min="15845" max="15845" width="12" style="738" customWidth="1"/>
    <col min="15846" max="16088" width="9.140625" style="738"/>
    <col min="16089" max="16089" width="6.85546875" style="738" customWidth="1"/>
    <col min="16090" max="16090" width="29.85546875" style="738" customWidth="1"/>
    <col min="16091" max="16091" width="6.7109375" style="738" customWidth="1"/>
    <col min="16092" max="16092" width="32.28515625" style="738" customWidth="1"/>
    <col min="16093" max="16093" width="10.85546875" style="738" customWidth="1"/>
    <col min="16094" max="16094" width="11.7109375" style="738" customWidth="1"/>
    <col min="16095" max="16095" width="10.85546875" style="738" customWidth="1"/>
    <col min="16096" max="16096" width="10.5703125" style="738" customWidth="1"/>
    <col min="16097" max="16097" width="9.140625" style="738"/>
    <col min="16098" max="16098" width="10.85546875" style="738" customWidth="1"/>
    <col min="16099" max="16100" width="9.140625" style="738"/>
    <col min="16101" max="16101" width="12" style="738" customWidth="1"/>
    <col min="16102" max="16384" width="9.140625" style="738"/>
  </cols>
  <sheetData>
    <row r="1" spans="1:50" ht="15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5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.75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.75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5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customHeight="1" thickBot="1" x14ac:dyDescent="0.3">
      <c r="A7" s="203"/>
      <c r="B7" s="460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.75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3.5" thickBot="1" x14ac:dyDescent="0.25">
      <c r="A9" s="462" t="s">
        <v>839</v>
      </c>
      <c r="D9" s="462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34.5" thickBot="1" x14ac:dyDescent="0.25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6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9" t="s">
        <v>313</v>
      </c>
      <c r="AL11" s="747" t="s">
        <v>312</v>
      </c>
      <c r="AM11" s="413" t="s">
        <v>313</v>
      </c>
      <c r="AN11" s="414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s="695" customFormat="1" x14ac:dyDescent="0.2">
      <c r="A12" s="717">
        <v>1</v>
      </c>
      <c r="B12" s="718">
        <v>4476</v>
      </c>
      <c r="C12" s="718">
        <v>600075184</v>
      </c>
      <c r="D12" s="718">
        <v>70200815</v>
      </c>
      <c r="E12" s="707" t="s">
        <v>149</v>
      </c>
      <c r="F12" s="718">
        <v>3233</v>
      </c>
      <c r="G12" s="719" t="s">
        <v>324</v>
      </c>
      <c r="H12" s="766" t="s">
        <v>284</v>
      </c>
      <c r="I12" s="473">
        <v>6634301</v>
      </c>
      <c r="J12" s="474">
        <v>4094985</v>
      </c>
      <c r="K12" s="475">
        <v>742050</v>
      </c>
      <c r="L12" s="475">
        <v>0</v>
      </c>
      <c r="M12" s="319">
        <v>1634918</v>
      </c>
      <c r="N12" s="319">
        <v>81900</v>
      </c>
      <c r="O12" s="474">
        <v>80448</v>
      </c>
      <c r="P12" s="476">
        <v>10.1</v>
      </c>
      <c r="Q12" s="477">
        <v>5.580000000000001</v>
      </c>
      <c r="R12" s="763">
        <v>4.5199999999999996</v>
      </c>
      <c r="S12" s="547">
        <f>W12*-1</f>
        <v>100000</v>
      </c>
      <c r="T12" s="485">
        <v>0</v>
      </c>
      <c r="U12" s="485">
        <v>0</v>
      </c>
      <c r="V12" s="485">
        <f>SUM(S12:U12)</f>
        <v>100000</v>
      </c>
      <c r="W12" s="485">
        <v>-100000</v>
      </c>
      <c r="X12" s="485">
        <v>0</v>
      </c>
      <c r="Y12" s="485">
        <f>SUM(W12:X12)</f>
        <v>-100000</v>
      </c>
      <c r="Z12" s="485">
        <f>V12+Y12</f>
        <v>0</v>
      </c>
      <c r="AA12" s="319">
        <f>ROUND((V12+W12)*33.8%,0)</f>
        <v>0</v>
      </c>
      <c r="AB12" s="261">
        <f>ROUND(V12*2%,0)</f>
        <v>2000</v>
      </c>
      <c r="AC12" s="485">
        <v>0</v>
      </c>
      <c r="AD12" s="485">
        <v>0</v>
      </c>
      <c r="AE12" s="485">
        <f>SUM(AC12:AD12)</f>
        <v>0</v>
      </c>
      <c r="AF12" s="485">
        <f>Z12+AA12+AB12+AE12</f>
        <v>2000</v>
      </c>
      <c r="AG12" s="487">
        <v>0.2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0.2</v>
      </c>
      <c r="AM12" s="501">
        <f>AH12+AK12</f>
        <v>0</v>
      </c>
      <c r="AN12" s="483">
        <f>SUM(AL12:AM12)</f>
        <v>0.2</v>
      </c>
      <c r="AO12" s="479">
        <f>I12+AF12</f>
        <v>6636301</v>
      </c>
      <c r="AP12" s="480">
        <f>J12+V12</f>
        <v>4194985</v>
      </c>
      <c r="AQ12" s="480">
        <f>K12+Y12</f>
        <v>642050</v>
      </c>
      <c r="AR12" s="480">
        <f>L12</f>
        <v>0</v>
      </c>
      <c r="AS12" s="480">
        <f>M12+AA12</f>
        <v>1634918</v>
      </c>
      <c r="AT12" s="480">
        <f>N12+AB12</f>
        <v>83900</v>
      </c>
      <c r="AU12" s="480">
        <f>O12+AE12</f>
        <v>80448</v>
      </c>
      <c r="AV12" s="482">
        <f>P12+AN12</f>
        <v>10.299999999999999</v>
      </c>
      <c r="AW12" s="482">
        <f>Q12+AL12</f>
        <v>5.7800000000000011</v>
      </c>
      <c r="AX12" s="483">
        <f>R12+AM12</f>
        <v>4.5199999999999996</v>
      </c>
    </row>
    <row r="13" spans="1:50" s="695" customFormat="1" x14ac:dyDescent="0.2">
      <c r="A13" s="282">
        <v>1</v>
      </c>
      <c r="B13" s="27">
        <v>4476</v>
      </c>
      <c r="C13" s="27">
        <v>600075184</v>
      </c>
      <c r="D13" s="27">
        <v>70200815</v>
      </c>
      <c r="E13" s="292" t="s">
        <v>150</v>
      </c>
      <c r="F13" s="27"/>
      <c r="G13" s="281"/>
      <c r="H13" s="377"/>
      <c r="I13" s="5">
        <v>6634301</v>
      </c>
      <c r="J13" s="8">
        <v>4094985</v>
      </c>
      <c r="K13" s="8">
        <v>742050</v>
      </c>
      <c r="L13" s="8">
        <v>0</v>
      </c>
      <c r="M13" s="8">
        <v>1634918</v>
      </c>
      <c r="N13" s="8">
        <v>81900</v>
      </c>
      <c r="O13" s="8">
        <v>80448</v>
      </c>
      <c r="P13" s="9">
        <v>10.1</v>
      </c>
      <c r="Q13" s="9">
        <v>5.580000000000001</v>
      </c>
      <c r="R13" s="33">
        <v>4.5199999999999996</v>
      </c>
      <c r="S13" s="5">
        <f t="shared" ref="S13:AX13" si="0">SUM(S12)</f>
        <v>100000</v>
      </c>
      <c r="T13" s="8">
        <f t="shared" si="0"/>
        <v>0</v>
      </c>
      <c r="U13" s="8">
        <f t="shared" si="0"/>
        <v>0</v>
      </c>
      <c r="V13" s="8">
        <f t="shared" si="0"/>
        <v>100000</v>
      </c>
      <c r="W13" s="8">
        <f t="shared" si="0"/>
        <v>-100000</v>
      </c>
      <c r="X13" s="8">
        <f t="shared" si="0"/>
        <v>0</v>
      </c>
      <c r="Y13" s="8">
        <f t="shared" si="0"/>
        <v>-100000</v>
      </c>
      <c r="Z13" s="8">
        <f t="shared" si="0"/>
        <v>0</v>
      </c>
      <c r="AA13" s="8">
        <f t="shared" si="0"/>
        <v>0</v>
      </c>
      <c r="AB13" s="8">
        <f t="shared" si="0"/>
        <v>2000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2000</v>
      </c>
      <c r="AG13" s="9">
        <f t="shared" si="0"/>
        <v>0.2</v>
      </c>
      <c r="AH13" s="9">
        <f t="shared" si="0"/>
        <v>0</v>
      </c>
      <c r="AI13" s="9">
        <f t="shared" si="0"/>
        <v>0</v>
      </c>
      <c r="AJ13" s="9">
        <f t="shared" si="0"/>
        <v>0</v>
      </c>
      <c r="AK13" s="9">
        <f t="shared" si="0"/>
        <v>0</v>
      </c>
      <c r="AL13" s="9">
        <f t="shared" si="0"/>
        <v>0.2</v>
      </c>
      <c r="AM13" s="9">
        <f t="shared" si="0"/>
        <v>0</v>
      </c>
      <c r="AN13" s="74">
        <f t="shared" si="0"/>
        <v>0.2</v>
      </c>
      <c r="AO13" s="270">
        <f t="shared" si="0"/>
        <v>6636301</v>
      </c>
      <c r="AP13" s="8">
        <f t="shared" si="0"/>
        <v>4194985</v>
      </c>
      <c r="AQ13" s="38">
        <f t="shared" si="0"/>
        <v>642050</v>
      </c>
      <c r="AR13" s="38">
        <f t="shared" si="0"/>
        <v>0</v>
      </c>
      <c r="AS13" s="8">
        <f t="shared" si="0"/>
        <v>1634918</v>
      </c>
      <c r="AT13" s="8">
        <f t="shared" si="0"/>
        <v>83900</v>
      </c>
      <c r="AU13" s="8">
        <f t="shared" si="0"/>
        <v>80448</v>
      </c>
      <c r="AV13" s="9">
        <f t="shared" si="0"/>
        <v>10.299999999999999</v>
      </c>
      <c r="AW13" s="9">
        <f t="shared" si="0"/>
        <v>5.7800000000000011</v>
      </c>
      <c r="AX13" s="74">
        <f t="shared" si="0"/>
        <v>4.5199999999999996</v>
      </c>
    </row>
    <row r="14" spans="1:50" s="695" customFormat="1" x14ac:dyDescent="0.2">
      <c r="A14" s="720">
        <v>2</v>
      </c>
      <c r="B14" s="721">
        <v>4411</v>
      </c>
      <c r="C14" s="721">
        <v>600074340</v>
      </c>
      <c r="D14" s="721">
        <v>70982121</v>
      </c>
      <c r="E14" s="722" t="s">
        <v>151</v>
      </c>
      <c r="F14" s="721">
        <v>3111</v>
      </c>
      <c r="G14" s="531" t="s">
        <v>317</v>
      </c>
      <c r="H14" s="767" t="s">
        <v>283</v>
      </c>
      <c r="I14" s="495">
        <v>8203848</v>
      </c>
      <c r="J14" s="496">
        <v>5923484</v>
      </c>
      <c r="K14" s="496">
        <v>41000</v>
      </c>
      <c r="L14" s="496">
        <v>0</v>
      </c>
      <c r="M14" s="496">
        <v>2015995</v>
      </c>
      <c r="N14" s="496">
        <v>118469</v>
      </c>
      <c r="O14" s="496">
        <v>104900</v>
      </c>
      <c r="P14" s="497">
        <v>13.702199999999999</v>
      </c>
      <c r="Q14" s="412">
        <v>9.92</v>
      </c>
      <c r="R14" s="764">
        <v>3.7821999999999996</v>
      </c>
      <c r="S14" s="530">
        <f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ref="AE14:AE78" si="1">SUM(AC14:AD14)</f>
        <v>0</v>
      </c>
      <c r="AF14" s="486">
        <f t="shared" ref="AF14:AF78" si="2">Z14+AA14+AB14+AE14</f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02">
        <f t="shared" ref="AN14:AN78" si="3">SUM(AL14:AM14)</f>
        <v>0</v>
      </c>
      <c r="AO14" s="499">
        <f>I14+AF14</f>
        <v>8203848</v>
      </c>
      <c r="AP14" s="486">
        <f>J14+V14</f>
        <v>5923484</v>
      </c>
      <c r="AQ14" s="486">
        <f>K14+Y14</f>
        <v>41000</v>
      </c>
      <c r="AR14" s="486">
        <f>L14</f>
        <v>0</v>
      </c>
      <c r="AS14" s="486">
        <f t="shared" ref="AS14:AT16" si="4">M14+AA14</f>
        <v>2015995</v>
      </c>
      <c r="AT14" s="486">
        <f t="shared" si="4"/>
        <v>118469</v>
      </c>
      <c r="AU14" s="486">
        <f>O14+AE14</f>
        <v>104900</v>
      </c>
      <c r="AV14" s="501">
        <f>P14+AN14</f>
        <v>13.702199999999999</v>
      </c>
      <c r="AW14" s="501">
        <f t="shared" ref="AW14:AX16" si="5">Q14+AL14</f>
        <v>9.92</v>
      </c>
      <c r="AX14" s="502">
        <f t="shared" si="5"/>
        <v>3.7821999999999996</v>
      </c>
    </row>
    <row r="15" spans="1:50" s="695" customFormat="1" x14ac:dyDescent="0.2">
      <c r="A15" s="720">
        <v>2</v>
      </c>
      <c r="B15" s="721">
        <v>4411</v>
      </c>
      <c r="C15" s="721">
        <v>600074340</v>
      </c>
      <c r="D15" s="721">
        <v>70982121</v>
      </c>
      <c r="E15" s="722" t="s">
        <v>151</v>
      </c>
      <c r="F15" s="721">
        <v>3111</v>
      </c>
      <c r="G15" s="531" t="s">
        <v>318</v>
      </c>
      <c r="H15" s="767" t="s">
        <v>284</v>
      </c>
      <c r="I15" s="495">
        <v>288238</v>
      </c>
      <c r="J15" s="496">
        <v>212252</v>
      </c>
      <c r="K15" s="496">
        <v>0</v>
      </c>
      <c r="L15" s="496">
        <v>0</v>
      </c>
      <c r="M15" s="496">
        <v>71741</v>
      </c>
      <c r="N15" s="496">
        <v>4245</v>
      </c>
      <c r="O15" s="496">
        <v>0</v>
      </c>
      <c r="P15" s="497">
        <v>0.63</v>
      </c>
      <c r="Q15" s="412">
        <v>0.63</v>
      </c>
      <c r="R15" s="764">
        <v>0</v>
      </c>
      <c r="S15" s="530">
        <f>W15*-1</f>
        <v>0</v>
      </c>
      <c r="T15" s="486">
        <v>0</v>
      </c>
      <c r="U15" s="486">
        <v>0</v>
      </c>
      <c r="V15" s="486">
        <f>SUM(S15:U15)</f>
        <v>0</v>
      </c>
      <c r="W15" s="486">
        <v>0</v>
      </c>
      <c r="X15" s="486">
        <v>0</v>
      </c>
      <c r="Y15" s="486">
        <f>SUM(W15:X15)</f>
        <v>0</v>
      </c>
      <c r="Z15" s="486">
        <f>V15+Y15</f>
        <v>0</v>
      </c>
      <c r="AA15" s="319">
        <f>ROUND((V15+W15)*33.8%,0)</f>
        <v>0</v>
      </c>
      <c r="AB15" s="178">
        <f>ROUND(V15*2%,0)</f>
        <v>0</v>
      </c>
      <c r="AC15" s="486">
        <v>0</v>
      </c>
      <c r="AD15" s="486">
        <v>0</v>
      </c>
      <c r="AE15" s="486">
        <f t="shared" si="1"/>
        <v>0</v>
      </c>
      <c r="AF15" s="486">
        <f t="shared" si="2"/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 t="shared" ref="AL15:AL16" si="6">AG15+AI15+AJ15</f>
        <v>0</v>
      </c>
      <c r="AM15" s="501">
        <f t="shared" ref="AM15:AM16" si="7">AH15+AK15</f>
        <v>0</v>
      </c>
      <c r="AN15" s="502">
        <f t="shared" si="3"/>
        <v>0</v>
      </c>
      <c r="AO15" s="499">
        <f>I15+AF15</f>
        <v>288238</v>
      </c>
      <c r="AP15" s="486">
        <f>J15+V15</f>
        <v>212252</v>
      </c>
      <c r="AQ15" s="486">
        <f>K15+Y15</f>
        <v>0</v>
      </c>
      <c r="AR15" s="486">
        <f>L15</f>
        <v>0</v>
      </c>
      <c r="AS15" s="486">
        <f t="shared" si="4"/>
        <v>71741</v>
      </c>
      <c r="AT15" s="486">
        <f t="shared" si="4"/>
        <v>4245</v>
      </c>
      <c r="AU15" s="486">
        <f>O15+AE15</f>
        <v>0</v>
      </c>
      <c r="AV15" s="501">
        <f>P15+AN15</f>
        <v>0.63</v>
      </c>
      <c r="AW15" s="501">
        <f t="shared" si="5"/>
        <v>0.63</v>
      </c>
      <c r="AX15" s="502">
        <f t="shared" si="5"/>
        <v>0</v>
      </c>
    </row>
    <row r="16" spans="1:50" s="695" customFormat="1" x14ac:dyDescent="0.2">
      <c r="A16" s="720">
        <v>2</v>
      </c>
      <c r="B16" s="721">
        <v>4411</v>
      </c>
      <c r="C16" s="721">
        <v>600074340</v>
      </c>
      <c r="D16" s="721">
        <v>70982121</v>
      </c>
      <c r="E16" s="722" t="s">
        <v>151</v>
      </c>
      <c r="F16" s="721">
        <v>3141</v>
      </c>
      <c r="G16" s="531" t="s">
        <v>321</v>
      </c>
      <c r="H16" s="767" t="s">
        <v>284</v>
      </c>
      <c r="I16" s="495">
        <v>524865</v>
      </c>
      <c r="J16" s="496">
        <v>383532</v>
      </c>
      <c r="K16" s="475">
        <v>0</v>
      </c>
      <c r="L16" s="475">
        <v>0</v>
      </c>
      <c r="M16" s="319">
        <v>129634</v>
      </c>
      <c r="N16" s="319">
        <v>7671</v>
      </c>
      <c r="O16" s="496">
        <v>4028</v>
      </c>
      <c r="P16" s="497">
        <v>1.3</v>
      </c>
      <c r="Q16" s="412">
        <v>0</v>
      </c>
      <c r="R16" s="764">
        <v>1.3</v>
      </c>
      <c r="S16" s="530">
        <f>W16*-1</f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319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 t="shared" si="1"/>
        <v>0</v>
      </c>
      <c r="AF16" s="486">
        <f t="shared" si="2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si="6"/>
        <v>0</v>
      </c>
      <c r="AM16" s="501">
        <f t="shared" si="7"/>
        <v>0</v>
      </c>
      <c r="AN16" s="502">
        <f t="shared" si="3"/>
        <v>0</v>
      </c>
      <c r="AO16" s="499">
        <f>I16+AF16</f>
        <v>524865</v>
      </c>
      <c r="AP16" s="486">
        <f>J16+V16</f>
        <v>383532</v>
      </c>
      <c r="AQ16" s="486">
        <f>K16+Y16</f>
        <v>0</v>
      </c>
      <c r="AR16" s="486">
        <f>L16</f>
        <v>0</v>
      </c>
      <c r="AS16" s="486">
        <f t="shared" si="4"/>
        <v>129634</v>
      </c>
      <c r="AT16" s="486">
        <f t="shared" si="4"/>
        <v>7671</v>
      </c>
      <c r="AU16" s="486">
        <f>O16+AE16</f>
        <v>4028</v>
      </c>
      <c r="AV16" s="501">
        <f>P16+AN16</f>
        <v>1.3</v>
      </c>
      <c r="AW16" s="501">
        <f t="shared" si="5"/>
        <v>0</v>
      </c>
      <c r="AX16" s="502">
        <f t="shared" si="5"/>
        <v>1.3</v>
      </c>
    </row>
    <row r="17" spans="1:50" s="695" customFormat="1" x14ac:dyDescent="0.2">
      <c r="A17" s="282">
        <v>2</v>
      </c>
      <c r="B17" s="27">
        <v>4411</v>
      </c>
      <c r="C17" s="27">
        <v>600074340</v>
      </c>
      <c r="D17" s="27">
        <v>70982121</v>
      </c>
      <c r="E17" s="292" t="s">
        <v>152</v>
      </c>
      <c r="F17" s="27"/>
      <c r="G17" s="281"/>
      <c r="H17" s="377"/>
      <c r="I17" s="5">
        <v>9016951</v>
      </c>
      <c r="J17" s="8">
        <v>6519268</v>
      </c>
      <c r="K17" s="8">
        <v>41000</v>
      </c>
      <c r="L17" s="8">
        <v>0</v>
      </c>
      <c r="M17" s="8">
        <v>2217370</v>
      </c>
      <c r="N17" s="8">
        <v>130385</v>
      </c>
      <c r="O17" s="8">
        <v>108928</v>
      </c>
      <c r="P17" s="9">
        <v>15.632200000000001</v>
      </c>
      <c r="Q17" s="9">
        <v>10.55</v>
      </c>
      <c r="R17" s="33">
        <v>5.0821999999999994</v>
      </c>
      <c r="S17" s="5">
        <f t="shared" ref="S17:AX17" si="8">SUM(S14:S16)</f>
        <v>0</v>
      </c>
      <c r="T17" s="8">
        <f t="shared" si="8"/>
        <v>0</v>
      </c>
      <c r="U17" s="8">
        <f t="shared" si="8"/>
        <v>0</v>
      </c>
      <c r="V17" s="8">
        <f t="shared" si="8"/>
        <v>0</v>
      </c>
      <c r="W17" s="8">
        <f t="shared" si="8"/>
        <v>0</v>
      </c>
      <c r="X17" s="8">
        <f t="shared" si="8"/>
        <v>0</v>
      </c>
      <c r="Y17" s="8">
        <f t="shared" si="8"/>
        <v>0</v>
      </c>
      <c r="Z17" s="8">
        <f t="shared" si="8"/>
        <v>0</v>
      </c>
      <c r="AA17" s="8">
        <f t="shared" si="8"/>
        <v>0</v>
      </c>
      <c r="AB17" s="8">
        <f t="shared" si="8"/>
        <v>0</v>
      </c>
      <c r="AC17" s="8">
        <f t="shared" si="8"/>
        <v>0</v>
      </c>
      <c r="AD17" s="8">
        <f t="shared" si="8"/>
        <v>0</v>
      </c>
      <c r="AE17" s="8">
        <f t="shared" si="8"/>
        <v>0</v>
      </c>
      <c r="AF17" s="8">
        <f t="shared" si="8"/>
        <v>0</v>
      </c>
      <c r="AG17" s="9">
        <f t="shared" si="8"/>
        <v>0</v>
      </c>
      <c r="AH17" s="9">
        <f t="shared" si="8"/>
        <v>0</v>
      </c>
      <c r="AI17" s="9">
        <f t="shared" si="8"/>
        <v>0</v>
      </c>
      <c r="AJ17" s="9">
        <f t="shared" si="8"/>
        <v>0</v>
      </c>
      <c r="AK17" s="9">
        <f t="shared" si="8"/>
        <v>0</v>
      </c>
      <c r="AL17" s="9">
        <f t="shared" si="8"/>
        <v>0</v>
      </c>
      <c r="AM17" s="9">
        <f t="shared" si="8"/>
        <v>0</v>
      </c>
      <c r="AN17" s="74">
        <f t="shared" si="8"/>
        <v>0</v>
      </c>
      <c r="AO17" s="270">
        <f t="shared" si="8"/>
        <v>9016951</v>
      </c>
      <c r="AP17" s="8">
        <f t="shared" si="8"/>
        <v>6519268</v>
      </c>
      <c r="AQ17" s="38">
        <f t="shared" si="8"/>
        <v>41000</v>
      </c>
      <c r="AR17" s="38">
        <f t="shared" si="8"/>
        <v>0</v>
      </c>
      <c r="AS17" s="8">
        <f t="shared" si="8"/>
        <v>2217370</v>
      </c>
      <c r="AT17" s="8">
        <f t="shared" si="8"/>
        <v>130385</v>
      </c>
      <c r="AU17" s="8">
        <f t="shared" si="8"/>
        <v>108928</v>
      </c>
      <c r="AV17" s="9">
        <f t="shared" si="8"/>
        <v>15.632200000000001</v>
      </c>
      <c r="AW17" s="9">
        <f t="shared" si="8"/>
        <v>10.55</v>
      </c>
      <c r="AX17" s="74">
        <f t="shared" si="8"/>
        <v>5.0821999999999994</v>
      </c>
    </row>
    <row r="18" spans="1:50" s="695" customFormat="1" x14ac:dyDescent="0.2">
      <c r="A18" s="720">
        <v>3</v>
      </c>
      <c r="B18" s="721">
        <v>4409</v>
      </c>
      <c r="C18" s="721">
        <v>600074358</v>
      </c>
      <c r="D18" s="721">
        <v>70982104</v>
      </c>
      <c r="E18" s="712" t="s">
        <v>153</v>
      </c>
      <c r="F18" s="721">
        <v>3111</v>
      </c>
      <c r="G18" s="531" t="s">
        <v>317</v>
      </c>
      <c r="H18" s="767" t="s">
        <v>283</v>
      </c>
      <c r="I18" s="495">
        <v>15675300</v>
      </c>
      <c r="J18" s="496">
        <v>11332563</v>
      </c>
      <c r="K18" s="496">
        <v>10000</v>
      </c>
      <c r="L18" s="496">
        <v>0</v>
      </c>
      <c r="M18" s="496">
        <v>3833786</v>
      </c>
      <c r="N18" s="496">
        <v>226652</v>
      </c>
      <c r="O18" s="496">
        <v>272299</v>
      </c>
      <c r="P18" s="497">
        <v>27.511500000000002</v>
      </c>
      <c r="Q18" s="412">
        <v>20</v>
      </c>
      <c r="R18" s="764">
        <v>7.511499999999999</v>
      </c>
      <c r="S18" s="530">
        <f t="shared" ref="S18:S21" si="9">W18*-1</f>
        <v>0</v>
      </c>
      <c r="T18" s="486">
        <v>0</v>
      </c>
      <c r="U18" s="486">
        <v>0</v>
      </c>
      <c r="V18" s="486">
        <f>SUM(S18:U18)</f>
        <v>0</v>
      </c>
      <c r="W18" s="486">
        <v>0</v>
      </c>
      <c r="X18" s="486">
        <v>0</v>
      </c>
      <c r="Y18" s="486">
        <f>SUM(W18:X18)</f>
        <v>0</v>
      </c>
      <c r="Z18" s="486">
        <f>V18+Y18</f>
        <v>0</v>
      </c>
      <c r="AA18" s="319">
        <f>ROUND((V18+W18)*33.8%,0)</f>
        <v>0</v>
      </c>
      <c r="AB18" s="178">
        <f>ROUND(V18*2%,0)</f>
        <v>0</v>
      </c>
      <c r="AC18" s="486">
        <v>0</v>
      </c>
      <c r="AD18" s="486">
        <v>0</v>
      </c>
      <c r="AE18" s="486">
        <f t="shared" si="1"/>
        <v>0</v>
      </c>
      <c r="AF18" s="486">
        <f t="shared" si="2"/>
        <v>0</v>
      </c>
      <c r="AG18" s="501">
        <v>0</v>
      </c>
      <c r="AH18" s="501">
        <v>0</v>
      </c>
      <c r="AI18" s="501">
        <v>0</v>
      </c>
      <c r="AJ18" s="501">
        <v>0</v>
      </c>
      <c r="AK18" s="501">
        <v>0</v>
      </c>
      <c r="AL18" s="501">
        <f t="shared" ref="AL18:AL21" si="10">AG18+AI18+AJ18</f>
        <v>0</v>
      </c>
      <c r="AM18" s="501">
        <f t="shared" ref="AM18:AM21" si="11">AH18+AK18</f>
        <v>0</v>
      </c>
      <c r="AN18" s="502">
        <f t="shared" si="3"/>
        <v>0</v>
      </c>
      <c r="AO18" s="499">
        <f>I18+AF18</f>
        <v>15675300</v>
      </c>
      <c r="AP18" s="486">
        <f>J18+V18</f>
        <v>11332563</v>
      </c>
      <c r="AQ18" s="486">
        <f>K18+Y18</f>
        <v>10000</v>
      </c>
      <c r="AR18" s="486">
        <f>L18</f>
        <v>0</v>
      </c>
      <c r="AS18" s="486">
        <f t="shared" ref="AS18:AT21" si="12">M18+AA18</f>
        <v>3833786</v>
      </c>
      <c r="AT18" s="486">
        <f t="shared" si="12"/>
        <v>226652</v>
      </c>
      <c r="AU18" s="486">
        <f>O18+AE18</f>
        <v>272299</v>
      </c>
      <c r="AV18" s="501">
        <f>P18+AN18</f>
        <v>27.511500000000002</v>
      </c>
      <c r="AW18" s="501">
        <f t="shared" ref="AW18:AX21" si="13">Q18+AL18</f>
        <v>20</v>
      </c>
      <c r="AX18" s="502">
        <f t="shared" si="13"/>
        <v>7.511499999999999</v>
      </c>
    </row>
    <row r="19" spans="1:50" s="695" customFormat="1" x14ac:dyDescent="0.2">
      <c r="A19" s="720">
        <v>3</v>
      </c>
      <c r="B19" s="721">
        <v>4409</v>
      </c>
      <c r="C19" s="721">
        <v>600074358</v>
      </c>
      <c r="D19" s="721">
        <v>70982104</v>
      </c>
      <c r="E19" s="712" t="s">
        <v>153</v>
      </c>
      <c r="F19" s="721">
        <v>3111</v>
      </c>
      <c r="G19" s="531" t="s">
        <v>319</v>
      </c>
      <c r="H19" s="767" t="s">
        <v>283</v>
      </c>
      <c r="I19" s="495">
        <v>322712</v>
      </c>
      <c r="J19" s="496">
        <v>237638</v>
      </c>
      <c r="K19" s="475">
        <v>0</v>
      </c>
      <c r="L19" s="475">
        <v>0</v>
      </c>
      <c r="M19" s="319">
        <v>80322</v>
      </c>
      <c r="N19" s="319">
        <v>4752</v>
      </c>
      <c r="O19" s="496">
        <v>0</v>
      </c>
      <c r="P19" s="497">
        <v>0.66</v>
      </c>
      <c r="Q19" s="412">
        <v>0.66</v>
      </c>
      <c r="R19" s="764">
        <v>0</v>
      </c>
      <c r="S19" s="530">
        <f t="shared" si="9"/>
        <v>0</v>
      </c>
      <c r="T19" s="486">
        <v>0</v>
      </c>
      <c r="U19" s="486">
        <v>0</v>
      </c>
      <c r="V19" s="486">
        <f>SUM(S19:U19)</f>
        <v>0</v>
      </c>
      <c r="W19" s="486">
        <v>0</v>
      </c>
      <c r="X19" s="486">
        <v>0</v>
      </c>
      <c r="Y19" s="486">
        <f>SUM(W19:X19)</f>
        <v>0</v>
      </c>
      <c r="Z19" s="486">
        <f>V19+Y19</f>
        <v>0</v>
      </c>
      <c r="AA19" s="319">
        <f>ROUND((V19+W19)*33.8%,0)</f>
        <v>0</v>
      </c>
      <c r="AB19" s="178">
        <f>ROUND(V19*2%,0)</f>
        <v>0</v>
      </c>
      <c r="AC19" s="486">
        <v>0</v>
      </c>
      <c r="AD19" s="486">
        <v>0</v>
      </c>
      <c r="AE19" s="486">
        <f t="shared" si="1"/>
        <v>0</v>
      </c>
      <c r="AF19" s="486">
        <f t="shared" si="2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si="10"/>
        <v>0</v>
      </c>
      <c r="AM19" s="501">
        <f t="shared" si="11"/>
        <v>0</v>
      </c>
      <c r="AN19" s="502">
        <f t="shared" si="3"/>
        <v>0</v>
      </c>
      <c r="AO19" s="499">
        <f>I19+AF19</f>
        <v>322712</v>
      </c>
      <c r="AP19" s="486">
        <f>J19+V19</f>
        <v>237638</v>
      </c>
      <c r="AQ19" s="486">
        <f>K19+Y19</f>
        <v>0</v>
      </c>
      <c r="AR19" s="486">
        <f>L19</f>
        <v>0</v>
      </c>
      <c r="AS19" s="486">
        <f t="shared" si="12"/>
        <v>80322</v>
      </c>
      <c r="AT19" s="486">
        <f t="shared" si="12"/>
        <v>4752</v>
      </c>
      <c r="AU19" s="486">
        <f>O19+AE19</f>
        <v>0</v>
      </c>
      <c r="AV19" s="501">
        <f>P19+AN19</f>
        <v>0.66</v>
      </c>
      <c r="AW19" s="501">
        <f t="shared" si="13"/>
        <v>0.66</v>
      </c>
      <c r="AX19" s="502">
        <f t="shared" si="13"/>
        <v>0</v>
      </c>
    </row>
    <row r="20" spans="1:50" s="695" customFormat="1" x14ac:dyDescent="0.2">
      <c r="A20" s="720">
        <v>3</v>
      </c>
      <c r="B20" s="721">
        <v>4409</v>
      </c>
      <c r="C20" s="721">
        <v>600074358</v>
      </c>
      <c r="D20" s="721">
        <v>70982104</v>
      </c>
      <c r="E20" s="712" t="s">
        <v>153</v>
      </c>
      <c r="F20" s="721">
        <v>3111</v>
      </c>
      <c r="G20" s="531" t="s">
        <v>318</v>
      </c>
      <c r="H20" s="767" t="s">
        <v>284</v>
      </c>
      <c r="I20" s="495">
        <v>872165</v>
      </c>
      <c r="J20" s="496">
        <v>639297</v>
      </c>
      <c r="K20" s="475">
        <v>0</v>
      </c>
      <c r="L20" s="475">
        <v>0</v>
      </c>
      <c r="M20" s="319">
        <v>216082</v>
      </c>
      <c r="N20" s="319">
        <v>12786</v>
      </c>
      <c r="O20" s="496">
        <v>4000</v>
      </c>
      <c r="P20" s="497">
        <v>1.87</v>
      </c>
      <c r="Q20" s="412">
        <v>1.87</v>
      </c>
      <c r="R20" s="764">
        <v>0</v>
      </c>
      <c r="S20" s="530">
        <f t="shared" si="9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1"/>
        <v>0</v>
      </c>
      <c r="AF20" s="486">
        <f t="shared" si="2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0"/>
        <v>0</v>
      </c>
      <c r="AM20" s="501">
        <f t="shared" si="11"/>
        <v>0</v>
      </c>
      <c r="AN20" s="502">
        <f t="shared" si="3"/>
        <v>0</v>
      </c>
      <c r="AO20" s="499">
        <f>I20+AF20</f>
        <v>872165</v>
      </c>
      <c r="AP20" s="486">
        <f>J20+V20</f>
        <v>639297</v>
      </c>
      <c r="AQ20" s="486">
        <f>K20+Y20</f>
        <v>0</v>
      </c>
      <c r="AR20" s="486">
        <f>L20</f>
        <v>0</v>
      </c>
      <c r="AS20" s="486">
        <f t="shared" si="12"/>
        <v>216082</v>
      </c>
      <c r="AT20" s="486">
        <f t="shared" si="12"/>
        <v>12786</v>
      </c>
      <c r="AU20" s="486">
        <f>O20+AE20</f>
        <v>4000</v>
      </c>
      <c r="AV20" s="501">
        <f>P20+AN20</f>
        <v>1.87</v>
      </c>
      <c r="AW20" s="501">
        <f t="shared" si="13"/>
        <v>1.87</v>
      </c>
      <c r="AX20" s="502">
        <f t="shared" si="13"/>
        <v>0</v>
      </c>
    </row>
    <row r="21" spans="1:50" s="695" customFormat="1" x14ac:dyDescent="0.2">
      <c r="A21" s="720">
        <v>3</v>
      </c>
      <c r="B21" s="721">
        <v>4409</v>
      </c>
      <c r="C21" s="721">
        <v>600074358</v>
      </c>
      <c r="D21" s="721">
        <v>70982104</v>
      </c>
      <c r="E21" s="722" t="s">
        <v>153</v>
      </c>
      <c r="F21" s="721">
        <v>3141</v>
      </c>
      <c r="G21" s="531" t="s">
        <v>321</v>
      </c>
      <c r="H21" s="767" t="s">
        <v>284</v>
      </c>
      <c r="I21" s="495">
        <v>2396591</v>
      </c>
      <c r="J21" s="496">
        <v>1750258</v>
      </c>
      <c r="K21" s="475">
        <v>5000</v>
      </c>
      <c r="L21" s="475">
        <v>0</v>
      </c>
      <c r="M21" s="319">
        <v>593278</v>
      </c>
      <c r="N21" s="319">
        <v>35005</v>
      </c>
      <c r="O21" s="496">
        <v>13050</v>
      </c>
      <c r="P21" s="497">
        <v>5.95</v>
      </c>
      <c r="Q21" s="412">
        <v>0</v>
      </c>
      <c r="R21" s="764">
        <v>5.95</v>
      </c>
      <c r="S21" s="530">
        <f t="shared" si="9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1"/>
        <v>0</v>
      </c>
      <c r="AF21" s="486">
        <f t="shared" si="2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0"/>
        <v>0</v>
      </c>
      <c r="AM21" s="501">
        <f t="shared" si="11"/>
        <v>0</v>
      </c>
      <c r="AN21" s="502">
        <f t="shared" si="3"/>
        <v>0</v>
      </c>
      <c r="AO21" s="499">
        <f>I21+AF21</f>
        <v>2396591</v>
      </c>
      <c r="AP21" s="486">
        <f>J21+V21</f>
        <v>1750258</v>
      </c>
      <c r="AQ21" s="486">
        <f>K21+Y21</f>
        <v>5000</v>
      </c>
      <c r="AR21" s="486">
        <f>L21</f>
        <v>0</v>
      </c>
      <c r="AS21" s="486">
        <f t="shared" si="12"/>
        <v>593278</v>
      </c>
      <c r="AT21" s="486">
        <f t="shared" si="12"/>
        <v>35005</v>
      </c>
      <c r="AU21" s="486">
        <f>O21+AE21</f>
        <v>13050</v>
      </c>
      <c r="AV21" s="501">
        <f>P21+AN21</f>
        <v>5.95</v>
      </c>
      <c r="AW21" s="501">
        <f t="shared" si="13"/>
        <v>0</v>
      </c>
      <c r="AX21" s="502">
        <f t="shared" si="13"/>
        <v>5.95</v>
      </c>
    </row>
    <row r="22" spans="1:50" s="695" customFormat="1" x14ac:dyDescent="0.2">
      <c r="A22" s="282">
        <v>3</v>
      </c>
      <c r="B22" s="27">
        <v>4409</v>
      </c>
      <c r="C22" s="27">
        <v>600074358</v>
      </c>
      <c r="D22" s="27">
        <v>70982104</v>
      </c>
      <c r="E22" s="292" t="s">
        <v>154</v>
      </c>
      <c r="F22" s="27"/>
      <c r="G22" s="281"/>
      <c r="H22" s="377"/>
      <c r="I22" s="5">
        <v>19266768</v>
      </c>
      <c r="J22" s="8">
        <v>13959756</v>
      </c>
      <c r="K22" s="8">
        <v>15000</v>
      </c>
      <c r="L22" s="8">
        <v>0</v>
      </c>
      <c r="M22" s="8">
        <v>4723468</v>
      </c>
      <c r="N22" s="8">
        <v>279195</v>
      </c>
      <c r="O22" s="8">
        <v>289349</v>
      </c>
      <c r="P22" s="9">
        <v>35.991500000000002</v>
      </c>
      <c r="Q22" s="9">
        <v>22.53</v>
      </c>
      <c r="R22" s="33">
        <v>13.461499999999999</v>
      </c>
      <c r="S22" s="5">
        <f t="shared" ref="S22:AX22" si="14">SUM(S18:S21)</f>
        <v>0</v>
      </c>
      <c r="T22" s="8">
        <f t="shared" si="14"/>
        <v>0</v>
      </c>
      <c r="U22" s="8">
        <f t="shared" si="14"/>
        <v>0</v>
      </c>
      <c r="V22" s="8">
        <f t="shared" si="14"/>
        <v>0</v>
      </c>
      <c r="W22" s="8">
        <f t="shared" si="14"/>
        <v>0</v>
      </c>
      <c r="X22" s="8">
        <f t="shared" si="14"/>
        <v>0</v>
      </c>
      <c r="Y22" s="8">
        <f t="shared" si="14"/>
        <v>0</v>
      </c>
      <c r="Z22" s="8">
        <f t="shared" si="14"/>
        <v>0</v>
      </c>
      <c r="AA22" s="8">
        <f t="shared" si="14"/>
        <v>0</v>
      </c>
      <c r="AB22" s="8">
        <f t="shared" si="14"/>
        <v>0</v>
      </c>
      <c r="AC22" s="8">
        <f t="shared" si="14"/>
        <v>0</v>
      </c>
      <c r="AD22" s="8">
        <f t="shared" si="14"/>
        <v>0</v>
      </c>
      <c r="AE22" s="8">
        <f t="shared" si="14"/>
        <v>0</v>
      </c>
      <c r="AF22" s="8">
        <f t="shared" si="14"/>
        <v>0</v>
      </c>
      <c r="AG22" s="9">
        <f t="shared" si="14"/>
        <v>0</v>
      </c>
      <c r="AH22" s="9">
        <f t="shared" si="14"/>
        <v>0</v>
      </c>
      <c r="AI22" s="9">
        <f t="shared" si="14"/>
        <v>0</v>
      </c>
      <c r="AJ22" s="9">
        <f t="shared" si="14"/>
        <v>0</v>
      </c>
      <c r="AK22" s="9">
        <f t="shared" si="14"/>
        <v>0</v>
      </c>
      <c r="AL22" s="9">
        <f t="shared" si="14"/>
        <v>0</v>
      </c>
      <c r="AM22" s="9">
        <f t="shared" si="14"/>
        <v>0</v>
      </c>
      <c r="AN22" s="74">
        <f t="shared" si="14"/>
        <v>0</v>
      </c>
      <c r="AO22" s="270">
        <f t="shared" si="14"/>
        <v>19266768</v>
      </c>
      <c r="AP22" s="8">
        <f t="shared" si="14"/>
        <v>13959756</v>
      </c>
      <c r="AQ22" s="38">
        <f t="shared" si="14"/>
        <v>15000</v>
      </c>
      <c r="AR22" s="38">
        <f t="shared" si="14"/>
        <v>0</v>
      </c>
      <c r="AS22" s="8">
        <f t="shared" si="14"/>
        <v>4723468</v>
      </c>
      <c r="AT22" s="8">
        <f t="shared" si="14"/>
        <v>279195</v>
      </c>
      <c r="AU22" s="8">
        <f t="shared" si="14"/>
        <v>289349</v>
      </c>
      <c r="AV22" s="9">
        <f t="shared" si="14"/>
        <v>35.991500000000002</v>
      </c>
      <c r="AW22" s="9">
        <f t="shared" si="14"/>
        <v>22.53</v>
      </c>
      <c r="AX22" s="74">
        <f t="shared" si="14"/>
        <v>13.461499999999999</v>
      </c>
    </row>
    <row r="23" spans="1:50" s="695" customFormat="1" x14ac:dyDescent="0.2">
      <c r="A23" s="720">
        <v>4</v>
      </c>
      <c r="B23" s="721">
        <v>4407</v>
      </c>
      <c r="C23" s="721">
        <v>600074552</v>
      </c>
      <c r="D23" s="721">
        <v>70982201</v>
      </c>
      <c r="E23" s="722" t="s">
        <v>155</v>
      </c>
      <c r="F23" s="721">
        <v>3111</v>
      </c>
      <c r="G23" s="531" t="s">
        <v>317</v>
      </c>
      <c r="H23" s="767" t="s">
        <v>283</v>
      </c>
      <c r="I23" s="495">
        <v>6997172</v>
      </c>
      <c r="J23" s="496">
        <v>5101195</v>
      </c>
      <c r="K23" s="496">
        <v>0</v>
      </c>
      <c r="L23" s="496">
        <v>0</v>
      </c>
      <c r="M23" s="496">
        <v>1724203</v>
      </c>
      <c r="N23" s="496">
        <v>102024</v>
      </c>
      <c r="O23" s="496">
        <v>69750</v>
      </c>
      <c r="P23" s="497">
        <v>11.1752</v>
      </c>
      <c r="Q23" s="412">
        <v>8.2099999999999991</v>
      </c>
      <c r="R23" s="764">
        <v>2.9652000000000012</v>
      </c>
      <c r="S23" s="530">
        <f t="shared" ref="S23:S26" si="15">W23*-1</f>
        <v>0</v>
      </c>
      <c r="T23" s="486">
        <v>0</v>
      </c>
      <c r="U23" s="486">
        <v>0</v>
      </c>
      <c r="V23" s="486">
        <f>SUM(S23:U23)</f>
        <v>0</v>
      </c>
      <c r="W23" s="486">
        <v>0</v>
      </c>
      <c r="X23" s="486">
        <v>0</v>
      </c>
      <c r="Y23" s="486">
        <f>SUM(W23:X23)</f>
        <v>0</v>
      </c>
      <c r="Z23" s="486">
        <f>V23+Y23</f>
        <v>0</v>
      </c>
      <c r="AA23" s="319">
        <f>ROUND((V23+W23)*33.8%,0)</f>
        <v>0</v>
      </c>
      <c r="AB23" s="178">
        <f>ROUND(V23*2%,0)</f>
        <v>0</v>
      </c>
      <c r="AC23" s="486">
        <v>0</v>
      </c>
      <c r="AD23" s="486">
        <v>0</v>
      </c>
      <c r="AE23" s="486">
        <f t="shared" si="1"/>
        <v>0</v>
      </c>
      <c r="AF23" s="486">
        <f t="shared" si="2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ref="AL23:AL26" si="16">AG23+AI23+AJ23</f>
        <v>0</v>
      </c>
      <c r="AM23" s="501">
        <f t="shared" ref="AM23:AM26" si="17">AH23+AK23</f>
        <v>0</v>
      </c>
      <c r="AN23" s="502">
        <f t="shared" si="3"/>
        <v>0</v>
      </c>
      <c r="AO23" s="499">
        <f>I23+AF23</f>
        <v>6997172</v>
      </c>
      <c r="AP23" s="486">
        <f>J23+V23</f>
        <v>5101195</v>
      </c>
      <c r="AQ23" s="486">
        <f>K23+Y23</f>
        <v>0</v>
      </c>
      <c r="AR23" s="486">
        <f>L23</f>
        <v>0</v>
      </c>
      <c r="AS23" s="486">
        <f t="shared" ref="AS23:AT26" si="18">M23+AA23</f>
        <v>1724203</v>
      </c>
      <c r="AT23" s="486">
        <f t="shared" si="18"/>
        <v>102024</v>
      </c>
      <c r="AU23" s="486">
        <f>O23+AE23</f>
        <v>69750</v>
      </c>
      <c r="AV23" s="501">
        <f>P23+AN23</f>
        <v>11.1752</v>
      </c>
      <c r="AW23" s="501">
        <f t="shared" ref="AW23:AX26" si="19">Q23+AL23</f>
        <v>8.2099999999999991</v>
      </c>
      <c r="AX23" s="502">
        <f t="shared" si="19"/>
        <v>2.9652000000000012</v>
      </c>
    </row>
    <row r="24" spans="1:50" s="695" customFormat="1" x14ac:dyDescent="0.2">
      <c r="A24" s="720">
        <v>4</v>
      </c>
      <c r="B24" s="721">
        <v>4407</v>
      </c>
      <c r="C24" s="721">
        <v>600074552</v>
      </c>
      <c r="D24" s="721">
        <v>70982201</v>
      </c>
      <c r="E24" s="722" t="s">
        <v>155</v>
      </c>
      <c r="F24" s="721">
        <v>3111</v>
      </c>
      <c r="G24" s="531" t="s">
        <v>319</v>
      </c>
      <c r="H24" s="767" t="s">
        <v>283</v>
      </c>
      <c r="I24" s="495">
        <v>525449</v>
      </c>
      <c r="J24" s="496">
        <v>386928</v>
      </c>
      <c r="K24" s="475">
        <v>0</v>
      </c>
      <c r="L24" s="475">
        <v>0</v>
      </c>
      <c r="M24" s="319">
        <v>130782</v>
      </c>
      <c r="N24" s="319">
        <v>7739</v>
      </c>
      <c r="O24" s="496">
        <v>0</v>
      </c>
      <c r="P24" s="497">
        <v>1</v>
      </c>
      <c r="Q24" s="412">
        <v>1</v>
      </c>
      <c r="R24" s="764">
        <v>0</v>
      </c>
      <c r="S24" s="530">
        <f t="shared" si="15"/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1"/>
        <v>0</v>
      </c>
      <c r="AF24" s="486">
        <f t="shared" si="2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16"/>
        <v>0</v>
      </c>
      <c r="AM24" s="501">
        <f t="shared" si="17"/>
        <v>0</v>
      </c>
      <c r="AN24" s="502">
        <f t="shared" si="3"/>
        <v>0</v>
      </c>
      <c r="AO24" s="499">
        <f>I24+AF24</f>
        <v>525449</v>
      </c>
      <c r="AP24" s="486">
        <f>J24+V24</f>
        <v>386928</v>
      </c>
      <c r="AQ24" s="486">
        <f>K24+Y24</f>
        <v>0</v>
      </c>
      <c r="AR24" s="486">
        <f>L24</f>
        <v>0</v>
      </c>
      <c r="AS24" s="486">
        <f t="shared" si="18"/>
        <v>130782</v>
      </c>
      <c r="AT24" s="486">
        <f t="shared" si="18"/>
        <v>7739</v>
      </c>
      <c r="AU24" s="486">
        <f>O24+AE24</f>
        <v>0</v>
      </c>
      <c r="AV24" s="501">
        <f>P24+AN24</f>
        <v>1</v>
      </c>
      <c r="AW24" s="501">
        <f t="shared" si="19"/>
        <v>1</v>
      </c>
      <c r="AX24" s="502">
        <f t="shared" si="19"/>
        <v>0</v>
      </c>
    </row>
    <row r="25" spans="1:50" s="695" customFormat="1" x14ac:dyDescent="0.2">
      <c r="A25" s="720">
        <v>4</v>
      </c>
      <c r="B25" s="721">
        <v>4407</v>
      </c>
      <c r="C25" s="721">
        <v>600074552</v>
      </c>
      <c r="D25" s="721">
        <v>70982201</v>
      </c>
      <c r="E25" s="722" t="s">
        <v>155</v>
      </c>
      <c r="F25" s="721">
        <v>3111</v>
      </c>
      <c r="G25" s="531" t="s">
        <v>318</v>
      </c>
      <c r="H25" s="767" t="s">
        <v>284</v>
      </c>
      <c r="I25" s="495">
        <v>1161003</v>
      </c>
      <c r="J25" s="496">
        <v>854936</v>
      </c>
      <c r="K25" s="475">
        <v>0</v>
      </c>
      <c r="L25" s="475">
        <v>0</v>
      </c>
      <c r="M25" s="319">
        <v>288968</v>
      </c>
      <c r="N25" s="319">
        <v>17099</v>
      </c>
      <c r="O25" s="496">
        <v>0</v>
      </c>
      <c r="P25" s="497">
        <v>2.5299999999999998</v>
      </c>
      <c r="Q25" s="412">
        <v>2.5299999999999998</v>
      </c>
      <c r="R25" s="764">
        <v>0</v>
      </c>
      <c r="S25" s="530">
        <f t="shared" si="15"/>
        <v>0</v>
      </c>
      <c r="T25" s="486">
        <v>19294</v>
      </c>
      <c r="U25" s="486">
        <v>0</v>
      </c>
      <c r="V25" s="486">
        <f>SUM(S25:U25)</f>
        <v>19294</v>
      </c>
      <c r="W25" s="486">
        <v>0</v>
      </c>
      <c r="X25" s="486">
        <v>0</v>
      </c>
      <c r="Y25" s="486">
        <f>SUM(W25:X25)</f>
        <v>0</v>
      </c>
      <c r="Z25" s="486">
        <f>V25+Y25</f>
        <v>19294</v>
      </c>
      <c r="AA25" s="319">
        <f>ROUND((V25+W25)*33.8%,0)</f>
        <v>6521</v>
      </c>
      <c r="AB25" s="178">
        <f>ROUND(V25*2%,0)</f>
        <v>386</v>
      </c>
      <c r="AC25" s="486">
        <v>0</v>
      </c>
      <c r="AD25" s="486">
        <v>0</v>
      </c>
      <c r="AE25" s="486">
        <f t="shared" si="1"/>
        <v>0</v>
      </c>
      <c r="AF25" s="486">
        <f t="shared" si="2"/>
        <v>26201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16"/>
        <v>0</v>
      </c>
      <c r="AM25" s="501">
        <f t="shared" si="17"/>
        <v>0</v>
      </c>
      <c r="AN25" s="502">
        <f t="shared" si="3"/>
        <v>0</v>
      </c>
      <c r="AO25" s="499">
        <f>I25+AF25</f>
        <v>1187204</v>
      </c>
      <c r="AP25" s="486">
        <f>J25+V25</f>
        <v>874230</v>
      </c>
      <c r="AQ25" s="486">
        <f>K25+Y25</f>
        <v>0</v>
      </c>
      <c r="AR25" s="486">
        <f>L25</f>
        <v>0</v>
      </c>
      <c r="AS25" s="486">
        <f t="shared" si="18"/>
        <v>295489</v>
      </c>
      <c r="AT25" s="486">
        <f t="shared" si="18"/>
        <v>17485</v>
      </c>
      <c r="AU25" s="486">
        <f>O25+AE25</f>
        <v>0</v>
      </c>
      <c r="AV25" s="501">
        <f>P25+AN25</f>
        <v>2.5299999999999998</v>
      </c>
      <c r="AW25" s="501">
        <f t="shared" si="19"/>
        <v>2.5299999999999998</v>
      </c>
      <c r="AX25" s="502">
        <f t="shared" si="19"/>
        <v>0</v>
      </c>
    </row>
    <row r="26" spans="1:50" s="695" customFormat="1" x14ac:dyDescent="0.2">
      <c r="A26" s="720">
        <v>4</v>
      </c>
      <c r="B26" s="721">
        <v>4407</v>
      </c>
      <c r="C26" s="721">
        <v>600074552</v>
      </c>
      <c r="D26" s="721">
        <v>70982201</v>
      </c>
      <c r="E26" s="722" t="s">
        <v>155</v>
      </c>
      <c r="F26" s="721">
        <v>3141</v>
      </c>
      <c r="G26" s="531" t="s">
        <v>321</v>
      </c>
      <c r="H26" s="767" t="s">
        <v>284</v>
      </c>
      <c r="I26" s="495">
        <v>957662</v>
      </c>
      <c r="J26" s="496">
        <v>701314</v>
      </c>
      <c r="K26" s="475">
        <v>0</v>
      </c>
      <c r="L26" s="475">
        <v>0</v>
      </c>
      <c r="M26" s="319">
        <v>237044</v>
      </c>
      <c r="N26" s="319">
        <v>14026</v>
      </c>
      <c r="O26" s="496">
        <v>5278</v>
      </c>
      <c r="P26" s="497">
        <v>2.39</v>
      </c>
      <c r="Q26" s="412">
        <v>0</v>
      </c>
      <c r="R26" s="764">
        <v>2.39</v>
      </c>
      <c r="S26" s="530">
        <f t="shared" si="15"/>
        <v>0</v>
      </c>
      <c r="T26" s="486">
        <v>0</v>
      </c>
      <c r="U26" s="486">
        <v>0</v>
      </c>
      <c r="V26" s="486">
        <f>SUM(S26:U26)</f>
        <v>0</v>
      </c>
      <c r="W26" s="486">
        <v>0</v>
      </c>
      <c r="X26" s="486">
        <v>0</v>
      </c>
      <c r="Y26" s="486">
        <f>SUM(W26:X26)</f>
        <v>0</v>
      </c>
      <c r="Z26" s="486">
        <f>V26+Y26</f>
        <v>0</v>
      </c>
      <c r="AA26" s="319">
        <f>ROUND((V26+W26)*33.8%,0)</f>
        <v>0</v>
      </c>
      <c r="AB26" s="178">
        <f>ROUND(V26*2%,0)</f>
        <v>0</v>
      </c>
      <c r="AC26" s="486">
        <v>0</v>
      </c>
      <c r="AD26" s="486">
        <v>0</v>
      </c>
      <c r="AE26" s="486">
        <f t="shared" si="1"/>
        <v>0</v>
      </c>
      <c r="AF26" s="486">
        <f t="shared" si="2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16"/>
        <v>0</v>
      </c>
      <c r="AM26" s="501">
        <f t="shared" si="17"/>
        <v>0</v>
      </c>
      <c r="AN26" s="502">
        <f t="shared" si="3"/>
        <v>0</v>
      </c>
      <c r="AO26" s="499">
        <f>I26+AF26</f>
        <v>957662</v>
      </c>
      <c r="AP26" s="486">
        <f>J26+V26</f>
        <v>701314</v>
      </c>
      <c r="AQ26" s="486">
        <f>K26+Y26</f>
        <v>0</v>
      </c>
      <c r="AR26" s="486">
        <f>L26</f>
        <v>0</v>
      </c>
      <c r="AS26" s="486">
        <f t="shared" si="18"/>
        <v>237044</v>
      </c>
      <c r="AT26" s="486">
        <f t="shared" si="18"/>
        <v>14026</v>
      </c>
      <c r="AU26" s="486">
        <f>O26+AE26</f>
        <v>5278</v>
      </c>
      <c r="AV26" s="501">
        <f>P26+AN26</f>
        <v>2.39</v>
      </c>
      <c r="AW26" s="501">
        <f t="shared" si="19"/>
        <v>0</v>
      </c>
      <c r="AX26" s="502">
        <f t="shared" si="19"/>
        <v>2.39</v>
      </c>
    </row>
    <row r="27" spans="1:50" s="695" customFormat="1" x14ac:dyDescent="0.2">
      <c r="A27" s="282">
        <v>4</v>
      </c>
      <c r="B27" s="27">
        <v>4407</v>
      </c>
      <c r="C27" s="27">
        <v>600074552</v>
      </c>
      <c r="D27" s="27">
        <v>70982201</v>
      </c>
      <c r="E27" s="292" t="s">
        <v>156</v>
      </c>
      <c r="F27" s="27"/>
      <c r="G27" s="281"/>
      <c r="H27" s="377"/>
      <c r="I27" s="5">
        <v>9641286</v>
      </c>
      <c r="J27" s="8">
        <v>7044373</v>
      </c>
      <c r="K27" s="8">
        <v>0</v>
      </c>
      <c r="L27" s="8">
        <v>0</v>
      </c>
      <c r="M27" s="8">
        <v>2380997</v>
      </c>
      <c r="N27" s="8">
        <v>140888</v>
      </c>
      <c r="O27" s="8">
        <v>75028</v>
      </c>
      <c r="P27" s="9">
        <v>17.095199999999998</v>
      </c>
      <c r="Q27" s="9">
        <v>11.739999999999998</v>
      </c>
      <c r="R27" s="33">
        <v>5.3552000000000017</v>
      </c>
      <c r="S27" s="5">
        <f t="shared" ref="S27:AX27" si="20">SUM(S23:S26)</f>
        <v>0</v>
      </c>
      <c r="T27" s="8">
        <f t="shared" si="20"/>
        <v>19294</v>
      </c>
      <c r="U27" s="8">
        <f t="shared" si="20"/>
        <v>0</v>
      </c>
      <c r="V27" s="8">
        <f t="shared" si="20"/>
        <v>19294</v>
      </c>
      <c r="W27" s="8">
        <f t="shared" si="20"/>
        <v>0</v>
      </c>
      <c r="X27" s="8">
        <f t="shared" si="20"/>
        <v>0</v>
      </c>
      <c r="Y27" s="8">
        <f t="shared" si="20"/>
        <v>0</v>
      </c>
      <c r="Z27" s="8">
        <f t="shared" si="20"/>
        <v>19294</v>
      </c>
      <c r="AA27" s="8">
        <f t="shared" si="20"/>
        <v>6521</v>
      </c>
      <c r="AB27" s="8">
        <f t="shared" si="20"/>
        <v>386</v>
      </c>
      <c r="AC27" s="8">
        <f t="shared" si="20"/>
        <v>0</v>
      </c>
      <c r="AD27" s="8">
        <f t="shared" si="20"/>
        <v>0</v>
      </c>
      <c r="AE27" s="8">
        <f t="shared" si="20"/>
        <v>0</v>
      </c>
      <c r="AF27" s="8">
        <f t="shared" si="20"/>
        <v>26201</v>
      </c>
      <c r="AG27" s="9">
        <f t="shared" si="20"/>
        <v>0</v>
      </c>
      <c r="AH27" s="9">
        <f t="shared" si="20"/>
        <v>0</v>
      </c>
      <c r="AI27" s="9">
        <f t="shared" si="20"/>
        <v>0</v>
      </c>
      <c r="AJ27" s="9">
        <f t="shared" si="20"/>
        <v>0</v>
      </c>
      <c r="AK27" s="9">
        <f t="shared" si="20"/>
        <v>0</v>
      </c>
      <c r="AL27" s="9">
        <f t="shared" si="20"/>
        <v>0</v>
      </c>
      <c r="AM27" s="9">
        <f t="shared" si="20"/>
        <v>0</v>
      </c>
      <c r="AN27" s="74">
        <f t="shared" si="20"/>
        <v>0</v>
      </c>
      <c r="AO27" s="270">
        <f t="shared" si="20"/>
        <v>9667487</v>
      </c>
      <c r="AP27" s="8">
        <f t="shared" si="20"/>
        <v>7063667</v>
      </c>
      <c r="AQ27" s="38">
        <f t="shared" si="20"/>
        <v>0</v>
      </c>
      <c r="AR27" s="38">
        <f t="shared" si="20"/>
        <v>0</v>
      </c>
      <c r="AS27" s="8">
        <f t="shared" si="20"/>
        <v>2387518</v>
      </c>
      <c r="AT27" s="8">
        <f t="shared" si="20"/>
        <v>141274</v>
      </c>
      <c r="AU27" s="8">
        <f t="shared" si="20"/>
        <v>75028</v>
      </c>
      <c r="AV27" s="9">
        <f t="shared" si="20"/>
        <v>17.095199999999998</v>
      </c>
      <c r="AW27" s="9">
        <f t="shared" si="20"/>
        <v>11.739999999999998</v>
      </c>
      <c r="AX27" s="74">
        <f t="shared" si="20"/>
        <v>5.3552000000000017</v>
      </c>
    </row>
    <row r="28" spans="1:50" s="695" customFormat="1" x14ac:dyDescent="0.2">
      <c r="A28" s="720">
        <v>5</v>
      </c>
      <c r="B28" s="721">
        <v>4492</v>
      </c>
      <c r="C28" s="721">
        <v>650065221</v>
      </c>
      <c r="D28" s="721">
        <v>71173838</v>
      </c>
      <c r="E28" s="722" t="s">
        <v>157</v>
      </c>
      <c r="F28" s="721">
        <v>3111</v>
      </c>
      <c r="G28" s="531" t="s">
        <v>317</v>
      </c>
      <c r="H28" s="767" t="s">
        <v>283</v>
      </c>
      <c r="I28" s="495">
        <v>7598177</v>
      </c>
      <c r="J28" s="496">
        <v>5541515</v>
      </c>
      <c r="K28" s="496">
        <v>0</v>
      </c>
      <c r="L28" s="496">
        <v>0</v>
      </c>
      <c r="M28" s="496">
        <v>1873032</v>
      </c>
      <c r="N28" s="496">
        <v>110830</v>
      </c>
      <c r="O28" s="496">
        <v>72800</v>
      </c>
      <c r="P28" s="497">
        <v>12.491300000000001</v>
      </c>
      <c r="Q28" s="412">
        <v>9</v>
      </c>
      <c r="R28" s="764">
        <v>3.4913000000000007</v>
      </c>
      <c r="S28" s="530">
        <f t="shared" ref="S28:S30" si="21">W28*-1</f>
        <v>0</v>
      </c>
      <c r="T28" s="486">
        <v>0</v>
      </c>
      <c r="U28" s="486">
        <v>0</v>
      </c>
      <c r="V28" s="486">
        <f>SUM(S28:U28)</f>
        <v>0</v>
      </c>
      <c r="W28" s="486">
        <v>0</v>
      </c>
      <c r="X28" s="486">
        <v>0</v>
      </c>
      <c r="Y28" s="486">
        <f>SUM(W28:X28)</f>
        <v>0</v>
      </c>
      <c r="Z28" s="486">
        <f>V28+Y28</f>
        <v>0</v>
      </c>
      <c r="AA28" s="319">
        <f>ROUND((V28+W28)*33.8%,0)</f>
        <v>0</v>
      </c>
      <c r="AB28" s="178">
        <f>ROUND(V28*2%,0)</f>
        <v>0</v>
      </c>
      <c r="AC28" s="486">
        <v>0</v>
      </c>
      <c r="AD28" s="486">
        <v>0</v>
      </c>
      <c r="AE28" s="486">
        <f t="shared" si="1"/>
        <v>0</v>
      </c>
      <c r="AF28" s="486">
        <f t="shared" si="2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ref="AL28:AL30" si="22">AG28+AI28+AJ28</f>
        <v>0</v>
      </c>
      <c r="AM28" s="501">
        <f t="shared" ref="AM28:AM30" si="23">AH28+AK28</f>
        <v>0</v>
      </c>
      <c r="AN28" s="502">
        <f t="shared" si="3"/>
        <v>0</v>
      </c>
      <c r="AO28" s="499">
        <f>I28+AF28</f>
        <v>7598177</v>
      </c>
      <c r="AP28" s="486">
        <f>J28+V28</f>
        <v>5541515</v>
      </c>
      <c r="AQ28" s="486">
        <f>K28+Y28</f>
        <v>0</v>
      </c>
      <c r="AR28" s="486">
        <f>L28</f>
        <v>0</v>
      </c>
      <c r="AS28" s="486">
        <f t="shared" ref="AS28:AT30" si="24">M28+AA28</f>
        <v>1873032</v>
      </c>
      <c r="AT28" s="486">
        <f t="shared" si="24"/>
        <v>110830</v>
      </c>
      <c r="AU28" s="486">
        <f>O28+AE28</f>
        <v>72800</v>
      </c>
      <c r="AV28" s="501">
        <f>P28+AN28</f>
        <v>12.491300000000001</v>
      </c>
      <c r="AW28" s="501">
        <f t="shared" ref="AW28:AX30" si="25">Q28+AL28</f>
        <v>9</v>
      </c>
      <c r="AX28" s="502">
        <f t="shared" si="25"/>
        <v>3.4913000000000007</v>
      </c>
    </row>
    <row r="29" spans="1:50" s="695" customFormat="1" x14ac:dyDescent="0.2">
      <c r="A29" s="720">
        <v>5</v>
      </c>
      <c r="B29" s="721">
        <v>4492</v>
      </c>
      <c r="C29" s="721">
        <v>650065221</v>
      </c>
      <c r="D29" s="721">
        <v>71173838</v>
      </c>
      <c r="E29" s="722" t="s">
        <v>157</v>
      </c>
      <c r="F29" s="721">
        <v>3111</v>
      </c>
      <c r="G29" s="531" t="s">
        <v>318</v>
      </c>
      <c r="H29" s="767" t="s">
        <v>284</v>
      </c>
      <c r="I29" s="495">
        <v>955942</v>
      </c>
      <c r="J29" s="496">
        <v>703934</v>
      </c>
      <c r="K29" s="475">
        <v>0</v>
      </c>
      <c r="L29" s="475">
        <v>0</v>
      </c>
      <c r="M29" s="319">
        <v>237929</v>
      </c>
      <c r="N29" s="319">
        <v>14079</v>
      </c>
      <c r="O29" s="496">
        <v>0</v>
      </c>
      <c r="P29" s="497">
        <v>2.13</v>
      </c>
      <c r="Q29" s="412">
        <v>2.13</v>
      </c>
      <c r="R29" s="764">
        <v>0</v>
      </c>
      <c r="S29" s="530">
        <f t="shared" si="21"/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486">
        <v>0</v>
      </c>
      <c r="Y29" s="486">
        <f>SUM(W29:X29)</f>
        <v>0</v>
      </c>
      <c r="Z29" s="486">
        <f>V29+Y29</f>
        <v>0</v>
      </c>
      <c r="AA29" s="319">
        <f>ROUND((V29+W29)*33.8%,0)</f>
        <v>0</v>
      </c>
      <c r="AB29" s="178">
        <f>ROUND(V29*2%,0)</f>
        <v>0</v>
      </c>
      <c r="AC29" s="486">
        <v>0</v>
      </c>
      <c r="AD29" s="486">
        <v>0</v>
      </c>
      <c r="AE29" s="486">
        <f t="shared" si="1"/>
        <v>0</v>
      </c>
      <c r="AF29" s="486">
        <f t="shared" si="2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22"/>
        <v>0</v>
      </c>
      <c r="AM29" s="501">
        <f t="shared" si="23"/>
        <v>0</v>
      </c>
      <c r="AN29" s="502">
        <f t="shared" si="3"/>
        <v>0</v>
      </c>
      <c r="AO29" s="499">
        <f>I29+AF29</f>
        <v>955942</v>
      </c>
      <c r="AP29" s="486">
        <f>J29+V29</f>
        <v>703934</v>
      </c>
      <c r="AQ29" s="486">
        <f>K29+Y29</f>
        <v>0</v>
      </c>
      <c r="AR29" s="486">
        <f>L29</f>
        <v>0</v>
      </c>
      <c r="AS29" s="486">
        <f t="shared" si="24"/>
        <v>237929</v>
      </c>
      <c r="AT29" s="486">
        <f t="shared" si="24"/>
        <v>14079</v>
      </c>
      <c r="AU29" s="486">
        <f>O29+AE29</f>
        <v>0</v>
      </c>
      <c r="AV29" s="501">
        <f>P29+AN29</f>
        <v>2.13</v>
      </c>
      <c r="AW29" s="501">
        <f t="shared" si="25"/>
        <v>2.13</v>
      </c>
      <c r="AX29" s="502">
        <f t="shared" si="25"/>
        <v>0</v>
      </c>
    </row>
    <row r="30" spans="1:50" s="695" customFormat="1" x14ac:dyDescent="0.2">
      <c r="A30" s="720">
        <v>5</v>
      </c>
      <c r="B30" s="721">
        <v>4492</v>
      </c>
      <c r="C30" s="721">
        <v>650065221</v>
      </c>
      <c r="D30" s="721">
        <v>71173838</v>
      </c>
      <c r="E30" s="722" t="s">
        <v>157</v>
      </c>
      <c r="F30" s="721">
        <v>3141</v>
      </c>
      <c r="G30" s="531" t="s">
        <v>321</v>
      </c>
      <c r="H30" s="767" t="s">
        <v>284</v>
      </c>
      <c r="I30" s="495">
        <v>972468</v>
      </c>
      <c r="J30" s="496">
        <v>712131</v>
      </c>
      <c r="K30" s="475">
        <v>0</v>
      </c>
      <c r="L30" s="475">
        <v>0</v>
      </c>
      <c r="M30" s="319">
        <v>240700</v>
      </c>
      <c r="N30" s="319">
        <v>14243</v>
      </c>
      <c r="O30" s="496">
        <v>5394</v>
      </c>
      <c r="P30" s="497">
        <v>2.42</v>
      </c>
      <c r="Q30" s="412">
        <v>0</v>
      </c>
      <c r="R30" s="764">
        <v>2.42</v>
      </c>
      <c r="S30" s="530">
        <f t="shared" si="21"/>
        <v>0</v>
      </c>
      <c r="T30" s="486">
        <v>0</v>
      </c>
      <c r="U30" s="486">
        <v>0</v>
      </c>
      <c r="V30" s="486">
        <f>SUM(S30:U30)</f>
        <v>0</v>
      </c>
      <c r="W30" s="486">
        <v>0</v>
      </c>
      <c r="X30" s="486">
        <v>0</v>
      </c>
      <c r="Y30" s="486">
        <f>SUM(W30:X30)</f>
        <v>0</v>
      </c>
      <c r="Z30" s="486">
        <f>V30+Y30</f>
        <v>0</v>
      </c>
      <c r="AA30" s="319">
        <f>ROUND((V30+W30)*33.8%,0)</f>
        <v>0</v>
      </c>
      <c r="AB30" s="178">
        <f>ROUND(V30*2%,0)</f>
        <v>0</v>
      </c>
      <c r="AC30" s="486">
        <v>0</v>
      </c>
      <c r="AD30" s="486">
        <v>0</v>
      </c>
      <c r="AE30" s="486">
        <f t="shared" si="1"/>
        <v>0</v>
      </c>
      <c r="AF30" s="486">
        <f t="shared" si="2"/>
        <v>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si="22"/>
        <v>0</v>
      </c>
      <c r="AM30" s="501">
        <f t="shared" si="23"/>
        <v>0</v>
      </c>
      <c r="AN30" s="502">
        <f t="shared" si="3"/>
        <v>0</v>
      </c>
      <c r="AO30" s="499">
        <f>I30+AF30</f>
        <v>972468</v>
      </c>
      <c r="AP30" s="486">
        <f>J30+V30</f>
        <v>712131</v>
      </c>
      <c r="AQ30" s="486">
        <f>K30+Y30</f>
        <v>0</v>
      </c>
      <c r="AR30" s="486">
        <f>L30</f>
        <v>0</v>
      </c>
      <c r="AS30" s="486">
        <f t="shared" si="24"/>
        <v>240700</v>
      </c>
      <c r="AT30" s="486">
        <f t="shared" si="24"/>
        <v>14243</v>
      </c>
      <c r="AU30" s="486">
        <f>O30+AE30</f>
        <v>5394</v>
      </c>
      <c r="AV30" s="501">
        <f>P30+AN30</f>
        <v>2.42</v>
      </c>
      <c r="AW30" s="501">
        <f t="shared" si="25"/>
        <v>0</v>
      </c>
      <c r="AX30" s="502">
        <f t="shared" si="25"/>
        <v>2.42</v>
      </c>
    </row>
    <row r="31" spans="1:50" s="695" customFormat="1" x14ac:dyDescent="0.2">
      <c r="A31" s="282">
        <v>5</v>
      </c>
      <c r="B31" s="27">
        <v>4492</v>
      </c>
      <c r="C31" s="27">
        <v>650065221</v>
      </c>
      <c r="D31" s="27">
        <v>71173838</v>
      </c>
      <c r="E31" s="292" t="s">
        <v>158</v>
      </c>
      <c r="F31" s="27"/>
      <c r="G31" s="281"/>
      <c r="H31" s="377"/>
      <c r="I31" s="5">
        <v>9526587</v>
      </c>
      <c r="J31" s="8">
        <v>6957580</v>
      </c>
      <c r="K31" s="8">
        <v>0</v>
      </c>
      <c r="L31" s="8">
        <v>0</v>
      </c>
      <c r="M31" s="8">
        <v>2351661</v>
      </c>
      <c r="N31" s="8">
        <v>139152</v>
      </c>
      <c r="O31" s="8">
        <v>78194</v>
      </c>
      <c r="P31" s="9">
        <v>17.0413</v>
      </c>
      <c r="Q31" s="9">
        <v>11.129999999999999</v>
      </c>
      <c r="R31" s="33">
        <v>5.9113000000000007</v>
      </c>
      <c r="S31" s="5">
        <f t="shared" ref="S31:AX31" si="26">SUM(S28:S30)</f>
        <v>0</v>
      </c>
      <c r="T31" s="8">
        <f t="shared" si="26"/>
        <v>0</v>
      </c>
      <c r="U31" s="8">
        <f t="shared" si="26"/>
        <v>0</v>
      </c>
      <c r="V31" s="8">
        <f t="shared" si="26"/>
        <v>0</v>
      </c>
      <c r="W31" s="8">
        <f t="shared" si="26"/>
        <v>0</v>
      </c>
      <c r="X31" s="8">
        <f t="shared" si="26"/>
        <v>0</v>
      </c>
      <c r="Y31" s="8">
        <f t="shared" si="26"/>
        <v>0</v>
      </c>
      <c r="Z31" s="8">
        <f t="shared" si="26"/>
        <v>0</v>
      </c>
      <c r="AA31" s="8">
        <f t="shared" si="26"/>
        <v>0</v>
      </c>
      <c r="AB31" s="8">
        <f t="shared" si="26"/>
        <v>0</v>
      </c>
      <c r="AC31" s="8">
        <f t="shared" si="26"/>
        <v>0</v>
      </c>
      <c r="AD31" s="8">
        <f t="shared" si="26"/>
        <v>0</v>
      </c>
      <c r="AE31" s="8">
        <f t="shared" si="26"/>
        <v>0</v>
      </c>
      <c r="AF31" s="8">
        <f t="shared" si="26"/>
        <v>0</v>
      </c>
      <c r="AG31" s="9">
        <f t="shared" si="26"/>
        <v>0</v>
      </c>
      <c r="AH31" s="9">
        <f t="shared" si="26"/>
        <v>0</v>
      </c>
      <c r="AI31" s="9">
        <f t="shared" si="26"/>
        <v>0</v>
      </c>
      <c r="AJ31" s="9">
        <f t="shared" si="26"/>
        <v>0</v>
      </c>
      <c r="AK31" s="9">
        <f t="shared" si="26"/>
        <v>0</v>
      </c>
      <c r="AL31" s="9">
        <f t="shared" si="26"/>
        <v>0</v>
      </c>
      <c r="AM31" s="9">
        <f t="shared" si="26"/>
        <v>0</v>
      </c>
      <c r="AN31" s="74">
        <f t="shared" si="26"/>
        <v>0</v>
      </c>
      <c r="AO31" s="270">
        <f t="shared" si="26"/>
        <v>9526587</v>
      </c>
      <c r="AP31" s="8">
        <f t="shared" si="26"/>
        <v>6957580</v>
      </c>
      <c r="AQ31" s="38">
        <f t="shared" si="26"/>
        <v>0</v>
      </c>
      <c r="AR31" s="38">
        <f t="shared" si="26"/>
        <v>0</v>
      </c>
      <c r="AS31" s="8">
        <f t="shared" si="26"/>
        <v>2351661</v>
      </c>
      <c r="AT31" s="8">
        <f t="shared" si="26"/>
        <v>139152</v>
      </c>
      <c r="AU31" s="8">
        <f t="shared" si="26"/>
        <v>78194</v>
      </c>
      <c r="AV31" s="9">
        <f t="shared" si="26"/>
        <v>17.0413</v>
      </c>
      <c r="AW31" s="9">
        <f t="shared" si="26"/>
        <v>11.129999999999999</v>
      </c>
      <c r="AX31" s="74">
        <f t="shared" si="26"/>
        <v>5.9113000000000007</v>
      </c>
    </row>
    <row r="32" spans="1:50" s="695" customFormat="1" x14ac:dyDescent="0.2">
      <c r="A32" s="720">
        <v>6</v>
      </c>
      <c r="B32" s="721">
        <v>4408</v>
      </c>
      <c r="C32" s="721">
        <v>600074528</v>
      </c>
      <c r="D32" s="721">
        <v>70982163</v>
      </c>
      <c r="E32" s="722" t="s">
        <v>159</v>
      </c>
      <c r="F32" s="721">
        <v>3111</v>
      </c>
      <c r="G32" s="531" t="s">
        <v>317</v>
      </c>
      <c r="H32" s="767" t="s">
        <v>283</v>
      </c>
      <c r="I32" s="495">
        <v>10031513</v>
      </c>
      <c r="J32" s="496">
        <v>7312977</v>
      </c>
      <c r="K32" s="496">
        <v>5000</v>
      </c>
      <c r="L32" s="496">
        <v>0</v>
      </c>
      <c r="M32" s="496">
        <v>2473476</v>
      </c>
      <c r="N32" s="496">
        <v>146260</v>
      </c>
      <c r="O32" s="496">
        <v>93800</v>
      </c>
      <c r="P32" s="497">
        <v>16.946400000000001</v>
      </c>
      <c r="Q32" s="412">
        <v>12.741899999999999</v>
      </c>
      <c r="R32" s="764">
        <v>4.2045000000000012</v>
      </c>
      <c r="S32" s="530">
        <f t="shared" ref="S32:S33" si="27">W32*-1</f>
        <v>0</v>
      </c>
      <c r="T32" s="486">
        <v>0</v>
      </c>
      <c r="U32" s="486">
        <v>0</v>
      </c>
      <c r="V32" s="486">
        <f>SUM(S32:U32)</f>
        <v>0</v>
      </c>
      <c r="W32" s="486">
        <v>0</v>
      </c>
      <c r="X32" s="486">
        <v>0</v>
      </c>
      <c r="Y32" s="486">
        <f>SUM(W32:X32)</f>
        <v>0</v>
      </c>
      <c r="Z32" s="486">
        <f>V32+Y32</f>
        <v>0</v>
      </c>
      <c r="AA32" s="319">
        <f>ROUND((V32+W32)*33.8%,0)</f>
        <v>0</v>
      </c>
      <c r="AB32" s="178">
        <f>ROUND(V32*2%,0)</f>
        <v>0</v>
      </c>
      <c r="AC32" s="486">
        <v>0</v>
      </c>
      <c r="AD32" s="486">
        <v>0</v>
      </c>
      <c r="AE32" s="486">
        <f t="shared" si="1"/>
        <v>0</v>
      </c>
      <c r="AF32" s="486">
        <f t="shared" si="2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ref="AL32:AL33" si="28">AG32+AI32+AJ32</f>
        <v>0</v>
      </c>
      <c r="AM32" s="501">
        <f t="shared" ref="AM32:AM33" si="29">AH32+AK32</f>
        <v>0</v>
      </c>
      <c r="AN32" s="502">
        <f t="shared" si="3"/>
        <v>0</v>
      </c>
      <c r="AO32" s="499">
        <f>I32+AF32</f>
        <v>10031513</v>
      </c>
      <c r="AP32" s="486">
        <f>J32+V32</f>
        <v>7312977</v>
      </c>
      <c r="AQ32" s="486">
        <f>K32+Y32</f>
        <v>5000</v>
      </c>
      <c r="AR32" s="486">
        <f>L32</f>
        <v>0</v>
      </c>
      <c r="AS32" s="486">
        <f>M32+AA32</f>
        <v>2473476</v>
      </c>
      <c r="AT32" s="486">
        <f>N32+AB32</f>
        <v>146260</v>
      </c>
      <c r="AU32" s="486">
        <f>O32+AE32</f>
        <v>93800</v>
      </c>
      <c r="AV32" s="501">
        <f>P32+AN32</f>
        <v>16.946400000000001</v>
      </c>
      <c r="AW32" s="501">
        <f>Q32+AL32</f>
        <v>12.741899999999999</v>
      </c>
      <c r="AX32" s="502">
        <f>R32+AM32</f>
        <v>4.2045000000000012</v>
      </c>
    </row>
    <row r="33" spans="1:50" s="695" customFormat="1" x14ac:dyDescent="0.2">
      <c r="A33" s="720">
        <v>6</v>
      </c>
      <c r="B33" s="721">
        <v>4408</v>
      </c>
      <c r="C33" s="721">
        <v>600074528</v>
      </c>
      <c r="D33" s="721">
        <v>70982163</v>
      </c>
      <c r="E33" s="722" t="s">
        <v>159</v>
      </c>
      <c r="F33" s="721">
        <v>3141</v>
      </c>
      <c r="G33" s="531" t="s">
        <v>321</v>
      </c>
      <c r="H33" s="767" t="s">
        <v>284</v>
      </c>
      <c r="I33" s="495">
        <v>1297797</v>
      </c>
      <c r="J33" s="496">
        <v>945019</v>
      </c>
      <c r="K33" s="475">
        <v>5000</v>
      </c>
      <c r="L33" s="475">
        <v>0</v>
      </c>
      <c r="M33" s="319">
        <v>321106</v>
      </c>
      <c r="N33" s="319">
        <v>18900</v>
      </c>
      <c r="O33" s="496">
        <v>7772</v>
      </c>
      <c r="P33" s="497">
        <v>3.23</v>
      </c>
      <c r="Q33" s="412">
        <v>0</v>
      </c>
      <c r="R33" s="764">
        <v>3.23</v>
      </c>
      <c r="S33" s="530">
        <f t="shared" si="27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1"/>
        <v>0</v>
      </c>
      <c r="AF33" s="486">
        <f t="shared" si="2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28"/>
        <v>0</v>
      </c>
      <c r="AM33" s="501">
        <f t="shared" si="29"/>
        <v>0</v>
      </c>
      <c r="AN33" s="502">
        <f t="shared" si="3"/>
        <v>0</v>
      </c>
      <c r="AO33" s="499">
        <f>I33+AF33</f>
        <v>1297797</v>
      </c>
      <c r="AP33" s="486">
        <f>J33+V33</f>
        <v>945019</v>
      </c>
      <c r="AQ33" s="486">
        <f>K33+Y33</f>
        <v>5000</v>
      </c>
      <c r="AR33" s="486">
        <f>L33</f>
        <v>0</v>
      </c>
      <c r="AS33" s="486">
        <f>M33+AA33</f>
        <v>321106</v>
      </c>
      <c r="AT33" s="486">
        <f>N33+AB33</f>
        <v>18900</v>
      </c>
      <c r="AU33" s="486">
        <f>O33+AE33</f>
        <v>7772</v>
      </c>
      <c r="AV33" s="501">
        <f>P33+AN33</f>
        <v>3.23</v>
      </c>
      <c r="AW33" s="501">
        <f>Q33+AL33</f>
        <v>0</v>
      </c>
      <c r="AX33" s="502">
        <f>R33+AM33</f>
        <v>3.23</v>
      </c>
    </row>
    <row r="34" spans="1:50" s="695" customFormat="1" x14ac:dyDescent="0.2">
      <c r="A34" s="282">
        <v>6</v>
      </c>
      <c r="B34" s="27">
        <v>4408</v>
      </c>
      <c r="C34" s="27">
        <v>600074528</v>
      </c>
      <c r="D34" s="27">
        <v>70982163</v>
      </c>
      <c r="E34" s="292" t="s">
        <v>160</v>
      </c>
      <c r="F34" s="27"/>
      <c r="G34" s="281"/>
      <c r="H34" s="377"/>
      <c r="I34" s="5">
        <v>11329310</v>
      </c>
      <c r="J34" s="8">
        <v>8257996</v>
      </c>
      <c r="K34" s="8">
        <v>10000</v>
      </c>
      <c r="L34" s="8">
        <v>0</v>
      </c>
      <c r="M34" s="8">
        <v>2794582</v>
      </c>
      <c r="N34" s="8">
        <v>165160</v>
      </c>
      <c r="O34" s="8">
        <v>101572</v>
      </c>
      <c r="P34" s="9">
        <v>20.176400000000001</v>
      </c>
      <c r="Q34" s="9">
        <v>12.741899999999999</v>
      </c>
      <c r="R34" s="33">
        <v>7.4345000000000017</v>
      </c>
      <c r="S34" s="5">
        <f t="shared" ref="S34:AX34" si="30">SUM(S32:S33)</f>
        <v>0</v>
      </c>
      <c r="T34" s="8">
        <f t="shared" si="30"/>
        <v>0</v>
      </c>
      <c r="U34" s="8">
        <f t="shared" si="30"/>
        <v>0</v>
      </c>
      <c r="V34" s="8">
        <f t="shared" si="30"/>
        <v>0</v>
      </c>
      <c r="W34" s="8">
        <f t="shared" si="30"/>
        <v>0</v>
      </c>
      <c r="X34" s="8">
        <f t="shared" si="30"/>
        <v>0</v>
      </c>
      <c r="Y34" s="8">
        <f t="shared" si="30"/>
        <v>0</v>
      </c>
      <c r="Z34" s="8">
        <f t="shared" si="30"/>
        <v>0</v>
      </c>
      <c r="AA34" s="8">
        <f t="shared" si="30"/>
        <v>0</v>
      </c>
      <c r="AB34" s="8">
        <f t="shared" si="30"/>
        <v>0</v>
      </c>
      <c r="AC34" s="8">
        <f t="shared" si="30"/>
        <v>0</v>
      </c>
      <c r="AD34" s="8">
        <f t="shared" si="30"/>
        <v>0</v>
      </c>
      <c r="AE34" s="8">
        <f t="shared" si="30"/>
        <v>0</v>
      </c>
      <c r="AF34" s="8">
        <f t="shared" si="30"/>
        <v>0</v>
      </c>
      <c r="AG34" s="9">
        <f t="shared" si="30"/>
        <v>0</v>
      </c>
      <c r="AH34" s="9">
        <f t="shared" si="30"/>
        <v>0</v>
      </c>
      <c r="AI34" s="9">
        <f t="shared" si="30"/>
        <v>0</v>
      </c>
      <c r="AJ34" s="9">
        <f t="shared" si="30"/>
        <v>0</v>
      </c>
      <c r="AK34" s="9">
        <f t="shared" si="30"/>
        <v>0</v>
      </c>
      <c r="AL34" s="9">
        <f t="shared" si="30"/>
        <v>0</v>
      </c>
      <c r="AM34" s="9">
        <f t="shared" si="30"/>
        <v>0</v>
      </c>
      <c r="AN34" s="74">
        <f t="shared" si="30"/>
        <v>0</v>
      </c>
      <c r="AO34" s="270">
        <f t="shared" si="30"/>
        <v>11329310</v>
      </c>
      <c r="AP34" s="8">
        <f t="shared" si="30"/>
        <v>8257996</v>
      </c>
      <c r="AQ34" s="38">
        <f t="shared" si="30"/>
        <v>10000</v>
      </c>
      <c r="AR34" s="38">
        <f t="shared" si="30"/>
        <v>0</v>
      </c>
      <c r="AS34" s="8">
        <f t="shared" si="30"/>
        <v>2794582</v>
      </c>
      <c r="AT34" s="8">
        <f t="shared" si="30"/>
        <v>165160</v>
      </c>
      <c r="AU34" s="8">
        <f t="shared" si="30"/>
        <v>101572</v>
      </c>
      <c r="AV34" s="9">
        <f t="shared" si="30"/>
        <v>20.176400000000001</v>
      </c>
      <c r="AW34" s="9">
        <f t="shared" si="30"/>
        <v>12.741899999999999</v>
      </c>
      <c r="AX34" s="74">
        <f t="shared" si="30"/>
        <v>7.4345000000000017</v>
      </c>
    </row>
    <row r="35" spans="1:50" s="695" customFormat="1" x14ac:dyDescent="0.2">
      <c r="A35" s="720">
        <v>7</v>
      </c>
      <c r="B35" s="721">
        <v>4423</v>
      </c>
      <c r="C35" s="721">
        <v>600074439</v>
      </c>
      <c r="D35" s="721">
        <v>70982155</v>
      </c>
      <c r="E35" s="722" t="s">
        <v>161</v>
      </c>
      <c r="F35" s="721">
        <v>3111</v>
      </c>
      <c r="G35" s="531" t="s">
        <v>317</v>
      </c>
      <c r="H35" s="767" t="s">
        <v>283</v>
      </c>
      <c r="I35" s="495">
        <v>6724937</v>
      </c>
      <c r="J35" s="496">
        <v>4845368</v>
      </c>
      <c r="K35" s="496">
        <v>56000</v>
      </c>
      <c r="L35" s="496">
        <v>0</v>
      </c>
      <c r="M35" s="496">
        <v>1656662</v>
      </c>
      <c r="N35" s="496">
        <v>96907</v>
      </c>
      <c r="O35" s="496">
        <v>70000</v>
      </c>
      <c r="P35" s="497">
        <v>10.988200000000001</v>
      </c>
      <c r="Q35" s="412">
        <v>8</v>
      </c>
      <c r="R35" s="764">
        <v>2.9882000000000004</v>
      </c>
      <c r="S35" s="530">
        <f t="shared" ref="S35:S36" si="31">W35*-1</f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1"/>
        <v>0</v>
      </c>
      <c r="AF35" s="486">
        <f t="shared" si="2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ref="AL35:AL36" si="32">AG35+AI35+AJ35</f>
        <v>0</v>
      </c>
      <c r="AM35" s="501">
        <f t="shared" ref="AM35:AM36" si="33">AH35+AK35</f>
        <v>0</v>
      </c>
      <c r="AN35" s="502">
        <f t="shared" si="3"/>
        <v>0</v>
      </c>
      <c r="AO35" s="499">
        <f>I35+AF35</f>
        <v>6724937</v>
      </c>
      <c r="AP35" s="486">
        <f>J35+V35</f>
        <v>4845368</v>
      </c>
      <c r="AQ35" s="486">
        <f>K35+Y35</f>
        <v>56000</v>
      </c>
      <c r="AR35" s="486">
        <f>L35</f>
        <v>0</v>
      </c>
      <c r="AS35" s="486">
        <f>M35+AA35</f>
        <v>1656662</v>
      </c>
      <c r="AT35" s="486">
        <f>N35+AB35</f>
        <v>96907</v>
      </c>
      <c r="AU35" s="486">
        <f>O35+AE35</f>
        <v>70000</v>
      </c>
      <c r="AV35" s="501">
        <f>P35+AN35</f>
        <v>10.988200000000001</v>
      </c>
      <c r="AW35" s="501">
        <f>Q35+AL35</f>
        <v>8</v>
      </c>
      <c r="AX35" s="502">
        <f>R35+AM35</f>
        <v>2.9882000000000004</v>
      </c>
    </row>
    <row r="36" spans="1:50" s="695" customFormat="1" x14ac:dyDescent="0.2">
      <c r="A36" s="720">
        <v>7</v>
      </c>
      <c r="B36" s="721">
        <v>4423</v>
      </c>
      <c r="C36" s="721">
        <v>600074439</v>
      </c>
      <c r="D36" s="721">
        <v>70982155</v>
      </c>
      <c r="E36" s="722" t="s">
        <v>161</v>
      </c>
      <c r="F36" s="721">
        <v>3141</v>
      </c>
      <c r="G36" s="531" t="s">
        <v>321</v>
      </c>
      <c r="H36" s="767" t="s">
        <v>284</v>
      </c>
      <c r="I36" s="495">
        <v>1200791</v>
      </c>
      <c r="J36" s="496">
        <v>834641</v>
      </c>
      <c r="K36" s="475">
        <v>46000</v>
      </c>
      <c r="L36" s="475">
        <v>0</v>
      </c>
      <c r="M36" s="319">
        <v>297657</v>
      </c>
      <c r="N36" s="319">
        <v>16693</v>
      </c>
      <c r="O36" s="496">
        <v>5800</v>
      </c>
      <c r="P36" s="497">
        <v>2.85</v>
      </c>
      <c r="Q36" s="412">
        <v>0</v>
      </c>
      <c r="R36" s="764">
        <v>2.85</v>
      </c>
      <c r="S36" s="530">
        <f t="shared" si="31"/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319">
        <f>ROUND((V36+W36)*33.8%,0)</f>
        <v>0</v>
      </c>
      <c r="AB36" s="178">
        <f>ROUND(V36*2%,0)</f>
        <v>0</v>
      </c>
      <c r="AC36" s="486">
        <v>0</v>
      </c>
      <c r="AD36" s="486">
        <v>0</v>
      </c>
      <c r="AE36" s="486">
        <f t="shared" si="1"/>
        <v>0</v>
      </c>
      <c r="AF36" s="486">
        <f t="shared" si="2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32"/>
        <v>0</v>
      </c>
      <c r="AM36" s="501">
        <f t="shared" si="33"/>
        <v>0</v>
      </c>
      <c r="AN36" s="502">
        <f t="shared" si="3"/>
        <v>0</v>
      </c>
      <c r="AO36" s="499">
        <f>I36+AF36</f>
        <v>1200791</v>
      </c>
      <c r="AP36" s="486">
        <f>J36+V36</f>
        <v>834641</v>
      </c>
      <c r="AQ36" s="486">
        <f>K36+Y36</f>
        <v>46000</v>
      </c>
      <c r="AR36" s="486">
        <f>L36</f>
        <v>0</v>
      </c>
      <c r="AS36" s="486">
        <f>M36+AA36</f>
        <v>297657</v>
      </c>
      <c r="AT36" s="486">
        <f>N36+AB36</f>
        <v>16693</v>
      </c>
      <c r="AU36" s="486">
        <f>O36+AE36</f>
        <v>5800</v>
      </c>
      <c r="AV36" s="501">
        <f>P36+AN36</f>
        <v>2.85</v>
      </c>
      <c r="AW36" s="501">
        <f>Q36+AL36</f>
        <v>0</v>
      </c>
      <c r="AX36" s="502">
        <f>R36+AM36</f>
        <v>2.85</v>
      </c>
    </row>
    <row r="37" spans="1:50" s="695" customFormat="1" x14ac:dyDescent="0.2">
      <c r="A37" s="282">
        <v>7</v>
      </c>
      <c r="B37" s="27">
        <v>4423</v>
      </c>
      <c r="C37" s="27">
        <v>600074439</v>
      </c>
      <c r="D37" s="27">
        <v>70982155</v>
      </c>
      <c r="E37" s="292" t="s">
        <v>162</v>
      </c>
      <c r="F37" s="27"/>
      <c r="G37" s="281"/>
      <c r="H37" s="377"/>
      <c r="I37" s="5">
        <v>7925728</v>
      </c>
      <c r="J37" s="8">
        <v>5680009</v>
      </c>
      <c r="K37" s="8">
        <v>102000</v>
      </c>
      <c r="L37" s="8">
        <v>0</v>
      </c>
      <c r="M37" s="8">
        <v>1954319</v>
      </c>
      <c r="N37" s="8">
        <v>113600</v>
      </c>
      <c r="O37" s="8">
        <v>75800</v>
      </c>
      <c r="P37" s="9">
        <v>13.838200000000001</v>
      </c>
      <c r="Q37" s="9">
        <v>8</v>
      </c>
      <c r="R37" s="33">
        <v>5.8382000000000005</v>
      </c>
      <c r="S37" s="5">
        <f t="shared" ref="S37:AX37" si="34">SUM(S35:S36)</f>
        <v>0</v>
      </c>
      <c r="T37" s="8">
        <f t="shared" si="34"/>
        <v>0</v>
      </c>
      <c r="U37" s="8">
        <f t="shared" si="34"/>
        <v>0</v>
      </c>
      <c r="V37" s="8">
        <f t="shared" si="34"/>
        <v>0</v>
      </c>
      <c r="W37" s="8">
        <f t="shared" si="34"/>
        <v>0</v>
      </c>
      <c r="X37" s="8">
        <f t="shared" si="34"/>
        <v>0</v>
      </c>
      <c r="Y37" s="8">
        <f t="shared" si="34"/>
        <v>0</v>
      </c>
      <c r="Z37" s="8">
        <f t="shared" si="34"/>
        <v>0</v>
      </c>
      <c r="AA37" s="8">
        <f t="shared" si="34"/>
        <v>0</v>
      </c>
      <c r="AB37" s="8">
        <f t="shared" si="34"/>
        <v>0</v>
      </c>
      <c r="AC37" s="8">
        <f t="shared" si="34"/>
        <v>0</v>
      </c>
      <c r="AD37" s="8">
        <f t="shared" si="34"/>
        <v>0</v>
      </c>
      <c r="AE37" s="8">
        <f t="shared" si="34"/>
        <v>0</v>
      </c>
      <c r="AF37" s="8">
        <f t="shared" si="34"/>
        <v>0</v>
      </c>
      <c r="AG37" s="9">
        <f t="shared" si="34"/>
        <v>0</v>
      </c>
      <c r="AH37" s="9">
        <f t="shared" si="34"/>
        <v>0</v>
      </c>
      <c r="AI37" s="9">
        <f t="shared" si="34"/>
        <v>0</v>
      </c>
      <c r="AJ37" s="9">
        <f t="shared" si="34"/>
        <v>0</v>
      </c>
      <c r="AK37" s="9">
        <f t="shared" si="34"/>
        <v>0</v>
      </c>
      <c r="AL37" s="9">
        <f t="shared" si="34"/>
        <v>0</v>
      </c>
      <c r="AM37" s="9">
        <f t="shared" si="34"/>
        <v>0</v>
      </c>
      <c r="AN37" s="74">
        <f t="shared" si="34"/>
        <v>0</v>
      </c>
      <c r="AO37" s="270">
        <f t="shared" si="34"/>
        <v>7925728</v>
      </c>
      <c r="AP37" s="8">
        <f t="shared" si="34"/>
        <v>5680009</v>
      </c>
      <c r="AQ37" s="38">
        <f t="shared" si="34"/>
        <v>102000</v>
      </c>
      <c r="AR37" s="38">
        <f t="shared" si="34"/>
        <v>0</v>
      </c>
      <c r="AS37" s="8">
        <f t="shared" si="34"/>
        <v>1954319</v>
      </c>
      <c r="AT37" s="8">
        <f t="shared" si="34"/>
        <v>113600</v>
      </c>
      <c r="AU37" s="8">
        <f t="shared" si="34"/>
        <v>75800</v>
      </c>
      <c r="AV37" s="9">
        <f t="shared" si="34"/>
        <v>13.838200000000001</v>
      </c>
      <c r="AW37" s="9">
        <f t="shared" si="34"/>
        <v>8</v>
      </c>
      <c r="AX37" s="74">
        <f t="shared" si="34"/>
        <v>5.8382000000000005</v>
      </c>
    </row>
    <row r="38" spans="1:50" s="695" customFormat="1" x14ac:dyDescent="0.2">
      <c r="A38" s="720">
        <v>8</v>
      </c>
      <c r="B38" s="721">
        <v>4404</v>
      </c>
      <c r="C38" s="721">
        <v>600074331</v>
      </c>
      <c r="D38" s="721">
        <v>831298</v>
      </c>
      <c r="E38" s="722" t="s">
        <v>163</v>
      </c>
      <c r="F38" s="721">
        <v>3111</v>
      </c>
      <c r="G38" s="531" t="s">
        <v>317</v>
      </c>
      <c r="H38" s="767" t="s">
        <v>283</v>
      </c>
      <c r="I38" s="495">
        <v>20320879</v>
      </c>
      <c r="J38" s="496">
        <v>14628188</v>
      </c>
      <c r="K38" s="496">
        <v>0</v>
      </c>
      <c r="L38" s="496">
        <v>0</v>
      </c>
      <c r="M38" s="496">
        <v>4944328</v>
      </c>
      <c r="N38" s="496">
        <v>292563</v>
      </c>
      <c r="O38" s="496">
        <v>455800</v>
      </c>
      <c r="P38" s="497">
        <v>35.160800000000002</v>
      </c>
      <c r="Q38" s="412">
        <v>25.580000000000002</v>
      </c>
      <c r="R38" s="764">
        <v>9.5808000000000035</v>
      </c>
      <c r="S38" s="530">
        <f t="shared" ref="S38:S40" si="35">W38*-1</f>
        <v>0</v>
      </c>
      <c r="T38" s="486">
        <v>0</v>
      </c>
      <c r="U38" s="486">
        <v>0</v>
      </c>
      <c r="V38" s="486">
        <f>SUM(S38:U38)</f>
        <v>0</v>
      </c>
      <c r="W38" s="486">
        <v>0</v>
      </c>
      <c r="X38" s="486">
        <v>0</v>
      </c>
      <c r="Y38" s="486">
        <f>SUM(W38:X38)</f>
        <v>0</v>
      </c>
      <c r="Z38" s="486">
        <f>V38+Y38</f>
        <v>0</v>
      </c>
      <c r="AA38" s="319">
        <f>ROUND((V38+W38)*33.8%,0)</f>
        <v>0</v>
      </c>
      <c r="AB38" s="178">
        <f>ROUND(V38*2%,0)</f>
        <v>0</v>
      </c>
      <c r="AC38" s="486">
        <v>0</v>
      </c>
      <c r="AD38" s="486">
        <v>0</v>
      </c>
      <c r="AE38" s="486">
        <f t="shared" si="1"/>
        <v>0</v>
      </c>
      <c r="AF38" s="486">
        <f t="shared" si="2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ref="AL38:AL40" si="36">AG38+AI38+AJ38</f>
        <v>0</v>
      </c>
      <c r="AM38" s="501">
        <f t="shared" ref="AM38:AM40" si="37">AH38+AK38</f>
        <v>0</v>
      </c>
      <c r="AN38" s="502">
        <f t="shared" si="3"/>
        <v>0</v>
      </c>
      <c r="AO38" s="499">
        <f>I38+AF38</f>
        <v>20320879</v>
      </c>
      <c r="AP38" s="486">
        <f>J38+V38</f>
        <v>14628188</v>
      </c>
      <c r="AQ38" s="486">
        <f>K38+Y38</f>
        <v>0</v>
      </c>
      <c r="AR38" s="486">
        <f>L38</f>
        <v>0</v>
      </c>
      <c r="AS38" s="486">
        <f t="shared" ref="AS38:AT40" si="38">M38+AA38</f>
        <v>4944328</v>
      </c>
      <c r="AT38" s="486">
        <f t="shared" si="38"/>
        <v>292563</v>
      </c>
      <c r="AU38" s="486">
        <f>O38+AE38</f>
        <v>455800</v>
      </c>
      <c r="AV38" s="501">
        <f>P38+AN38</f>
        <v>35.160800000000002</v>
      </c>
      <c r="AW38" s="501">
        <f t="shared" ref="AW38:AX40" si="39">Q38+AL38</f>
        <v>25.580000000000002</v>
      </c>
      <c r="AX38" s="502">
        <f t="shared" si="39"/>
        <v>9.5808000000000035</v>
      </c>
    </row>
    <row r="39" spans="1:50" s="695" customFormat="1" x14ac:dyDescent="0.2">
      <c r="A39" s="720">
        <v>8</v>
      </c>
      <c r="B39" s="721">
        <v>4404</v>
      </c>
      <c r="C39" s="721">
        <v>600074331</v>
      </c>
      <c r="D39" s="721">
        <v>831298</v>
      </c>
      <c r="E39" s="722" t="s">
        <v>163</v>
      </c>
      <c r="F39" s="721">
        <v>3111</v>
      </c>
      <c r="G39" s="531" t="s">
        <v>318</v>
      </c>
      <c r="H39" s="767" t="s">
        <v>284</v>
      </c>
      <c r="I39" s="495">
        <v>269021</v>
      </c>
      <c r="J39" s="496">
        <v>198101</v>
      </c>
      <c r="K39" s="475">
        <v>0</v>
      </c>
      <c r="L39" s="475">
        <v>0</v>
      </c>
      <c r="M39" s="319">
        <v>66958</v>
      </c>
      <c r="N39" s="319">
        <v>3962</v>
      </c>
      <c r="O39" s="496">
        <v>0</v>
      </c>
      <c r="P39" s="497">
        <v>0.57999999999999996</v>
      </c>
      <c r="Q39" s="412">
        <v>0.57999999999999996</v>
      </c>
      <c r="R39" s="764">
        <v>0</v>
      </c>
      <c r="S39" s="530">
        <f t="shared" si="35"/>
        <v>0</v>
      </c>
      <c r="T39" s="486">
        <v>-28300</v>
      </c>
      <c r="U39" s="486">
        <v>0</v>
      </c>
      <c r="V39" s="486">
        <f>SUM(S39:U39)</f>
        <v>-28300</v>
      </c>
      <c r="W39" s="486">
        <v>0</v>
      </c>
      <c r="X39" s="486">
        <v>0</v>
      </c>
      <c r="Y39" s="486">
        <f>SUM(W39:X39)</f>
        <v>0</v>
      </c>
      <c r="Z39" s="486">
        <f>V39+Y39</f>
        <v>-28300</v>
      </c>
      <c r="AA39" s="319">
        <f>ROUND((V39+W39)*33.8%,0)</f>
        <v>-9565</v>
      </c>
      <c r="AB39" s="178">
        <f>ROUND(V39*2%,0)</f>
        <v>-566</v>
      </c>
      <c r="AC39" s="486">
        <v>0</v>
      </c>
      <c r="AD39" s="486">
        <v>0</v>
      </c>
      <c r="AE39" s="486">
        <f t="shared" si="1"/>
        <v>0</v>
      </c>
      <c r="AF39" s="486">
        <f t="shared" si="2"/>
        <v>-38431</v>
      </c>
      <c r="AG39" s="501">
        <v>0</v>
      </c>
      <c r="AH39" s="501">
        <v>0</v>
      </c>
      <c r="AI39" s="501">
        <v>-0.08</v>
      </c>
      <c r="AJ39" s="501">
        <v>0</v>
      </c>
      <c r="AK39" s="501">
        <v>0</v>
      </c>
      <c r="AL39" s="501">
        <f t="shared" si="36"/>
        <v>-0.08</v>
      </c>
      <c r="AM39" s="501">
        <f t="shared" si="37"/>
        <v>0</v>
      </c>
      <c r="AN39" s="502">
        <f t="shared" si="3"/>
        <v>-0.08</v>
      </c>
      <c r="AO39" s="499">
        <f>I39+AF39</f>
        <v>230590</v>
      </c>
      <c r="AP39" s="486">
        <f>J39+V39</f>
        <v>169801</v>
      </c>
      <c r="AQ39" s="486">
        <f>K39+Y39</f>
        <v>0</v>
      </c>
      <c r="AR39" s="486">
        <f>L39</f>
        <v>0</v>
      </c>
      <c r="AS39" s="486">
        <f t="shared" si="38"/>
        <v>57393</v>
      </c>
      <c r="AT39" s="486">
        <f t="shared" si="38"/>
        <v>3396</v>
      </c>
      <c r="AU39" s="486">
        <f>O39+AE39</f>
        <v>0</v>
      </c>
      <c r="AV39" s="501">
        <f>P39+AN39</f>
        <v>0.49999999999999994</v>
      </c>
      <c r="AW39" s="501">
        <f t="shared" si="39"/>
        <v>0.49999999999999994</v>
      </c>
      <c r="AX39" s="502">
        <f t="shared" si="39"/>
        <v>0</v>
      </c>
    </row>
    <row r="40" spans="1:50" s="695" customFormat="1" x14ac:dyDescent="0.2">
      <c r="A40" s="720">
        <v>8</v>
      </c>
      <c r="B40" s="721">
        <v>4404</v>
      </c>
      <c r="C40" s="721">
        <v>600074331</v>
      </c>
      <c r="D40" s="721">
        <v>831298</v>
      </c>
      <c r="E40" s="722" t="s">
        <v>163</v>
      </c>
      <c r="F40" s="721">
        <v>3141</v>
      </c>
      <c r="G40" s="531" t="s">
        <v>321</v>
      </c>
      <c r="H40" s="767" t="s">
        <v>284</v>
      </c>
      <c r="I40" s="495">
        <v>3228375</v>
      </c>
      <c r="J40" s="496">
        <v>2364830</v>
      </c>
      <c r="K40" s="475">
        <v>0</v>
      </c>
      <c r="L40" s="475">
        <v>0</v>
      </c>
      <c r="M40" s="319">
        <v>799313</v>
      </c>
      <c r="N40" s="319">
        <v>47296</v>
      </c>
      <c r="O40" s="496">
        <v>16936</v>
      </c>
      <c r="P40" s="497">
        <v>8.0500000000000007</v>
      </c>
      <c r="Q40" s="412">
        <v>0</v>
      </c>
      <c r="R40" s="764">
        <v>8.0500000000000007</v>
      </c>
      <c r="S40" s="530">
        <f t="shared" si="35"/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486">
        <v>0</v>
      </c>
      <c r="Y40" s="486">
        <f>SUM(W40:X40)</f>
        <v>0</v>
      </c>
      <c r="Z40" s="486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1"/>
        <v>0</v>
      </c>
      <c r="AF40" s="486">
        <f t="shared" si="2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36"/>
        <v>0</v>
      </c>
      <c r="AM40" s="501">
        <f t="shared" si="37"/>
        <v>0</v>
      </c>
      <c r="AN40" s="502">
        <f t="shared" si="3"/>
        <v>0</v>
      </c>
      <c r="AO40" s="499">
        <f>I40+AF40</f>
        <v>3228375</v>
      </c>
      <c r="AP40" s="486">
        <f>J40+V40</f>
        <v>2364830</v>
      </c>
      <c r="AQ40" s="486">
        <f>K40+Y40</f>
        <v>0</v>
      </c>
      <c r="AR40" s="486">
        <f>L40</f>
        <v>0</v>
      </c>
      <c r="AS40" s="486">
        <f t="shared" si="38"/>
        <v>799313</v>
      </c>
      <c r="AT40" s="486">
        <f t="shared" si="38"/>
        <v>47296</v>
      </c>
      <c r="AU40" s="486">
        <f>O40+AE40</f>
        <v>16936</v>
      </c>
      <c r="AV40" s="501">
        <f>P40+AN40</f>
        <v>8.0500000000000007</v>
      </c>
      <c r="AW40" s="501">
        <f t="shared" si="39"/>
        <v>0</v>
      </c>
      <c r="AX40" s="502">
        <f t="shared" si="39"/>
        <v>8.0500000000000007</v>
      </c>
    </row>
    <row r="41" spans="1:50" s="695" customFormat="1" x14ac:dyDescent="0.2">
      <c r="A41" s="282">
        <v>8</v>
      </c>
      <c r="B41" s="27">
        <v>4404</v>
      </c>
      <c r="C41" s="27">
        <v>600074331</v>
      </c>
      <c r="D41" s="27">
        <v>831298</v>
      </c>
      <c r="E41" s="292" t="s">
        <v>164</v>
      </c>
      <c r="F41" s="27"/>
      <c r="G41" s="281"/>
      <c r="H41" s="377"/>
      <c r="I41" s="5">
        <v>23818275</v>
      </c>
      <c r="J41" s="8">
        <v>17191119</v>
      </c>
      <c r="K41" s="8">
        <v>0</v>
      </c>
      <c r="L41" s="8">
        <v>0</v>
      </c>
      <c r="M41" s="8">
        <v>5810599</v>
      </c>
      <c r="N41" s="8">
        <v>343821</v>
      </c>
      <c r="O41" s="8">
        <v>472736</v>
      </c>
      <c r="P41" s="9">
        <v>43.790800000000004</v>
      </c>
      <c r="Q41" s="9">
        <v>26.16</v>
      </c>
      <c r="R41" s="33">
        <v>17.630800000000004</v>
      </c>
      <c r="S41" s="5">
        <f t="shared" ref="S41:AX41" si="40">SUM(S38:S40)</f>
        <v>0</v>
      </c>
      <c r="T41" s="8">
        <f t="shared" si="40"/>
        <v>-28300</v>
      </c>
      <c r="U41" s="8">
        <f t="shared" si="40"/>
        <v>0</v>
      </c>
      <c r="V41" s="8">
        <f t="shared" si="40"/>
        <v>-28300</v>
      </c>
      <c r="W41" s="8">
        <f t="shared" si="40"/>
        <v>0</v>
      </c>
      <c r="X41" s="8">
        <f t="shared" si="40"/>
        <v>0</v>
      </c>
      <c r="Y41" s="8">
        <f t="shared" si="40"/>
        <v>0</v>
      </c>
      <c r="Z41" s="8">
        <f t="shared" si="40"/>
        <v>-28300</v>
      </c>
      <c r="AA41" s="8">
        <f t="shared" si="40"/>
        <v>-9565</v>
      </c>
      <c r="AB41" s="8">
        <f t="shared" si="40"/>
        <v>-566</v>
      </c>
      <c r="AC41" s="8">
        <f t="shared" si="40"/>
        <v>0</v>
      </c>
      <c r="AD41" s="8">
        <f t="shared" si="40"/>
        <v>0</v>
      </c>
      <c r="AE41" s="8">
        <f t="shared" si="40"/>
        <v>0</v>
      </c>
      <c r="AF41" s="8">
        <f t="shared" si="40"/>
        <v>-38431</v>
      </c>
      <c r="AG41" s="9">
        <f t="shared" si="40"/>
        <v>0</v>
      </c>
      <c r="AH41" s="9">
        <f t="shared" si="40"/>
        <v>0</v>
      </c>
      <c r="AI41" s="9">
        <f t="shared" si="40"/>
        <v>-0.08</v>
      </c>
      <c r="AJ41" s="9">
        <f t="shared" si="40"/>
        <v>0</v>
      </c>
      <c r="AK41" s="9">
        <f t="shared" si="40"/>
        <v>0</v>
      </c>
      <c r="AL41" s="9">
        <f t="shared" si="40"/>
        <v>-0.08</v>
      </c>
      <c r="AM41" s="9">
        <f t="shared" si="40"/>
        <v>0</v>
      </c>
      <c r="AN41" s="74">
        <f t="shared" si="40"/>
        <v>-0.08</v>
      </c>
      <c r="AO41" s="270">
        <f t="shared" si="40"/>
        <v>23779844</v>
      </c>
      <c r="AP41" s="8">
        <f t="shared" si="40"/>
        <v>17162819</v>
      </c>
      <c r="AQ41" s="38">
        <f t="shared" si="40"/>
        <v>0</v>
      </c>
      <c r="AR41" s="38">
        <f t="shared" si="40"/>
        <v>0</v>
      </c>
      <c r="AS41" s="8">
        <f t="shared" si="40"/>
        <v>5801034</v>
      </c>
      <c r="AT41" s="8">
        <f t="shared" si="40"/>
        <v>343255</v>
      </c>
      <c r="AU41" s="8">
        <f t="shared" si="40"/>
        <v>472736</v>
      </c>
      <c r="AV41" s="9">
        <f t="shared" si="40"/>
        <v>43.710800000000006</v>
      </c>
      <c r="AW41" s="9">
        <f t="shared" si="40"/>
        <v>26.080000000000002</v>
      </c>
      <c r="AX41" s="74">
        <f t="shared" si="40"/>
        <v>17.630800000000004</v>
      </c>
    </row>
    <row r="42" spans="1:50" s="695" customFormat="1" x14ac:dyDescent="0.2">
      <c r="A42" s="720">
        <v>9</v>
      </c>
      <c r="B42" s="721">
        <v>4480</v>
      </c>
      <c r="C42" s="721">
        <v>600075249</v>
      </c>
      <c r="D42" s="721">
        <v>49864548</v>
      </c>
      <c r="E42" s="722" t="s">
        <v>165</v>
      </c>
      <c r="F42" s="721">
        <v>3141</v>
      </c>
      <c r="G42" s="531" t="s">
        <v>321</v>
      </c>
      <c r="H42" s="767" t="s">
        <v>284</v>
      </c>
      <c r="I42" s="495">
        <v>4283251</v>
      </c>
      <c r="J42" s="496">
        <v>3104498</v>
      </c>
      <c r="K42" s="475">
        <v>0</v>
      </c>
      <c r="L42" s="475">
        <v>0</v>
      </c>
      <c r="M42" s="319">
        <v>1049321</v>
      </c>
      <c r="N42" s="319">
        <v>62090</v>
      </c>
      <c r="O42" s="496">
        <v>67342</v>
      </c>
      <c r="P42" s="497">
        <v>10.64</v>
      </c>
      <c r="Q42" s="412">
        <v>0</v>
      </c>
      <c r="R42" s="764">
        <v>10.64</v>
      </c>
      <c r="S42" s="530">
        <f>W42*-1</f>
        <v>0</v>
      </c>
      <c r="T42" s="486">
        <v>0</v>
      </c>
      <c r="U42" s="486">
        <v>0</v>
      </c>
      <c r="V42" s="486">
        <f>SUM(S42:U42)</f>
        <v>0</v>
      </c>
      <c r="W42" s="486">
        <v>0</v>
      </c>
      <c r="X42" s="486">
        <v>0</v>
      </c>
      <c r="Y42" s="486">
        <f>SUM(W42:X42)</f>
        <v>0</v>
      </c>
      <c r="Z42" s="486">
        <f>V42+Y42</f>
        <v>0</v>
      </c>
      <c r="AA42" s="319">
        <f>ROUND((V42+W42)*33.8%,0)</f>
        <v>0</v>
      </c>
      <c r="AB42" s="178">
        <f>ROUND(V42*2%,0)</f>
        <v>0</v>
      </c>
      <c r="AC42" s="486">
        <v>0</v>
      </c>
      <c r="AD42" s="486">
        <v>0</v>
      </c>
      <c r="AE42" s="486">
        <f t="shared" si="1"/>
        <v>0</v>
      </c>
      <c r="AF42" s="486">
        <f t="shared" si="2"/>
        <v>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>AG42+AI42+AJ42</f>
        <v>0</v>
      </c>
      <c r="AM42" s="501">
        <f>AH42+AK42</f>
        <v>0</v>
      </c>
      <c r="AN42" s="502">
        <f t="shared" si="3"/>
        <v>0</v>
      </c>
      <c r="AO42" s="499">
        <f>I42+AF42</f>
        <v>4283251</v>
      </c>
      <c r="AP42" s="486">
        <f>J42+V42</f>
        <v>3104498</v>
      </c>
      <c r="AQ42" s="486">
        <f>K42+Y42</f>
        <v>0</v>
      </c>
      <c r="AR42" s="486">
        <f>L42</f>
        <v>0</v>
      </c>
      <c r="AS42" s="486">
        <f>M42+AA42</f>
        <v>1049321</v>
      </c>
      <c r="AT42" s="486">
        <f>N42+AB42</f>
        <v>62090</v>
      </c>
      <c r="AU42" s="486">
        <f>O42+AE42</f>
        <v>67342</v>
      </c>
      <c r="AV42" s="501">
        <f>P42+AN42</f>
        <v>10.64</v>
      </c>
      <c r="AW42" s="501">
        <f>Q42+AL42</f>
        <v>0</v>
      </c>
      <c r="AX42" s="502">
        <f>R42+AM42</f>
        <v>10.64</v>
      </c>
    </row>
    <row r="43" spans="1:50" s="695" customFormat="1" x14ac:dyDescent="0.2">
      <c r="A43" s="282">
        <v>9</v>
      </c>
      <c r="B43" s="27">
        <v>4480</v>
      </c>
      <c r="C43" s="27">
        <v>600075249</v>
      </c>
      <c r="D43" s="27">
        <v>49864548</v>
      </c>
      <c r="E43" s="292" t="s">
        <v>166</v>
      </c>
      <c r="F43" s="27"/>
      <c r="G43" s="281"/>
      <c r="H43" s="377"/>
      <c r="I43" s="5">
        <v>4283251</v>
      </c>
      <c r="J43" s="8">
        <v>3104498</v>
      </c>
      <c r="K43" s="8">
        <v>0</v>
      </c>
      <c r="L43" s="8">
        <v>0</v>
      </c>
      <c r="M43" s="8">
        <v>1049321</v>
      </c>
      <c r="N43" s="8">
        <v>62090</v>
      </c>
      <c r="O43" s="8">
        <v>67342</v>
      </c>
      <c r="P43" s="9">
        <v>10.64</v>
      </c>
      <c r="Q43" s="9">
        <v>0</v>
      </c>
      <c r="R43" s="33">
        <v>10.64</v>
      </c>
      <c r="S43" s="5">
        <f t="shared" ref="S43:AX43" si="41">SUM(S42)</f>
        <v>0</v>
      </c>
      <c r="T43" s="8">
        <f t="shared" si="41"/>
        <v>0</v>
      </c>
      <c r="U43" s="8">
        <f t="shared" si="41"/>
        <v>0</v>
      </c>
      <c r="V43" s="8">
        <f t="shared" si="41"/>
        <v>0</v>
      </c>
      <c r="W43" s="8">
        <f t="shared" si="41"/>
        <v>0</v>
      </c>
      <c r="X43" s="8">
        <f t="shared" si="41"/>
        <v>0</v>
      </c>
      <c r="Y43" s="8">
        <f t="shared" si="41"/>
        <v>0</v>
      </c>
      <c r="Z43" s="8">
        <f t="shared" si="41"/>
        <v>0</v>
      </c>
      <c r="AA43" s="8">
        <f t="shared" si="41"/>
        <v>0</v>
      </c>
      <c r="AB43" s="8">
        <f t="shared" si="41"/>
        <v>0</v>
      </c>
      <c r="AC43" s="8">
        <f t="shared" si="41"/>
        <v>0</v>
      </c>
      <c r="AD43" s="8">
        <f t="shared" si="41"/>
        <v>0</v>
      </c>
      <c r="AE43" s="8">
        <f t="shared" si="41"/>
        <v>0</v>
      </c>
      <c r="AF43" s="8">
        <f t="shared" si="41"/>
        <v>0</v>
      </c>
      <c r="AG43" s="9">
        <f t="shared" si="41"/>
        <v>0</v>
      </c>
      <c r="AH43" s="9">
        <f t="shared" si="41"/>
        <v>0</v>
      </c>
      <c r="AI43" s="9">
        <f t="shared" si="41"/>
        <v>0</v>
      </c>
      <c r="AJ43" s="9">
        <f t="shared" si="41"/>
        <v>0</v>
      </c>
      <c r="AK43" s="9">
        <f t="shared" si="41"/>
        <v>0</v>
      </c>
      <c r="AL43" s="9">
        <f t="shared" si="41"/>
        <v>0</v>
      </c>
      <c r="AM43" s="9">
        <f t="shared" si="41"/>
        <v>0</v>
      </c>
      <c r="AN43" s="74">
        <f t="shared" si="41"/>
        <v>0</v>
      </c>
      <c r="AO43" s="270">
        <f t="shared" si="41"/>
        <v>4283251</v>
      </c>
      <c r="AP43" s="8">
        <f t="shared" si="41"/>
        <v>3104498</v>
      </c>
      <c r="AQ43" s="38">
        <f t="shared" si="41"/>
        <v>0</v>
      </c>
      <c r="AR43" s="38">
        <f t="shared" si="41"/>
        <v>0</v>
      </c>
      <c r="AS43" s="8">
        <f t="shared" si="41"/>
        <v>1049321</v>
      </c>
      <c r="AT43" s="8">
        <f t="shared" si="41"/>
        <v>62090</v>
      </c>
      <c r="AU43" s="8">
        <f t="shared" si="41"/>
        <v>67342</v>
      </c>
      <c r="AV43" s="9">
        <f t="shared" si="41"/>
        <v>10.64</v>
      </c>
      <c r="AW43" s="9">
        <f t="shared" si="41"/>
        <v>0</v>
      </c>
      <c r="AX43" s="74">
        <f t="shared" si="41"/>
        <v>10.64</v>
      </c>
    </row>
    <row r="44" spans="1:50" s="695" customFormat="1" x14ac:dyDescent="0.2">
      <c r="A44" s="720">
        <v>10</v>
      </c>
      <c r="B44" s="721">
        <v>4439</v>
      </c>
      <c r="C44" s="721">
        <v>600074951</v>
      </c>
      <c r="D44" s="721">
        <v>48283088</v>
      </c>
      <c r="E44" s="722" t="s">
        <v>167</v>
      </c>
      <c r="F44" s="721">
        <v>3111</v>
      </c>
      <c r="G44" s="531" t="s">
        <v>317</v>
      </c>
      <c r="H44" s="767" t="s">
        <v>283</v>
      </c>
      <c r="I44" s="495">
        <v>4429767</v>
      </c>
      <c r="J44" s="496">
        <v>3225896</v>
      </c>
      <c r="K44" s="475">
        <v>0</v>
      </c>
      <c r="L44" s="475">
        <v>0</v>
      </c>
      <c r="M44" s="319">
        <v>1090353</v>
      </c>
      <c r="N44" s="319">
        <v>64518</v>
      </c>
      <c r="O44" s="496">
        <v>49000</v>
      </c>
      <c r="P44" s="497">
        <v>7.5327999999999999</v>
      </c>
      <c r="Q44" s="412">
        <v>6</v>
      </c>
      <c r="R44" s="764">
        <v>1.5327999999999999</v>
      </c>
      <c r="S44" s="530">
        <f t="shared" ref="S44:S49" si="42">W44*-1</f>
        <v>0</v>
      </c>
      <c r="T44" s="486">
        <v>0</v>
      </c>
      <c r="U44" s="486">
        <v>0</v>
      </c>
      <c r="V44" s="486">
        <f t="shared" ref="V44:V49" si="43">SUM(S44:U44)</f>
        <v>0</v>
      </c>
      <c r="W44" s="486">
        <v>0</v>
      </c>
      <c r="X44" s="486">
        <v>0</v>
      </c>
      <c r="Y44" s="486">
        <f t="shared" ref="Y44:Y49" si="44">SUM(W44:X44)</f>
        <v>0</v>
      </c>
      <c r="Z44" s="486">
        <f t="shared" ref="Z44:Z49" si="45">V44+Y44</f>
        <v>0</v>
      </c>
      <c r="AA44" s="319">
        <f t="shared" ref="AA44:AA49" si="46">ROUND((V44+W44)*33.8%,0)</f>
        <v>0</v>
      </c>
      <c r="AB44" s="178">
        <f t="shared" ref="AB44:AB49" si="47">ROUND(V44*2%,0)</f>
        <v>0</v>
      </c>
      <c r="AC44" s="486">
        <v>0</v>
      </c>
      <c r="AD44" s="486">
        <v>0</v>
      </c>
      <c r="AE44" s="486">
        <f t="shared" si="1"/>
        <v>0</v>
      </c>
      <c r="AF44" s="486">
        <f t="shared" si="2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ref="AL44:AL49" si="48">AG44+AI44+AJ44</f>
        <v>0</v>
      </c>
      <c r="AM44" s="501">
        <f t="shared" ref="AM44:AM49" si="49">AH44+AK44</f>
        <v>0</v>
      </c>
      <c r="AN44" s="502">
        <f t="shared" si="3"/>
        <v>0</v>
      </c>
      <c r="AO44" s="499">
        <f t="shared" ref="AO44:AO49" si="50">I44+AF44</f>
        <v>4429767</v>
      </c>
      <c r="AP44" s="486">
        <f t="shared" ref="AP44:AP49" si="51">J44+V44</f>
        <v>3225896</v>
      </c>
      <c r="AQ44" s="486">
        <f t="shared" ref="AQ44:AQ49" si="52">K44+Y44</f>
        <v>0</v>
      </c>
      <c r="AR44" s="486">
        <f t="shared" ref="AR44:AR49" si="53">L44</f>
        <v>0</v>
      </c>
      <c r="AS44" s="486">
        <f t="shared" ref="AS44:AT49" si="54">M44+AA44</f>
        <v>1090353</v>
      </c>
      <c r="AT44" s="486">
        <f t="shared" si="54"/>
        <v>64518</v>
      </c>
      <c r="AU44" s="486">
        <f t="shared" ref="AU44:AU49" si="55">O44+AE44</f>
        <v>49000</v>
      </c>
      <c r="AV44" s="501">
        <f t="shared" ref="AV44:AV49" si="56">P44+AN44</f>
        <v>7.5327999999999999</v>
      </c>
      <c r="AW44" s="501">
        <f t="shared" ref="AW44:AX49" si="57">Q44+AL44</f>
        <v>6</v>
      </c>
      <c r="AX44" s="502">
        <f t="shared" si="57"/>
        <v>1.5327999999999999</v>
      </c>
    </row>
    <row r="45" spans="1:50" s="695" customFormat="1" x14ac:dyDescent="0.2">
      <c r="A45" s="720">
        <v>10</v>
      </c>
      <c r="B45" s="721">
        <v>4439</v>
      </c>
      <c r="C45" s="721">
        <v>600074951</v>
      </c>
      <c r="D45" s="721">
        <v>48283088</v>
      </c>
      <c r="E45" s="722" t="s">
        <v>167</v>
      </c>
      <c r="F45" s="721">
        <v>3113</v>
      </c>
      <c r="G45" s="531" t="s">
        <v>320</v>
      </c>
      <c r="H45" s="767" t="s">
        <v>283</v>
      </c>
      <c r="I45" s="495">
        <v>20478447</v>
      </c>
      <c r="J45" s="496">
        <v>14460907</v>
      </c>
      <c r="K45" s="496">
        <v>131335</v>
      </c>
      <c r="L45" s="496">
        <v>131335</v>
      </c>
      <c r="M45" s="496">
        <v>4887787</v>
      </c>
      <c r="N45" s="496">
        <v>289218</v>
      </c>
      <c r="O45" s="496">
        <v>709200</v>
      </c>
      <c r="P45" s="497">
        <v>29.440699999999996</v>
      </c>
      <c r="Q45" s="412">
        <v>21.950800000000001</v>
      </c>
      <c r="R45" s="764">
        <v>7.4898999999999951</v>
      </c>
      <c r="S45" s="530">
        <f t="shared" si="42"/>
        <v>0</v>
      </c>
      <c r="T45" s="486">
        <v>0</v>
      </c>
      <c r="U45" s="486">
        <v>0</v>
      </c>
      <c r="V45" s="486">
        <f t="shared" si="43"/>
        <v>0</v>
      </c>
      <c r="W45" s="486">
        <v>0</v>
      </c>
      <c r="X45" s="486">
        <v>0</v>
      </c>
      <c r="Y45" s="486">
        <f t="shared" si="44"/>
        <v>0</v>
      </c>
      <c r="Z45" s="486">
        <f t="shared" si="45"/>
        <v>0</v>
      </c>
      <c r="AA45" s="319">
        <f t="shared" si="46"/>
        <v>0</v>
      </c>
      <c r="AB45" s="178">
        <f t="shared" si="47"/>
        <v>0</v>
      </c>
      <c r="AC45" s="486">
        <v>0</v>
      </c>
      <c r="AD45" s="486">
        <v>0</v>
      </c>
      <c r="AE45" s="486">
        <f t="shared" si="1"/>
        <v>0</v>
      </c>
      <c r="AF45" s="486">
        <f t="shared" si="2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48"/>
        <v>0</v>
      </c>
      <c r="AM45" s="501">
        <f t="shared" si="49"/>
        <v>0</v>
      </c>
      <c r="AN45" s="502">
        <f t="shared" si="3"/>
        <v>0</v>
      </c>
      <c r="AO45" s="499">
        <f t="shared" si="50"/>
        <v>20478447</v>
      </c>
      <c r="AP45" s="486">
        <f t="shared" si="51"/>
        <v>14460907</v>
      </c>
      <c r="AQ45" s="486">
        <f t="shared" si="52"/>
        <v>131335</v>
      </c>
      <c r="AR45" s="486">
        <f t="shared" si="53"/>
        <v>131335</v>
      </c>
      <c r="AS45" s="486">
        <f t="shared" si="54"/>
        <v>4887787</v>
      </c>
      <c r="AT45" s="486">
        <f t="shared" si="54"/>
        <v>289218</v>
      </c>
      <c r="AU45" s="486">
        <f t="shared" si="55"/>
        <v>709200</v>
      </c>
      <c r="AV45" s="501">
        <f t="shared" si="56"/>
        <v>29.440699999999996</v>
      </c>
      <c r="AW45" s="501">
        <f t="shared" si="57"/>
        <v>21.950800000000001</v>
      </c>
      <c r="AX45" s="502">
        <f t="shared" si="57"/>
        <v>7.4898999999999951</v>
      </c>
    </row>
    <row r="46" spans="1:50" s="695" customFormat="1" x14ac:dyDescent="0.2">
      <c r="A46" s="720">
        <v>10</v>
      </c>
      <c r="B46" s="721">
        <v>4439</v>
      </c>
      <c r="C46" s="721">
        <v>600074951</v>
      </c>
      <c r="D46" s="721">
        <v>48283088</v>
      </c>
      <c r="E46" s="722" t="s">
        <v>167</v>
      </c>
      <c r="F46" s="721">
        <v>3113</v>
      </c>
      <c r="G46" s="531" t="s">
        <v>318</v>
      </c>
      <c r="H46" s="767" t="s">
        <v>284</v>
      </c>
      <c r="I46" s="495">
        <v>1830063</v>
      </c>
      <c r="J46" s="496">
        <v>1342094</v>
      </c>
      <c r="K46" s="475">
        <v>0</v>
      </c>
      <c r="L46" s="475">
        <v>0</v>
      </c>
      <c r="M46" s="319">
        <v>453628</v>
      </c>
      <c r="N46" s="319">
        <v>26841</v>
      </c>
      <c r="O46" s="496">
        <v>7500</v>
      </c>
      <c r="P46" s="497">
        <v>3.94</v>
      </c>
      <c r="Q46" s="412">
        <v>3.94</v>
      </c>
      <c r="R46" s="764">
        <v>0</v>
      </c>
      <c r="S46" s="530">
        <f t="shared" si="42"/>
        <v>0</v>
      </c>
      <c r="T46" s="486">
        <v>0</v>
      </c>
      <c r="U46" s="486">
        <v>0</v>
      </c>
      <c r="V46" s="486">
        <f t="shared" si="43"/>
        <v>0</v>
      </c>
      <c r="W46" s="486">
        <v>0</v>
      </c>
      <c r="X46" s="486">
        <v>0</v>
      </c>
      <c r="Y46" s="486">
        <f t="shared" si="44"/>
        <v>0</v>
      </c>
      <c r="Z46" s="486">
        <f t="shared" si="45"/>
        <v>0</v>
      </c>
      <c r="AA46" s="319">
        <f t="shared" si="46"/>
        <v>0</v>
      </c>
      <c r="AB46" s="178">
        <f t="shared" si="47"/>
        <v>0</v>
      </c>
      <c r="AC46" s="486">
        <v>0</v>
      </c>
      <c r="AD46" s="486">
        <v>0</v>
      </c>
      <c r="AE46" s="486">
        <f t="shared" si="1"/>
        <v>0</v>
      </c>
      <c r="AF46" s="486">
        <f t="shared" si="2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48"/>
        <v>0</v>
      </c>
      <c r="AM46" s="501">
        <f t="shared" si="49"/>
        <v>0</v>
      </c>
      <c r="AN46" s="502">
        <f t="shared" si="3"/>
        <v>0</v>
      </c>
      <c r="AO46" s="499">
        <f t="shared" si="50"/>
        <v>1830063</v>
      </c>
      <c r="AP46" s="486">
        <f t="shared" si="51"/>
        <v>1342094</v>
      </c>
      <c r="AQ46" s="486">
        <f t="shared" si="52"/>
        <v>0</v>
      </c>
      <c r="AR46" s="486">
        <f t="shared" si="53"/>
        <v>0</v>
      </c>
      <c r="AS46" s="486">
        <f t="shared" si="54"/>
        <v>453628</v>
      </c>
      <c r="AT46" s="486">
        <f t="shared" si="54"/>
        <v>26841</v>
      </c>
      <c r="AU46" s="486">
        <f t="shared" si="55"/>
        <v>7500</v>
      </c>
      <c r="AV46" s="501">
        <f t="shared" si="56"/>
        <v>3.94</v>
      </c>
      <c r="AW46" s="501">
        <f t="shared" si="57"/>
        <v>3.94</v>
      </c>
      <c r="AX46" s="502">
        <f t="shared" si="57"/>
        <v>0</v>
      </c>
    </row>
    <row r="47" spans="1:50" s="695" customFormat="1" x14ac:dyDescent="0.2">
      <c r="A47" s="720">
        <v>10</v>
      </c>
      <c r="B47" s="721">
        <v>4439</v>
      </c>
      <c r="C47" s="721">
        <v>600074951</v>
      </c>
      <c r="D47" s="721">
        <v>48283088</v>
      </c>
      <c r="E47" s="722" t="s">
        <v>167</v>
      </c>
      <c r="F47" s="721">
        <v>3141</v>
      </c>
      <c r="G47" s="531" t="s">
        <v>321</v>
      </c>
      <c r="H47" s="767" t="s">
        <v>284</v>
      </c>
      <c r="I47" s="495">
        <v>2530143</v>
      </c>
      <c r="J47" s="496">
        <v>1849735</v>
      </c>
      <c r="K47" s="475">
        <v>0</v>
      </c>
      <c r="L47" s="475">
        <v>0</v>
      </c>
      <c r="M47" s="319">
        <v>625211</v>
      </c>
      <c r="N47" s="319">
        <v>36995</v>
      </c>
      <c r="O47" s="496">
        <v>18202</v>
      </c>
      <c r="P47" s="497">
        <v>6.28</v>
      </c>
      <c r="Q47" s="412">
        <v>0</v>
      </c>
      <c r="R47" s="764">
        <v>6.28</v>
      </c>
      <c r="S47" s="530">
        <f t="shared" si="42"/>
        <v>0</v>
      </c>
      <c r="T47" s="486">
        <v>0</v>
      </c>
      <c r="U47" s="486">
        <v>0</v>
      </c>
      <c r="V47" s="486">
        <f t="shared" si="43"/>
        <v>0</v>
      </c>
      <c r="W47" s="486">
        <v>0</v>
      </c>
      <c r="X47" s="486">
        <v>0</v>
      </c>
      <c r="Y47" s="486">
        <f t="shared" si="44"/>
        <v>0</v>
      </c>
      <c r="Z47" s="486">
        <f t="shared" si="45"/>
        <v>0</v>
      </c>
      <c r="AA47" s="319">
        <f t="shared" si="46"/>
        <v>0</v>
      </c>
      <c r="AB47" s="178">
        <f t="shared" si="47"/>
        <v>0</v>
      </c>
      <c r="AC47" s="486">
        <v>0</v>
      </c>
      <c r="AD47" s="486">
        <v>0</v>
      </c>
      <c r="AE47" s="486">
        <f t="shared" si="1"/>
        <v>0</v>
      </c>
      <c r="AF47" s="486">
        <f t="shared" si="2"/>
        <v>0</v>
      </c>
      <c r="AG47" s="501">
        <v>0</v>
      </c>
      <c r="AH47" s="501">
        <v>0</v>
      </c>
      <c r="AI47" s="501">
        <v>0</v>
      </c>
      <c r="AJ47" s="501">
        <v>0</v>
      </c>
      <c r="AK47" s="501">
        <v>0</v>
      </c>
      <c r="AL47" s="501">
        <f t="shared" si="48"/>
        <v>0</v>
      </c>
      <c r="AM47" s="501">
        <f t="shared" si="49"/>
        <v>0</v>
      </c>
      <c r="AN47" s="502">
        <f t="shared" si="3"/>
        <v>0</v>
      </c>
      <c r="AO47" s="499">
        <f t="shared" si="50"/>
        <v>2530143</v>
      </c>
      <c r="AP47" s="486">
        <f t="shared" si="51"/>
        <v>1849735</v>
      </c>
      <c r="AQ47" s="486">
        <f t="shared" si="52"/>
        <v>0</v>
      </c>
      <c r="AR47" s="486">
        <f t="shared" si="53"/>
        <v>0</v>
      </c>
      <c r="AS47" s="486">
        <f t="shared" si="54"/>
        <v>625211</v>
      </c>
      <c r="AT47" s="486">
        <f t="shared" si="54"/>
        <v>36995</v>
      </c>
      <c r="AU47" s="486">
        <f t="shared" si="55"/>
        <v>18202</v>
      </c>
      <c r="AV47" s="501">
        <f t="shared" si="56"/>
        <v>6.28</v>
      </c>
      <c r="AW47" s="501">
        <f t="shared" si="57"/>
        <v>0</v>
      </c>
      <c r="AX47" s="502">
        <f t="shared" si="57"/>
        <v>6.28</v>
      </c>
    </row>
    <row r="48" spans="1:50" s="695" customFormat="1" x14ac:dyDescent="0.2">
      <c r="A48" s="720">
        <v>10</v>
      </c>
      <c r="B48" s="721">
        <v>4439</v>
      </c>
      <c r="C48" s="721">
        <v>600074951</v>
      </c>
      <c r="D48" s="721">
        <v>48283088</v>
      </c>
      <c r="E48" s="722" t="s">
        <v>167</v>
      </c>
      <c r="F48" s="721">
        <v>3143</v>
      </c>
      <c r="G48" s="531" t="s">
        <v>634</v>
      </c>
      <c r="H48" s="701" t="s">
        <v>283</v>
      </c>
      <c r="I48" s="495">
        <v>1405278</v>
      </c>
      <c r="J48" s="496">
        <v>1034815</v>
      </c>
      <c r="K48" s="475">
        <v>0</v>
      </c>
      <c r="L48" s="475">
        <v>0</v>
      </c>
      <c r="M48" s="319">
        <v>349767</v>
      </c>
      <c r="N48" s="319">
        <v>20696</v>
      </c>
      <c r="O48" s="496">
        <v>0</v>
      </c>
      <c r="P48" s="497">
        <v>2.4285999999999999</v>
      </c>
      <c r="Q48" s="412">
        <v>2.4285999999999999</v>
      </c>
      <c r="R48" s="764">
        <v>0</v>
      </c>
      <c r="S48" s="530">
        <f t="shared" si="42"/>
        <v>0</v>
      </c>
      <c r="T48" s="486">
        <v>0</v>
      </c>
      <c r="U48" s="486">
        <v>0</v>
      </c>
      <c r="V48" s="486">
        <f t="shared" si="43"/>
        <v>0</v>
      </c>
      <c r="W48" s="486">
        <v>0</v>
      </c>
      <c r="X48" s="486">
        <v>0</v>
      </c>
      <c r="Y48" s="486">
        <f t="shared" si="44"/>
        <v>0</v>
      </c>
      <c r="Z48" s="486">
        <f t="shared" si="45"/>
        <v>0</v>
      </c>
      <c r="AA48" s="319">
        <f t="shared" si="46"/>
        <v>0</v>
      </c>
      <c r="AB48" s="178">
        <f t="shared" si="47"/>
        <v>0</v>
      </c>
      <c r="AC48" s="486">
        <v>0</v>
      </c>
      <c r="AD48" s="486">
        <v>0</v>
      </c>
      <c r="AE48" s="486">
        <f t="shared" si="1"/>
        <v>0</v>
      </c>
      <c r="AF48" s="486">
        <f t="shared" si="2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si="48"/>
        <v>0</v>
      </c>
      <c r="AM48" s="501">
        <f t="shared" si="49"/>
        <v>0</v>
      </c>
      <c r="AN48" s="502">
        <f t="shared" si="3"/>
        <v>0</v>
      </c>
      <c r="AO48" s="499">
        <f t="shared" si="50"/>
        <v>1405278</v>
      </c>
      <c r="AP48" s="486">
        <f t="shared" si="51"/>
        <v>1034815</v>
      </c>
      <c r="AQ48" s="486">
        <f t="shared" si="52"/>
        <v>0</v>
      </c>
      <c r="AR48" s="486">
        <f t="shared" si="53"/>
        <v>0</v>
      </c>
      <c r="AS48" s="486">
        <f t="shared" si="54"/>
        <v>349767</v>
      </c>
      <c r="AT48" s="486">
        <f t="shared" si="54"/>
        <v>20696</v>
      </c>
      <c r="AU48" s="486">
        <f t="shared" si="55"/>
        <v>0</v>
      </c>
      <c r="AV48" s="501">
        <f t="shared" si="56"/>
        <v>2.4285999999999999</v>
      </c>
      <c r="AW48" s="501">
        <f t="shared" si="57"/>
        <v>2.4285999999999999</v>
      </c>
      <c r="AX48" s="502">
        <f t="shared" si="57"/>
        <v>0</v>
      </c>
    </row>
    <row r="49" spans="1:50" s="695" customFormat="1" x14ac:dyDescent="0.2">
      <c r="A49" s="720">
        <v>10</v>
      </c>
      <c r="B49" s="721">
        <v>4439</v>
      </c>
      <c r="C49" s="721">
        <v>600074951</v>
      </c>
      <c r="D49" s="721">
        <v>48283088</v>
      </c>
      <c r="E49" s="722" t="s">
        <v>167</v>
      </c>
      <c r="F49" s="721">
        <v>3143</v>
      </c>
      <c r="G49" s="531" t="s">
        <v>635</v>
      </c>
      <c r="H49" s="701" t="s">
        <v>284</v>
      </c>
      <c r="I49" s="495">
        <v>52666</v>
      </c>
      <c r="J49" s="496">
        <v>37125</v>
      </c>
      <c r="K49" s="475">
        <v>0</v>
      </c>
      <c r="L49" s="475">
        <v>0</v>
      </c>
      <c r="M49" s="319">
        <v>12548</v>
      </c>
      <c r="N49" s="319">
        <v>743</v>
      </c>
      <c r="O49" s="496">
        <v>2250</v>
      </c>
      <c r="P49" s="497">
        <v>0.16</v>
      </c>
      <c r="Q49" s="412">
        <v>0</v>
      </c>
      <c r="R49" s="764">
        <v>0.16</v>
      </c>
      <c r="S49" s="530">
        <f t="shared" si="42"/>
        <v>0</v>
      </c>
      <c r="T49" s="486">
        <v>0</v>
      </c>
      <c r="U49" s="486">
        <v>0</v>
      </c>
      <c r="V49" s="486">
        <f t="shared" si="43"/>
        <v>0</v>
      </c>
      <c r="W49" s="486">
        <v>0</v>
      </c>
      <c r="X49" s="486">
        <v>0</v>
      </c>
      <c r="Y49" s="486">
        <f t="shared" si="44"/>
        <v>0</v>
      </c>
      <c r="Z49" s="486">
        <f t="shared" si="45"/>
        <v>0</v>
      </c>
      <c r="AA49" s="319">
        <f t="shared" si="46"/>
        <v>0</v>
      </c>
      <c r="AB49" s="178">
        <f t="shared" si="47"/>
        <v>0</v>
      </c>
      <c r="AC49" s="486">
        <v>0</v>
      </c>
      <c r="AD49" s="486">
        <v>0</v>
      </c>
      <c r="AE49" s="486">
        <f t="shared" si="1"/>
        <v>0</v>
      </c>
      <c r="AF49" s="486">
        <f t="shared" si="2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48"/>
        <v>0</v>
      </c>
      <c r="AM49" s="501">
        <f t="shared" si="49"/>
        <v>0</v>
      </c>
      <c r="AN49" s="502">
        <f t="shared" si="3"/>
        <v>0</v>
      </c>
      <c r="AO49" s="499">
        <f t="shared" si="50"/>
        <v>52666</v>
      </c>
      <c r="AP49" s="486">
        <f t="shared" si="51"/>
        <v>37125</v>
      </c>
      <c r="AQ49" s="486">
        <f t="shared" si="52"/>
        <v>0</v>
      </c>
      <c r="AR49" s="486">
        <f t="shared" si="53"/>
        <v>0</v>
      </c>
      <c r="AS49" s="486">
        <f t="shared" si="54"/>
        <v>12548</v>
      </c>
      <c r="AT49" s="486">
        <f t="shared" si="54"/>
        <v>743</v>
      </c>
      <c r="AU49" s="486">
        <f t="shared" si="55"/>
        <v>2250</v>
      </c>
      <c r="AV49" s="501">
        <f t="shared" si="56"/>
        <v>0.16</v>
      </c>
      <c r="AW49" s="501">
        <f t="shared" si="57"/>
        <v>0</v>
      </c>
      <c r="AX49" s="502">
        <f t="shared" si="57"/>
        <v>0.16</v>
      </c>
    </row>
    <row r="50" spans="1:50" s="695" customFormat="1" x14ac:dyDescent="0.2">
      <c r="A50" s="282">
        <v>10</v>
      </c>
      <c r="B50" s="27">
        <v>4439</v>
      </c>
      <c r="C50" s="27">
        <v>600074951</v>
      </c>
      <c r="D50" s="27">
        <v>48283088</v>
      </c>
      <c r="E50" s="292" t="s">
        <v>168</v>
      </c>
      <c r="F50" s="27"/>
      <c r="G50" s="281"/>
      <c r="H50" s="377"/>
      <c r="I50" s="5">
        <v>30726364</v>
      </c>
      <c r="J50" s="8">
        <v>21950572</v>
      </c>
      <c r="K50" s="8">
        <v>131335</v>
      </c>
      <c r="L50" s="8">
        <v>131335</v>
      </c>
      <c r="M50" s="8">
        <v>7419294</v>
      </c>
      <c r="N50" s="8">
        <v>439011</v>
      </c>
      <c r="O50" s="8">
        <v>786152</v>
      </c>
      <c r="P50" s="9">
        <v>49.782099999999993</v>
      </c>
      <c r="Q50" s="9">
        <v>34.319400000000002</v>
      </c>
      <c r="R50" s="33">
        <v>15.462699999999995</v>
      </c>
      <c r="S50" s="5">
        <f t="shared" ref="S50:AX50" si="58">SUM(S44:S49)</f>
        <v>0</v>
      </c>
      <c r="T50" s="8">
        <f t="shared" si="58"/>
        <v>0</v>
      </c>
      <c r="U50" s="8">
        <f t="shared" si="58"/>
        <v>0</v>
      </c>
      <c r="V50" s="8">
        <f t="shared" si="58"/>
        <v>0</v>
      </c>
      <c r="W50" s="8">
        <f t="shared" si="58"/>
        <v>0</v>
      </c>
      <c r="X50" s="8">
        <f t="shared" si="58"/>
        <v>0</v>
      </c>
      <c r="Y50" s="8">
        <f t="shared" si="58"/>
        <v>0</v>
      </c>
      <c r="Z50" s="8">
        <f t="shared" si="58"/>
        <v>0</v>
      </c>
      <c r="AA50" s="8">
        <f t="shared" si="58"/>
        <v>0</v>
      </c>
      <c r="AB50" s="8">
        <f t="shared" si="58"/>
        <v>0</v>
      </c>
      <c r="AC50" s="8">
        <f t="shared" si="58"/>
        <v>0</v>
      </c>
      <c r="AD50" s="8">
        <f t="shared" si="58"/>
        <v>0</v>
      </c>
      <c r="AE50" s="8">
        <f t="shared" si="58"/>
        <v>0</v>
      </c>
      <c r="AF50" s="8">
        <f t="shared" si="58"/>
        <v>0</v>
      </c>
      <c r="AG50" s="9">
        <f t="shared" si="58"/>
        <v>0</v>
      </c>
      <c r="AH50" s="9">
        <f t="shared" si="58"/>
        <v>0</v>
      </c>
      <c r="AI50" s="9">
        <f t="shared" si="58"/>
        <v>0</v>
      </c>
      <c r="AJ50" s="9">
        <f t="shared" si="58"/>
        <v>0</v>
      </c>
      <c r="AK50" s="9">
        <f t="shared" si="58"/>
        <v>0</v>
      </c>
      <c r="AL50" s="9">
        <f t="shared" si="58"/>
        <v>0</v>
      </c>
      <c r="AM50" s="9">
        <f t="shared" si="58"/>
        <v>0</v>
      </c>
      <c r="AN50" s="74">
        <f t="shared" si="58"/>
        <v>0</v>
      </c>
      <c r="AO50" s="270">
        <f t="shared" si="58"/>
        <v>30726364</v>
      </c>
      <c r="AP50" s="8">
        <f t="shared" si="58"/>
        <v>21950572</v>
      </c>
      <c r="AQ50" s="38">
        <f t="shared" si="58"/>
        <v>131335</v>
      </c>
      <c r="AR50" s="38">
        <f t="shared" si="58"/>
        <v>131335</v>
      </c>
      <c r="AS50" s="8">
        <f t="shared" si="58"/>
        <v>7419294</v>
      </c>
      <c r="AT50" s="8">
        <f t="shared" si="58"/>
        <v>439011</v>
      </c>
      <c r="AU50" s="8">
        <f t="shared" si="58"/>
        <v>786152</v>
      </c>
      <c r="AV50" s="9">
        <f t="shared" si="58"/>
        <v>49.782099999999993</v>
      </c>
      <c r="AW50" s="9">
        <f t="shared" si="58"/>
        <v>34.319400000000002</v>
      </c>
      <c r="AX50" s="74">
        <f t="shared" si="58"/>
        <v>15.462699999999995</v>
      </c>
    </row>
    <row r="51" spans="1:50" s="695" customFormat="1" x14ac:dyDescent="0.2">
      <c r="A51" s="720">
        <v>11</v>
      </c>
      <c r="B51" s="721">
        <v>4443</v>
      </c>
      <c r="C51" s="721">
        <v>600074994</v>
      </c>
      <c r="D51" s="721">
        <v>46750045</v>
      </c>
      <c r="E51" s="722" t="s">
        <v>169</v>
      </c>
      <c r="F51" s="721">
        <v>3113</v>
      </c>
      <c r="G51" s="531" t="s">
        <v>320</v>
      </c>
      <c r="H51" s="767" t="s">
        <v>283</v>
      </c>
      <c r="I51" s="495">
        <v>48528711</v>
      </c>
      <c r="J51" s="496">
        <v>33909847</v>
      </c>
      <c r="K51" s="496">
        <v>614676</v>
      </c>
      <c r="L51" s="496">
        <v>447330</v>
      </c>
      <c r="M51" s="496">
        <v>11518091</v>
      </c>
      <c r="N51" s="496">
        <v>678197</v>
      </c>
      <c r="O51" s="496">
        <v>1807900</v>
      </c>
      <c r="P51" s="497">
        <v>64.061299999999989</v>
      </c>
      <c r="Q51" s="412">
        <v>51.226299999999995</v>
      </c>
      <c r="R51" s="764">
        <v>12.835000000000001</v>
      </c>
      <c r="S51" s="530">
        <f t="shared" ref="S51:S55" si="59">W51*-1</f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486">
        <v>0</v>
      </c>
      <c r="Y51" s="486">
        <f>SUM(W51:X51)</f>
        <v>0</v>
      </c>
      <c r="Z51" s="486">
        <f>V51+Y51</f>
        <v>0</v>
      </c>
      <c r="AA51" s="319">
        <f>ROUND((V51+W51)*33.8%,0)</f>
        <v>0</v>
      </c>
      <c r="AB51" s="178">
        <f>ROUND(V51*2%,0)</f>
        <v>0</v>
      </c>
      <c r="AC51" s="486">
        <v>0</v>
      </c>
      <c r="AD51" s="486">
        <v>0</v>
      </c>
      <c r="AE51" s="486">
        <f t="shared" si="1"/>
        <v>0</v>
      </c>
      <c r="AF51" s="486">
        <f t="shared" si="2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ref="AL51:AL55" si="60">AG51+AI51+AJ51</f>
        <v>0</v>
      </c>
      <c r="AM51" s="501">
        <f t="shared" ref="AM51:AM55" si="61">AH51+AK51</f>
        <v>0</v>
      </c>
      <c r="AN51" s="502">
        <f t="shared" si="3"/>
        <v>0</v>
      </c>
      <c r="AO51" s="499">
        <f>I51+AF51</f>
        <v>48528711</v>
      </c>
      <c r="AP51" s="486">
        <f>J51+V51</f>
        <v>33909847</v>
      </c>
      <c r="AQ51" s="486">
        <f>K51+Y51</f>
        <v>614676</v>
      </c>
      <c r="AR51" s="486">
        <f>L51</f>
        <v>447330</v>
      </c>
      <c r="AS51" s="486">
        <f t="shared" ref="AS51:AT55" si="62">M51+AA51</f>
        <v>11518091</v>
      </c>
      <c r="AT51" s="486">
        <f t="shared" si="62"/>
        <v>678197</v>
      </c>
      <c r="AU51" s="486">
        <f>O51+AE51</f>
        <v>1807900</v>
      </c>
      <c r="AV51" s="501">
        <f>P51+AN51</f>
        <v>64.061299999999989</v>
      </c>
      <c r="AW51" s="501">
        <f t="shared" ref="AW51:AX55" si="63">Q51+AL51</f>
        <v>51.226299999999995</v>
      </c>
      <c r="AX51" s="502">
        <f t="shared" si="63"/>
        <v>12.835000000000001</v>
      </c>
    </row>
    <row r="52" spans="1:50" s="695" customFormat="1" x14ac:dyDescent="0.2">
      <c r="A52" s="720">
        <v>11</v>
      </c>
      <c r="B52" s="721">
        <v>4443</v>
      </c>
      <c r="C52" s="721">
        <v>600074994</v>
      </c>
      <c r="D52" s="721">
        <v>46750045</v>
      </c>
      <c r="E52" s="722" t="s">
        <v>169</v>
      </c>
      <c r="F52" s="721">
        <v>3113</v>
      </c>
      <c r="G52" s="531" t="s">
        <v>318</v>
      </c>
      <c r="H52" s="767" t="s">
        <v>284</v>
      </c>
      <c r="I52" s="495">
        <v>4752989</v>
      </c>
      <c r="J52" s="496">
        <v>3484344</v>
      </c>
      <c r="K52" s="475">
        <v>0</v>
      </c>
      <c r="L52" s="475">
        <v>0</v>
      </c>
      <c r="M52" s="319">
        <v>1177708</v>
      </c>
      <c r="N52" s="319">
        <v>69687</v>
      </c>
      <c r="O52" s="496">
        <v>21250</v>
      </c>
      <c r="P52" s="497">
        <v>10.260000000000002</v>
      </c>
      <c r="Q52" s="412">
        <v>10.260000000000002</v>
      </c>
      <c r="R52" s="764">
        <v>0</v>
      </c>
      <c r="S52" s="530">
        <f t="shared" si="59"/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486">
        <v>0</v>
      </c>
      <c r="Y52" s="486">
        <f>SUM(W52:X52)</f>
        <v>0</v>
      </c>
      <c r="Z52" s="486">
        <f>V52+Y52</f>
        <v>0</v>
      </c>
      <c r="AA52" s="319">
        <f>ROUND((V52+W52)*33.8%,0)</f>
        <v>0</v>
      </c>
      <c r="AB52" s="178">
        <f>ROUND(V52*2%,0)</f>
        <v>0</v>
      </c>
      <c r="AC52" s="486">
        <v>0</v>
      </c>
      <c r="AD52" s="486">
        <v>0</v>
      </c>
      <c r="AE52" s="486">
        <f t="shared" si="1"/>
        <v>0</v>
      </c>
      <c r="AF52" s="486">
        <f t="shared" si="2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60"/>
        <v>0</v>
      </c>
      <c r="AM52" s="501">
        <f t="shared" si="61"/>
        <v>0</v>
      </c>
      <c r="AN52" s="502">
        <f t="shared" si="3"/>
        <v>0</v>
      </c>
      <c r="AO52" s="499">
        <f>I52+AF52</f>
        <v>4752989</v>
      </c>
      <c r="AP52" s="486">
        <f>J52+V52</f>
        <v>3484344</v>
      </c>
      <c r="AQ52" s="486">
        <f>K52+Y52</f>
        <v>0</v>
      </c>
      <c r="AR52" s="486">
        <f>L52</f>
        <v>0</v>
      </c>
      <c r="AS52" s="486">
        <f t="shared" si="62"/>
        <v>1177708</v>
      </c>
      <c r="AT52" s="486">
        <f t="shared" si="62"/>
        <v>69687</v>
      </c>
      <c r="AU52" s="486">
        <f>O52+AE52</f>
        <v>21250</v>
      </c>
      <c r="AV52" s="501">
        <f>P52+AN52</f>
        <v>10.260000000000002</v>
      </c>
      <c r="AW52" s="501">
        <f t="shared" si="63"/>
        <v>10.260000000000002</v>
      </c>
      <c r="AX52" s="502">
        <f t="shared" si="63"/>
        <v>0</v>
      </c>
    </row>
    <row r="53" spans="1:50" s="695" customFormat="1" x14ac:dyDescent="0.2">
      <c r="A53" s="720">
        <v>11</v>
      </c>
      <c r="B53" s="721">
        <v>4443</v>
      </c>
      <c r="C53" s="721">
        <v>600074994</v>
      </c>
      <c r="D53" s="721">
        <v>46750045</v>
      </c>
      <c r="E53" s="722" t="s">
        <v>169</v>
      </c>
      <c r="F53" s="721">
        <v>3143</v>
      </c>
      <c r="G53" s="531" t="s">
        <v>634</v>
      </c>
      <c r="H53" s="701" t="s">
        <v>283</v>
      </c>
      <c r="I53" s="495">
        <v>4313665</v>
      </c>
      <c r="J53" s="496">
        <v>3164661</v>
      </c>
      <c r="K53" s="475">
        <v>12000</v>
      </c>
      <c r="L53" s="475">
        <v>0</v>
      </c>
      <c r="M53" s="319">
        <v>1073711</v>
      </c>
      <c r="N53" s="319">
        <v>63293</v>
      </c>
      <c r="O53" s="496">
        <v>0</v>
      </c>
      <c r="P53" s="497">
        <v>6.5413999999999994</v>
      </c>
      <c r="Q53" s="412">
        <v>6.5413999999999994</v>
      </c>
      <c r="R53" s="764">
        <v>0</v>
      </c>
      <c r="S53" s="530">
        <f t="shared" si="59"/>
        <v>0</v>
      </c>
      <c r="T53" s="486">
        <v>0</v>
      </c>
      <c r="U53" s="486">
        <v>0</v>
      </c>
      <c r="V53" s="486">
        <f>SUM(S53:U53)</f>
        <v>0</v>
      </c>
      <c r="W53" s="486">
        <v>0</v>
      </c>
      <c r="X53" s="486">
        <v>0</v>
      </c>
      <c r="Y53" s="486">
        <f>SUM(W53:X53)</f>
        <v>0</v>
      </c>
      <c r="Z53" s="486">
        <f>V53+Y53</f>
        <v>0</v>
      </c>
      <c r="AA53" s="319">
        <f>ROUND((V53+W53)*33.8%,0)</f>
        <v>0</v>
      </c>
      <c r="AB53" s="178">
        <f>ROUND(V53*2%,0)</f>
        <v>0</v>
      </c>
      <c r="AC53" s="486">
        <v>0</v>
      </c>
      <c r="AD53" s="486">
        <v>0</v>
      </c>
      <c r="AE53" s="486">
        <f t="shared" si="1"/>
        <v>0</v>
      </c>
      <c r="AF53" s="486">
        <f t="shared" si="2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si="60"/>
        <v>0</v>
      </c>
      <c r="AM53" s="501">
        <f t="shared" si="61"/>
        <v>0</v>
      </c>
      <c r="AN53" s="502">
        <f t="shared" si="3"/>
        <v>0</v>
      </c>
      <c r="AO53" s="499">
        <f>I53+AF53</f>
        <v>4313665</v>
      </c>
      <c r="AP53" s="486">
        <f>J53+V53</f>
        <v>3164661</v>
      </c>
      <c r="AQ53" s="486">
        <f>K53+Y53</f>
        <v>12000</v>
      </c>
      <c r="AR53" s="486">
        <f>L53</f>
        <v>0</v>
      </c>
      <c r="AS53" s="486">
        <f t="shared" si="62"/>
        <v>1073711</v>
      </c>
      <c r="AT53" s="486">
        <f t="shared" si="62"/>
        <v>63293</v>
      </c>
      <c r="AU53" s="486">
        <f>O53+AE53</f>
        <v>0</v>
      </c>
      <c r="AV53" s="501">
        <f>P53+AN53</f>
        <v>6.5413999999999994</v>
      </c>
      <c r="AW53" s="501">
        <f t="shared" si="63"/>
        <v>6.5413999999999994</v>
      </c>
      <c r="AX53" s="502">
        <f t="shared" si="63"/>
        <v>0</v>
      </c>
    </row>
    <row r="54" spans="1:50" s="695" customFormat="1" x14ac:dyDescent="0.2">
      <c r="A54" s="720">
        <v>11</v>
      </c>
      <c r="B54" s="721">
        <v>4443</v>
      </c>
      <c r="C54" s="721">
        <v>600074994</v>
      </c>
      <c r="D54" s="721">
        <v>46750045</v>
      </c>
      <c r="E54" s="722" t="s">
        <v>169</v>
      </c>
      <c r="F54" s="721">
        <v>3143</v>
      </c>
      <c r="G54" s="531" t="s">
        <v>635</v>
      </c>
      <c r="H54" s="701" t="s">
        <v>284</v>
      </c>
      <c r="I54" s="495">
        <v>150976</v>
      </c>
      <c r="J54" s="496">
        <v>106425</v>
      </c>
      <c r="K54" s="475">
        <v>0</v>
      </c>
      <c r="L54" s="475">
        <v>0</v>
      </c>
      <c r="M54" s="319">
        <v>35972</v>
      </c>
      <c r="N54" s="319">
        <v>2129</v>
      </c>
      <c r="O54" s="496">
        <v>6450</v>
      </c>
      <c r="P54" s="497">
        <v>0.45</v>
      </c>
      <c r="Q54" s="412">
        <v>0</v>
      </c>
      <c r="R54" s="764">
        <v>0.45</v>
      </c>
      <c r="S54" s="530">
        <f t="shared" si="59"/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486">
        <v>0</v>
      </c>
      <c r="Y54" s="486">
        <f>SUM(W54:X54)</f>
        <v>0</v>
      </c>
      <c r="Z54" s="486">
        <f>V54+Y54</f>
        <v>0</v>
      </c>
      <c r="AA54" s="319">
        <f>ROUND((V54+W54)*33.8%,0)</f>
        <v>0</v>
      </c>
      <c r="AB54" s="178">
        <f>ROUND(V54*2%,0)</f>
        <v>0</v>
      </c>
      <c r="AC54" s="486">
        <v>0</v>
      </c>
      <c r="AD54" s="486">
        <v>0</v>
      </c>
      <c r="AE54" s="486">
        <f t="shared" si="1"/>
        <v>0</v>
      </c>
      <c r="AF54" s="486">
        <f t="shared" si="2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60"/>
        <v>0</v>
      </c>
      <c r="AM54" s="501">
        <f t="shared" si="61"/>
        <v>0</v>
      </c>
      <c r="AN54" s="502">
        <f t="shared" si="3"/>
        <v>0</v>
      </c>
      <c r="AO54" s="499">
        <f>I54+AF54</f>
        <v>150976</v>
      </c>
      <c r="AP54" s="486">
        <f>J54+V54</f>
        <v>106425</v>
      </c>
      <c r="AQ54" s="486">
        <f>K54+Y54</f>
        <v>0</v>
      </c>
      <c r="AR54" s="486">
        <f>L54</f>
        <v>0</v>
      </c>
      <c r="AS54" s="486">
        <f t="shared" si="62"/>
        <v>35972</v>
      </c>
      <c r="AT54" s="486">
        <f t="shared" si="62"/>
        <v>2129</v>
      </c>
      <c r="AU54" s="486">
        <f>O54+AE54</f>
        <v>6450</v>
      </c>
      <c r="AV54" s="501">
        <f>P54+AN54</f>
        <v>0.45</v>
      </c>
      <c r="AW54" s="501">
        <f t="shared" si="63"/>
        <v>0</v>
      </c>
      <c r="AX54" s="502">
        <f t="shared" si="63"/>
        <v>0.45</v>
      </c>
    </row>
    <row r="55" spans="1:50" s="695" customFormat="1" x14ac:dyDescent="0.2">
      <c r="A55" s="720">
        <v>11</v>
      </c>
      <c r="B55" s="721">
        <v>4443</v>
      </c>
      <c r="C55" s="721">
        <v>600074994</v>
      </c>
      <c r="D55" s="721">
        <v>46750045</v>
      </c>
      <c r="E55" s="722" t="s">
        <v>169</v>
      </c>
      <c r="F55" s="721">
        <v>3143</v>
      </c>
      <c r="G55" s="531" t="s">
        <v>323</v>
      </c>
      <c r="H55" s="701" t="s">
        <v>284</v>
      </c>
      <c r="I55" s="495">
        <v>335579</v>
      </c>
      <c r="J55" s="496">
        <v>246450</v>
      </c>
      <c r="K55" s="475">
        <v>0</v>
      </c>
      <c r="L55" s="475">
        <v>0</v>
      </c>
      <c r="M55" s="319">
        <v>83300</v>
      </c>
      <c r="N55" s="319">
        <v>4929</v>
      </c>
      <c r="O55" s="496">
        <v>900</v>
      </c>
      <c r="P55" s="497">
        <v>0.56000000000000005</v>
      </c>
      <c r="Q55" s="412">
        <v>0.5</v>
      </c>
      <c r="R55" s="764">
        <v>0.06</v>
      </c>
      <c r="S55" s="530">
        <f t="shared" si="59"/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319">
        <f>ROUND((V55+W55)*33.8%,0)</f>
        <v>0</v>
      </c>
      <c r="AB55" s="178">
        <f>ROUND(V55*2%,0)</f>
        <v>0</v>
      </c>
      <c r="AC55" s="486">
        <v>0</v>
      </c>
      <c r="AD55" s="486">
        <v>0</v>
      </c>
      <c r="AE55" s="486">
        <f t="shared" si="1"/>
        <v>0</v>
      </c>
      <c r="AF55" s="486">
        <f t="shared" si="2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 t="shared" si="60"/>
        <v>0</v>
      </c>
      <c r="AM55" s="501">
        <f t="shared" si="61"/>
        <v>0</v>
      </c>
      <c r="AN55" s="502">
        <f t="shared" si="3"/>
        <v>0</v>
      </c>
      <c r="AO55" s="499">
        <f>I55+AF55</f>
        <v>335579</v>
      </c>
      <c r="AP55" s="486">
        <f>J55+V55</f>
        <v>246450</v>
      </c>
      <c r="AQ55" s="486">
        <f>K55+Y55</f>
        <v>0</v>
      </c>
      <c r="AR55" s="486">
        <f>L55</f>
        <v>0</v>
      </c>
      <c r="AS55" s="486">
        <f t="shared" si="62"/>
        <v>83300</v>
      </c>
      <c r="AT55" s="486">
        <f t="shared" si="62"/>
        <v>4929</v>
      </c>
      <c r="AU55" s="486">
        <f>O55+AE55</f>
        <v>900</v>
      </c>
      <c r="AV55" s="501">
        <f>P55+AN55</f>
        <v>0.56000000000000005</v>
      </c>
      <c r="AW55" s="501">
        <f t="shared" si="63"/>
        <v>0.5</v>
      </c>
      <c r="AX55" s="502">
        <f t="shared" si="63"/>
        <v>0.06</v>
      </c>
    </row>
    <row r="56" spans="1:50" s="695" customFormat="1" x14ac:dyDescent="0.2">
      <c r="A56" s="282">
        <v>11</v>
      </c>
      <c r="B56" s="27">
        <v>4443</v>
      </c>
      <c r="C56" s="27">
        <v>600074994</v>
      </c>
      <c r="D56" s="27">
        <v>46750045</v>
      </c>
      <c r="E56" s="292" t="s">
        <v>170</v>
      </c>
      <c r="F56" s="27"/>
      <c r="G56" s="281"/>
      <c r="H56" s="377"/>
      <c r="I56" s="5">
        <v>58081920</v>
      </c>
      <c r="J56" s="8">
        <v>40911727</v>
      </c>
      <c r="K56" s="8">
        <v>626676</v>
      </c>
      <c r="L56" s="8">
        <v>447330</v>
      </c>
      <c r="M56" s="8">
        <v>13888782</v>
      </c>
      <c r="N56" s="8">
        <v>818235</v>
      </c>
      <c r="O56" s="8">
        <v>1836500</v>
      </c>
      <c r="P56" s="9">
        <v>81.872699999999995</v>
      </c>
      <c r="Q56" s="9">
        <v>68.527699999999996</v>
      </c>
      <c r="R56" s="33">
        <v>13.345000000000001</v>
      </c>
      <c r="S56" s="5">
        <f t="shared" ref="S56:AX56" si="64">SUM(S51:S55)</f>
        <v>0</v>
      </c>
      <c r="T56" s="8">
        <f t="shared" si="64"/>
        <v>0</v>
      </c>
      <c r="U56" s="8">
        <f t="shared" si="64"/>
        <v>0</v>
      </c>
      <c r="V56" s="8">
        <f t="shared" si="64"/>
        <v>0</v>
      </c>
      <c r="W56" s="8">
        <f t="shared" si="64"/>
        <v>0</v>
      </c>
      <c r="X56" s="8">
        <f t="shared" si="64"/>
        <v>0</v>
      </c>
      <c r="Y56" s="8">
        <f t="shared" si="64"/>
        <v>0</v>
      </c>
      <c r="Z56" s="8">
        <f t="shared" si="64"/>
        <v>0</v>
      </c>
      <c r="AA56" s="8">
        <f t="shared" si="64"/>
        <v>0</v>
      </c>
      <c r="AB56" s="8">
        <f t="shared" si="64"/>
        <v>0</v>
      </c>
      <c r="AC56" s="8">
        <f t="shared" si="64"/>
        <v>0</v>
      </c>
      <c r="AD56" s="8">
        <f t="shared" si="64"/>
        <v>0</v>
      </c>
      <c r="AE56" s="8">
        <f t="shared" si="64"/>
        <v>0</v>
      </c>
      <c r="AF56" s="8">
        <f t="shared" si="64"/>
        <v>0</v>
      </c>
      <c r="AG56" s="9">
        <f t="shared" si="64"/>
        <v>0</v>
      </c>
      <c r="AH56" s="9">
        <f t="shared" si="64"/>
        <v>0</v>
      </c>
      <c r="AI56" s="9">
        <f t="shared" si="64"/>
        <v>0</v>
      </c>
      <c r="AJ56" s="9">
        <f t="shared" si="64"/>
        <v>0</v>
      </c>
      <c r="AK56" s="9">
        <f t="shared" si="64"/>
        <v>0</v>
      </c>
      <c r="AL56" s="9">
        <f t="shared" si="64"/>
        <v>0</v>
      </c>
      <c r="AM56" s="9">
        <f t="shared" si="64"/>
        <v>0</v>
      </c>
      <c r="AN56" s="74">
        <f t="shared" si="64"/>
        <v>0</v>
      </c>
      <c r="AO56" s="270">
        <f t="shared" si="64"/>
        <v>58081920</v>
      </c>
      <c r="AP56" s="8">
        <f t="shared" si="64"/>
        <v>40911727</v>
      </c>
      <c r="AQ56" s="38">
        <f t="shared" si="64"/>
        <v>626676</v>
      </c>
      <c r="AR56" s="38">
        <f t="shared" si="64"/>
        <v>447330</v>
      </c>
      <c r="AS56" s="8">
        <f t="shared" si="64"/>
        <v>13888782</v>
      </c>
      <c r="AT56" s="8">
        <f t="shared" si="64"/>
        <v>818235</v>
      </c>
      <c r="AU56" s="8">
        <f t="shared" si="64"/>
        <v>1836500</v>
      </c>
      <c r="AV56" s="9">
        <f t="shared" si="64"/>
        <v>81.872699999999995</v>
      </c>
      <c r="AW56" s="9">
        <f t="shared" si="64"/>
        <v>68.527699999999996</v>
      </c>
      <c r="AX56" s="74">
        <f t="shared" si="64"/>
        <v>13.345000000000001</v>
      </c>
    </row>
    <row r="57" spans="1:50" s="695" customFormat="1" x14ac:dyDescent="0.2">
      <c r="A57" s="720">
        <v>12</v>
      </c>
      <c r="B57" s="721">
        <v>4438</v>
      </c>
      <c r="C57" s="721">
        <v>600074871</v>
      </c>
      <c r="D57" s="721">
        <v>49864599</v>
      </c>
      <c r="E57" s="722" t="s">
        <v>171</v>
      </c>
      <c r="F57" s="721">
        <v>3113</v>
      </c>
      <c r="G57" s="531" t="s">
        <v>320</v>
      </c>
      <c r="H57" s="767" t="s">
        <v>283</v>
      </c>
      <c r="I57" s="495">
        <v>34392184</v>
      </c>
      <c r="J57" s="496">
        <v>24084779</v>
      </c>
      <c r="K57" s="496">
        <v>355073</v>
      </c>
      <c r="L57" s="496">
        <v>245073</v>
      </c>
      <c r="M57" s="496">
        <v>8177836</v>
      </c>
      <c r="N57" s="496">
        <v>481696</v>
      </c>
      <c r="O57" s="496">
        <v>1292800</v>
      </c>
      <c r="P57" s="497">
        <v>46.054200000000002</v>
      </c>
      <c r="Q57" s="412">
        <v>36.3887</v>
      </c>
      <c r="R57" s="764">
        <v>9.6655000000000015</v>
      </c>
      <c r="S57" s="530">
        <f t="shared" ref="S57:S62" si="65">W57*-1</f>
        <v>0</v>
      </c>
      <c r="T57" s="486">
        <v>0</v>
      </c>
      <c r="U57" s="486">
        <v>0</v>
      </c>
      <c r="V57" s="486">
        <f t="shared" ref="V57:V62" si="66">SUM(S57:U57)</f>
        <v>0</v>
      </c>
      <c r="W57" s="486">
        <v>0</v>
      </c>
      <c r="X57" s="486">
        <v>0</v>
      </c>
      <c r="Y57" s="486">
        <f t="shared" ref="Y57:Y62" si="67">SUM(W57:X57)</f>
        <v>0</v>
      </c>
      <c r="Z57" s="486">
        <f t="shared" ref="Z57:Z62" si="68">V57+Y57</f>
        <v>0</v>
      </c>
      <c r="AA57" s="319">
        <f t="shared" ref="AA57:AA62" si="69">ROUND((V57+W57)*33.8%,0)</f>
        <v>0</v>
      </c>
      <c r="AB57" s="178">
        <f t="shared" ref="AB57:AB62" si="70">ROUND(V57*2%,0)</f>
        <v>0</v>
      </c>
      <c r="AC57" s="486">
        <v>0</v>
      </c>
      <c r="AD57" s="486">
        <v>0</v>
      </c>
      <c r="AE57" s="486">
        <f t="shared" si="1"/>
        <v>0</v>
      </c>
      <c r="AF57" s="486">
        <f t="shared" si="2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ref="AL57:AL62" si="71">AG57+AI57+AJ57</f>
        <v>0</v>
      </c>
      <c r="AM57" s="501">
        <f t="shared" ref="AM57:AM62" si="72">AH57+AK57</f>
        <v>0</v>
      </c>
      <c r="AN57" s="502">
        <f t="shared" si="3"/>
        <v>0</v>
      </c>
      <c r="AO57" s="499">
        <f t="shared" ref="AO57:AO62" si="73">I57+AF57</f>
        <v>34392184</v>
      </c>
      <c r="AP57" s="486">
        <f t="shared" ref="AP57:AP62" si="74">J57+V57</f>
        <v>24084779</v>
      </c>
      <c r="AQ57" s="486">
        <f t="shared" ref="AQ57:AQ62" si="75">K57+Y57</f>
        <v>355073</v>
      </c>
      <c r="AR57" s="486">
        <f t="shared" ref="AR57:AR62" si="76">L57</f>
        <v>245073</v>
      </c>
      <c r="AS57" s="486">
        <f t="shared" ref="AS57:AT62" si="77">M57+AA57</f>
        <v>8177836</v>
      </c>
      <c r="AT57" s="486">
        <f t="shared" si="77"/>
        <v>481696</v>
      </c>
      <c r="AU57" s="486">
        <f t="shared" ref="AU57:AU62" si="78">O57+AE57</f>
        <v>1292800</v>
      </c>
      <c r="AV57" s="501">
        <f t="shared" ref="AV57:AV62" si="79">P57+AN57</f>
        <v>46.054200000000002</v>
      </c>
      <c r="AW57" s="501">
        <f t="shared" ref="AW57:AX62" si="80">Q57+AL57</f>
        <v>36.3887</v>
      </c>
      <c r="AX57" s="502">
        <f t="shared" si="80"/>
        <v>9.6655000000000015</v>
      </c>
    </row>
    <row r="58" spans="1:50" s="695" customFormat="1" x14ac:dyDescent="0.2">
      <c r="A58" s="720">
        <v>12</v>
      </c>
      <c r="B58" s="721">
        <v>4438</v>
      </c>
      <c r="C58" s="721">
        <v>600074871</v>
      </c>
      <c r="D58" s="721">
        <v>49864599</v>
      </c>
      <c r="E58" s="722" t="s">
        <v>171</v>
      </c>
      <c r="F58" s="721">
        <v>3113</v>
      </c>
      <c r="G58" s="531" t="s">
        <v>318</v>
      </c>
      <c r="H58" s="767" t="s">
        <v>284</v>
      </c>
      <c r="I58" s="495">
        <v>3248125</v>
      </c>
      <c r="J58" s="496">
        <v>2375277</v>
      </c>
      <c r="K58" s="475">
        <v>0</v>
      </c>
      <c r="L58" s="475">
        <v>0</v>
      </c>
      <c r="M58" s="319">
        <v>802843</v>
      </c>
      <c r="N58" s="319">
        <v>47505</v>
      </c>
      <c r="O58" s="496">
        <v>22500</v>
      </c>
      <c r="P58" s="497">
        <v>6.8999999999999995</v>
      </c>
      <c r="Q58" s="412">
        <v>6.8999999999999995</v>
      </c>
      <c r="R58" s="764">
        <v>0</v>
      </c>
      <c r="S58" s="530">
        <f t="shared" si="65"/>
        <v>0</v>
      </c>
      <c r="T58" s="486">
        <v>14150</v>
      </c>
      <c r="U58" s="486">
        <v>0</v>
      </c>
      <c r="V58" s="486">
        <f t="shared" si="66"/>
        <v>14150</v>
      </c>
      <c r="W58" s="486">
        <v>0</v>
      </c>
      <c r="X58" s="486">
        <v>0</v>
      </c>
      <c r="Y58" s="486">
        <f t="shared" si="67"/>
        <v>0</v>
      </c>
      <c r="Z58" s="486">
        <f t="shared" si="68"/>
        <v>14150</v>
      </c>
      <c r="AA58" s="319">
        <f t="shared" si="69"/>
        <v>4783</v>
      </c>
      <c r="AB58" s="178">
        <f t="shared" si="70"/>
        <v>283</v>
      </c>
      <c r="AC58" s="486">
        <v>500</v>
      </c>
      <c r="AD58" s="486">
        <v>0</v>
      </c>
      <c r="AE58" s="486">
        <f t="shared" si="1"/>
        <v>500</v>
      </c>
      <c r="AF58" s="486">
        <f t="shared" si="2"/>
        <v>19716</v>
      </c>
      <c r="AG58" s="501">
        <v>0</v>
      </c>
      <c r="AH58" s="501">
        <v>0</v>
      </c>
      <c r="AI58" s="501">
        <v>0.04</v>
      </c>
      <c r="AJ58" s="501">
        <v>0</v>
      </c>
      <c r="AK58" s="501">
        <v>0</v>
      </c>
      <c r="AL58" s="501">
        <f t="shared" si="71"/>
        <v>0.04</v>
      </c>
      <c r="AM58" s="501">
        <f t="shared" si="72"/>
        <v>0</v>
      </c>
      <c r="AN58" s="502">
        <f t="shared" si="3"/>
        <v>0.04</v>
      </c>
      <c r="AO58" s="499">
        <f t="shared" si="73"/>
        <v>3267841</v>
      </c>
      <c r="AP58" s="486">
        <f t="shared" si="74"/>
        <v>2389427</v>
      </c>
      <c r="AQ58" s="486">
        <f t="shared" si="75"/>
        <v>0</v>
      </c>
      <c r="AR58" s="486">
        <f t="shared" si="76"/>
        <v>0</v>
      </c>
      <c r="AS58" s="486">
        <f t="shared" si="77"/>
        <v>807626</v>
      </c>
      <c r="AT58" s="486">
        <f t="shared" si="77"/>
        <v>47788</v>
      </c>
      <c r="AU58" s="486">
        <f t="shared" si="78"/>
        <v>23000</v>
      </c>
      <c r="AV58" s="501">
        <f t="shared" si="79"/>
        <v>6.9399999999999995</v>
      </c>
      <c r="AW58" s="501">
        <f t="shared" si="80"/>
        <v>6.9399999999999995</v>
      </c>
      <c r="AX58" s="502">
        <f t="shared" si="80"/>
        <v>0</v>
      </c>
    </row>
    <row r="59" spans="1:50" s="695" customFormat="1" x14ac:dyDescent="0.2">
      <c r="A59" s="720">
        <v>12</v>
      </c>
      <c r="B59" s="721">
        <v>4438</v>
      </c>
      <c r="C59" s="721">
        <v>600074871</v>
      </c>
      <c r="D59" s="721">
        <v>49864599</v>
      </c>
      <c r="E59" s="722" t="s">
        <v>171</v>
      </c>
      <c r="F59" s="721">
        <v>3141</v>
      </c>
      <c r="G59" s="531" t="s">
        <v>321</v>
      </c>
      <c r="H59" s="767" t="s">
        <v>284</v>
      </c>
      <c r="I59" s="495">
        <v>2894941</v>
      </c>
      <c r="J59" s="496">
        <v>2102683</v>
      </c>
      <c r="K59" s="475">
        <v>10000</v>
      </c>
      <c r="L59" s="475">
        <v>0</v>
      </c>
      <c r="M59" s="319">
        <v>714086</v>
      </c>
      <c r="N59" s="319">
        <v>42054</v>
      </c>
      <c r="O59" s="496">
        <v>26118</v>
      </c>
      <c r="P59" s="497">
        <v>7.18</v>
      </c>
      <c r="Q59" s="412">
        <v>0</v>
      </c>
      <c r="R59" s="764">
        <v>7.18</v>
      </c>
      <c r="S59" s="530">
        <f t="shared" si="65"/>
        <v>0</v>
      </c>
      <c r="T59" s="486">
        <v>0</v>
      </c>
      <c r="U59" s="486">
        <v>0</v>
      </c>
      <c r="V59" s="486">
        <f t="shared" si="66"/>
        <v>0</v>
      </c>
      <c r="W59" s="486">
        <v>0</v>
      </c>
      <c r="X59" s="486">
        <v>0</v>
      </c>
      <c r="Y59" s="486">
        <f t="shared" si="67"/>
        <v>0</v>
      </c>
      <c r="Z59" s="486">
        <f t="shared" si="68"/>
        <v>0</v>
      </c>
      <c r="AA59" s="319">
        <f t="shared" si="69"/>
        <v>0</v>
      </c>
      <c r="AB59" s="178">
        <f t="shared" si="70"/>
        <v>0</v>
      </c>
      <c r="AC59" s="486">
        <v>0</v>
      </c>
      <c r="AD59" s="486">
        <v>0</v>
      </c>
      <c r="AE59" s="486">
        <f t="shared" si="1"/>
        <v>0</v>
      </c>
      <c r="AF59" s="486">
        <f t="shared" si="2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71"/>
        <v>0</v>
      </c>
      <c r="AM59" s="501">
        <f t="shared" si="72"/>
        <v>0</v>
      </c>
      <c r="AN59" s="502">
        <f t="shared" si="3"/>
        <v>0</v>
      </c>
      <c r="AO59" s="499">
        <f t="shared" si="73"/>
        <v>2894941</v>
      </c>
      <c r="AP59" s="486">
        <f t="shared" si="74"/>
        <v>2102683</v>
      </c>
      <c r="AQ59" s="486">
        <f t="shared" si="75"/>
        <v>10000</v>
      </c>
      <c r="AR59" s="486">
        <f t="shared" si="76"/>
        <v>0</v>
      </c>
      <c r="AS59" s="486">
        <f t="shared" si="77"/>
        <v>714086</v>
      </c>
      <c r="AT59" s="486">
        <f t="shared" si="77"/>
        <v>42054</v>
      </c>
      <c r="AU59" s="486">
        <f t="shared" si="78"/>
        <v>26118</v>
      </c>
      <c r="AV59" s="501">
        <f t="shared" si="79"/>
        <v>7.18</v>
      </c>
      <c r="AW59" s="501">
        <f t="shared" si="80"/>
        <v>0</v>
      </c>
      <c r="AX59" s="502">
        <f t="shared" si="80"/>
        <v>7.18</v>
      </c>
    </row>
    <row r="60" spans="1:50" s="695" customFormat="1" x14ac:dyDescent="0.2">
      <c r="A60" s="720">
        <v>12</v>
      </c>
      <c r="B60" s="721">
        <v>4438</v>
      </c>
      <c r="C60" s="721">
        <v>600074871</v>
      </c>
      <c r="D60" s="721">
        <v>49864599</v>
      </c>
      <c r="E60" s="722" t="s">
        <v>171</v>
      </c>
      <c r="F60" s="721">
        <v>3143</v>
      </c>
      <c r="G60" s="531" t="s">
        <v>634</v>
      </c>
      <c r="H60" s="701" t="s">
        <v>283</v>
      </c>
      <c r="I60" s="495">
        <v>2524761</v>
      </c>
      <c r="J60" s="496">
        <v>1859176</v>
      </c>
      <c r="K60" s="475">
        <v>0</v>
      </c>
      <c r="L60" s="475">
        <v>0</v>
      </c>
      <c r="M60" s="319">
        <v>628402</v>
      </c>
      <c r="N60" s="319">
        <v>37183</v>
      </c>
      <c r="O60" s="496">
        <v>0</v>
      </c>
      <c r="P60" s="497">
        <v>4.2478000000000007</v>
      </c>
      <c r="Q60" s="412">
        <v>4.2478000000000007</v>
      </c>
      <c r="R60" s="764">
        <v>0</v>
      </c>
      <c r="S60" s="530">
        <f t="shared" si="65"/>
        <v>0</v>
      </c>
      <c r="T60" s="486">
        <v>0</v>
      </c>
      <c r="U60" s="486">
        <v>0</v>
      </c>
      <c r="V60" s="486">
        <f t="shared" si="66"/>
        <v>0</v>
      </c>
      <c r="W60" s="486">
        <v>0</v>
      </c>
      <c r="X60" s="486">
        <v>0</v>
      </c>
      <c r="Y60" s="486">
        <f t="shared" si="67"/>
        <v>0</v>
      </c>
      <c r="Z60" s="486">
        <f t="shared" si="68"/>
        <v>0</v>
      </c>
      <c r="AA60" s="319">
        <f t="shared" si="69"/>
        <v>0</v>
      </c>
      <c r="AB60" s="178">
        <f t="shared" si="70"/>
        <v>0</v>
      </c>
      <c r="AC60" s="486">
        <v>0</v>
      </c>
      <c r="AD60" s="486">
        <v>0</v>
      </c>
      <c r="AE60" s="486">
        <f t="shared" si="1"/>
        <v>0</v>
      </c>
      <c r="AF60" s="486">
        <f t="shared" si="2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71"/>
        <v>0</v>
      </c>
      <c r="AM60" s="501">
        <f t="shared" si="72"/>
        <v>0</v>
      </c>
      <c r="AN60" s="502">
        <f t="shared" si="3"/>
        <v>0</v>
      </c>
      <c r="AO60" s="499">
        <f t="shared" si="73"/>
        <v>2524761</v>
      </c>
      <c r="AP60" s="486">
        <f t="shared" si="74"/>
        <v>1859176</v>
      </c>
      <c r="AQ60" s="486">
        <f t="shared" si="75"/>
        <v>0</v>
      </c>
      <c r="AR60" s="486">
        <f t="shared" si="76"/>
        <v>0</v>
      </c>
      <c r="AS60" s="486">
        <f t="shared" si="77"/>
        <v>628402</v>
      </c>
      <c r="AT60" s="486">
        <f t="shared" si="77"/>
        <v>37183</v>
      </c>
      <c r="AU60" s="486">
        <f t="shared" si="78"/>
        <v>0</v>
      </c>
      <c r="AV60" s="501">
        <f t="shared" si="79"/>
        <v>4.2478000000000007</v>
      </c>
      <c r="AW60" s="501">
        <f t="shared" si="80"/>
        <v>4.2478000000000007</v>
      </c>
      <c r="AX60" s="502">
        <f t="shared" si="80"/>
        <v>0</v>
      </c>
    </row>
    <row r="61" spans="1:50" s="695" customFormat="1" x14ac:dyDescent="0.2">
      <c r="A61" s="720">
        <v>12</v>
      </c>
      <c r="B61" s="721">
        <v>4438</v>
      </c>
      <c r="C61" s="721">
        <v>600074871</v>
      </c>
      <c r="D61" s="721">
        <v>49864599</v>
      </c>
      <c r="E61" s="722" t="s">
        <v>171</v>
      </c>
      <c r="F61" s="721">
        <v>3143</v>
      </c>
      <c r="G61" s="531" t="s">
        <v>635</v>
      </c>
      <c r="H61" s="701" t="s">
        <v>284</v>
      </c>
      <c r="I61" s="495">
        <v>90585</v>
      </c>
      <c r="J61" s="496">
        <v>63855</v>
      </c>
      <c r="K61" s="475">
        <v>0</v>
      </c>
      <c r="L61" s="475">
        <v>0</v>
      </c>
      <c r="M61" s="319">
        <v>21583</v>
      </c>
      <c r="N61" s="319">
        <v>1277</v>
      </c>
      <c r="O61" s="496">
        <v>3870</v>
      </c>
      <c r="P61" s="497">
        <v>0.27</v>
      </c>
      <c r="Q61" s="412">
        <v>0</v>
      </c>
      <c r="R61" s="764">
        <v>0.27</v>
      </c>
      <c r="S61" s="530">
        <f t="shared" si="65"/>
        <v>0</v>
      </c>
      <c r="T61" s="486">
        <v>0</v>
      </c>
      <c r="U61" s="486">
        <v>0</v>
      </c>
      <c r="V61" s="486">
        <f t="shared" si="66"/>
        <v>0</v>
      </c>
      <c r="W61" s="486">
        <v>0</v>
      </c>
      <c r="X61" s="486">
        <v>0</v>
      </c>
      <c r="Y61" s="486">
        <f t="shared" si="67"/>
        <v>0</v>
      </c>
      <c r="Z61" s="486">
        <f t="shared" si="68"/>
        <v>0</v>
      </c>
      <c r="AA61" s="319">
        <f t="shared" si="69"/>
        <v>0</v>
      </c>
      <c r="AB61" s="178">
        <f t="shared" si="70"/>
        <v>0</v>
      </c>
      <c r="AC61" s="486">
        <v>0</v>
      </c>
      <c r="AD61" s="486">
        <v>0</v>
      </c>
      <c r="AE61" s="486">
        <f t="shared" si="1"/>
        <v>0</v>
      </c>
      <c r="AF61" s="486">
        <f t="shared" si="2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71"/>
        <v>0</v>
      </c>
      <c r="AM61" s="501">
        <f t="shared" si="72"/>
        <v>0</v>
      </c>
      <c r="AN61" s="502">
        <f t="shared" si="3"/>
        <v>0</v>
      </c>
      <c r="AO61" s="499">
        <f t="shared" si="73"/>
        <v>90585</v>
      </c>
      <c r="AP61" s="486">
        <f t="shared" si="74"/>
        <v>63855</v>
      </c>
      <c r="AQ61" s="486">
        <f t="shared" si="75"/>
        <v>0</v>
      </c>
      <c r="AR61" s="486">
        <f t="shared" si="76"/>
        <v>0</v>
      </c>
      <c r="AS61" s="486">
        <f t="shared" si="77"/>
        <v>21583</v>
      </c>
      <c r="AT61" s="486">
        <f t="shared" si="77"/>
        <v>1277</v>
      </c>
      <c r="AU61" s="486">
        <f t="shared" si="78"/>
        <v>3870</v>
      </c>
      <c r="AV61" s="501">
        <f t="shared" si="79"/>
        <v>0.27</v>
      </c>
      <c r="AW61" s="501">
        <f t="shared" si="80"/>
        <v>0</v>
      </c>
      <c r="AX61" s="502">
        <f t="shared" si="80"/>
        <v>0.27</v>
      </c>
    </row>
    <row r="62" spans="1:50" s="695" customFormat="1" x14ac:dyDescent="0.2">
      <c r="A62" s="720">
        <v>12</v>
      </c>
      <c r="B62" s="721">
        <v>4438</v>
      </c>
      <c r="C62" s="721">
        <v>600074871</v>
      </c>
      <c r="D62" s="721">
        <v>49864599</v>
      </c>
      <c r="E62" s="722" t="s">
        <v>171</v>
      </c>
      <c r="F62" s="721">
        <v>3143</v>
      </c>
      <c r="G62" s="531" t="s">
        <v>323</v>
      </c>
      <c r="H62" s="701" t="s">
        <v>284</v>
      </c>
      <c r="I62" s="495">
        <v>334174</v>
      </c>
      <c r="J62" s="496">
        <v>245460</v>
      </c>
      <c r="K62" s="475">
        <v>0</v>
      </c>
      <c r="L62" s="475">
        <v>0</v>
      </c>
      <c r="M62" s="319">
        <v>82965</v>
      </c>
      <c r="N62" s="319">
        <v>4909</v>
      </c>
      <c r="O62" s="496">
        <v>840</v>
      </c>
      <c r="P62" s="497">
        <v>0.56000000000000005</v>
      </c>
      <c r="Q62" s="412">
        <v>0.5</v>
      </c>
      <c r="R62" s="764">
        <v>0.06</v>
      </c>
      <c r="S62" s="530">
        <f t="shared" si="65"/>
        <v>0</v>
      </c>
      <c r="T62" s="486">
        <v>0</v>
      </c>
      <c r="U62" s="486">
        <v>0</v>
      </c>
      <c r="V62" s="486">
        <f t="shared" si="66"/>
        <v>0</v>
      </c>
      <c r="W62" s="486">
        <v>0</v>
      </c>
      <c r="X62" s="486">
        <v>0</v>
      </c>
      <c r="Y62" s="486">
        <f t="shared" si="67"/>
        <v>0</v>
      </c>
      <c r="Z62" s="486">
        <f t="shared" si="68"/>
        <v>0</v>
      </c>
      <c r="AA62" s="319">
        <f t="shared" si="69"/>
        <v>0</v>
      </c>
      <c r="AB62" s="178">
        <f t="shared" si="70"/>
        <v>0</v>
      </c>
      <c r="AC62" s="486">
        <v>0</v>
      </c>
      <c r="AD62" s="486">
        <v>0</v>
      </c>
      <c r="AE62" s="486">
        <f t="shared" si="1"/>
        <v>0</v>
      </c>
      <c r="AF62" s="486">
        <f t="shared" si="2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71"/>
        <v>0</v>
      </c>
      <c r="AM62" s="501">
        <f t="shared" si="72"/>
        <v>0</v>
      </c>
      <c r="AN62" s="502">
        <f t="shared" si="3"/>
        <v>0</v>
      </c>
      <c r="AO62" s="499">
        <f t="shared" si="73"/>
        <v>334174</v>
      </c>
      <c r="AP62" s="486">
        <f t="shared" si="74"/>
        <v>245460</v>
      </c>
      <c r="AQ62" s="486">
        <f t="shared" si="75"/>
        <v>0</v>
      </c>
      <c r="AR62" s="486">
        <f t="shared" si="76"/>
        <v>0</v>
      </c>
      <c r="AS62" s="486">
        <f t="shared" si="77"/>
        <v>82965</v>
      </c>
      <c r="AT62" s="486">
        <f t="shared" si="77"/>
        <v>4909</v>
      </c>
      <c r="AU62" s="486">
        <f t="shared" si="78"/>
        <v>840</v>
      </c>
      <c r="AV62" s="501">
        <f t="shared" si="79"/>
        <v>0.56000000000000005</v>
      </c>
      <c r="AW62" s="501">
        <f t="shared" si="80"/>
        <v>0.5</v>
      </c>
      <c r="AX62" s="502">
        <f t="shared" si="80"/>
        <v>0.06</v>
      </c>
    </row>
    <row r="63" spans="1:50" s="695" customFormat="1" x14ac:dyDescent="0.2">
      <c r="A63" s="282">
        <v>12</v>
      </c>
      <c r="B63" s="27">
        <v>4438</v>
      </c>
      <c r="C63" s="27">
        <v>600074871</v>
      </c>
      <c r="D63" s="27">
        <v>49864599</v>
      </c>
      <c r="E63" s="292" t="s">
        <v>172</v>
      </c>
      <c r="F63" s="27"/>
      <c r="G63" s="281"/>
      <c r="H63" s="377"/>
      <c r="I63" s="5">
        <v>43484770</v>
      </c>
      <c r="J63" s="8">
        <v>30731230</v>
      </c>
      <c r="K63" s="8">
        <v>365073</v>
      </c>
      <c r="L63" s="8">
        <v>245073</v>
      </c>
      <c r="M63" s="8">
        <v>10427715</v>
      </c>
      <c r="N63" s="8">
        <v>614624</v>
      </c>
      <c r="O63" s="8">
        <v>1346128</v>
      </c>
      <c r="P63" s="9">
        <v>65.212000000000003</v>
      </c>
      <c r="Q63" s="9">
        <v>48.036499999999997</v>
      </c>
      <c r="R63" s="33">
        <v>17.1755</v>
      </c>
      <c r="S63" s="5">
        <f t="shared" ref="S63:AX63" si="81">SUM(S57:S62)</f>
        <v>0</v>
      </c>
      <c r="T63" s="8">
        <f t="shared" si="81"/>
        <v>14150</v>
      </c>
      <c r="U63" s="8">
        <f t="shared" si="81"/>
        <v>0</v>
      </c>
      <c r="V63" s="8">
        <f t="shared" si="81"/>
        <v>14150</v>
      </c>
      <c r="W63" s="8">
        <f t="shared" si="81"/>
        <v>0</v>
      </c>
      <c r="X63" s="8">
        <f t="shared" si="81"/>
        <v>0</v>
      </c>
      <c r="Y63" s="8">
        <f t="shared" si="81"/>
        <v>0</v>
      </c>
      <c r="Z63" s="8">
        <f t="shared" si="81"/>
        <v>14150</v>
      </c>
      <c r="AA63" s="8">
        <f t="shared" si="81"/>
        <v>4783</v>
      </c>
      <c r="AB63" s="8">
        <f t="shared" si="81"/>
        <v>283</v>
      </c>
      <c r="AC63" s="8">
        <f t="shared" si="81"/>
        <v>500</v>
      </c>
      <c r="AD63" s="8">
        <f t="shared" si="81"/>
        <v>0</v>
      </c>
      <c r="AE63" s="8">
        <f t="shared" si="81"/>
        <v>500</v>
      </c>
      <c r="AF63" s="8">
        <f t="shared" si="81"/>
        <v>19716</v>
      </c>
      <c r="AG63" s="9">
        <f t="shared" si="81"/>
        <v>0</v>
      </c>
      <c r="AH63" s="9">
        <f t="shared" si="81"/>
        <v>0</v>
      </c>
      <c r="AI63" s="9">
        <f t="shared" si="81"/>
        <v>0.04</v>
      </c>
      <c r="AJ63" s="9">
        <f t="shared" si="81"/>
        <v>0</v>
      </c>
      <c r="AK63" s="9">
        <f t="shared" si="81"/>
        <v>0</v>
      </c>
      <c r="AL63" s="9">
        <f t="shared" si="81"/>
        <v>0.04</v>
      </c>
      <c r="AM63" s="9">
        <f t="shared" si="81"/>
        <v>0</v>
      </c>
      <c r="AN63" s="74">
        <f t="shared" si="81"/>
        <v>0.04</v>
      </c>
      <c r="AO63" s="270">
        <f t="shared" si="81"/>
        <v>43504486</v>
      </c>
      <c r="AP63" s="8">
        <f t="shared" si="81"/>
        <v>30745380</v>
      </c>
      <c r="AQ63" s="38">
        <f t="shared" si="81"/>
        <v>365073</v>
      </c>
      <c r="AR63" s="38">
        <f t="shared" si="81"/>
        <v>245073</v>
      </c>
      <c r="AS63" s="8">
        <f t="shared" si="81"/>
        <v>10432498</v>
      </c>
      <c r="AT63" s="8">
        <f t="shared" si="81"/>
        <v>614907</v>
      </c>
      <c r="AU63" s="8">
        <f t="shared" si="81"/>
        <v>1346628</v>
      </c>
      <c r="AV63" s="9">
        <f t="shared" si="81"/>
        <v>65.251999999999995</v>
      </c>
      <c r="AW63" s="9">
        <f t="shared" si="81"/>
        <v>48.076499999999996</v>
      </c>
      <c r="AX63" s="74">
        <f t="shared" si="81"/>
        <v>17.1755</v>
      </c>
    </row>
    <row r="64" spans="1:50" s="695" customFormat="1" x14ac:dyDescent="0.2">
      <c r="A64" s="720">
        <v>13</v>
      </c>
      <c r="B64" s="721">
        <v>4455</v>
      </c>
      <c r="C64" s="721">
        <v>600074889</v>
      </c>
      <c r="D64" s="721">
        <v>49864611</v>
      </c>
      <c r="E64" s="722" t="s">
        <v>173</v>
      </c>
      <c r="F64" s="721">
        <v>3113</v>
      </c>
      <c r="G64" s="531" t="s">
        <v>320</v>
      </c>
      <c r="H64" s="767" t="s">
        <v>283</v>
      </c>
      <c r="I64" s="495">
        <v>37976675</v>
      </c>
      <c r="J64" s="496">
        <v>26694531</v>
      </c>
      <c r="K64" s="496">
        <v>297082</v>
      </c>
      <c r="L64" s="496">
        <v>207082</v>
      </c>
      <c r="M64" s="496">
        <v>9053171</v>
      </c>
      <c r="N64" s="496">
        <v>533891</v>
      </c>
      <c r="O64" s="496">
        <v>1398000</v>
      </c>
      <c r="P64" s="497">
        <v>49.843500000000006</v>
      </c>
      <c r="Q64" s="412">
        <v>39.620800000000003</v>
      </c>
      <c r="R64" s="764">
        <v>10.2227</v>
      </c>
      <c r="S64" s="530">
        <f t="shared" ref="S64:S69" si="82">W64*-1</f>
        <v>0</v>
      </c>
      <c r="T64" s="486">
        <v>0</v>
      </c>
      <c r="U64" s="486">
        <v>0</v>
      </c>
      <c r="V64" s="486">
        <f t="shared" ref="V64:V69" si="83">SUM(S64:U64)</f>
        <v>0</v>
      </c>
      <c r="W64" s="486">
        <v>0</v>
      </c>
      <c r="X64" s="486">
        <v>0</v>
      </c>
      <c r="Y64" s="486">
        <f t="shared" ref="Y64:Y69" si="84">SUM(W64:X64)</f>
        <v>0</v>
      </c>
      <c r="Z64" s="486">
        <f t="shared" ref="Z64:Z69" si="85">V64+Y64</f>
        <v>0</v>
      </c>
      <c r="AA64" s="319">
        <f t="shared" ref="AA64:AA69" si="86">ROUND((V64+W64)*33.8%,0)</f>
        <v>0</v>
      </c>
      <c r="AB64" s="178">
        <f t="shared" ref="AB64:AB69" si="87">ROUND(V64*2%,0)</f>
        <v>0</v>
      </c>
      <c r="AC64" s="486">
        <v>0</v>
      </c>
      <c r="AD64" s="486">
        <v>0</v>
      </c>
      <c r="AE64" s="486">
        <f t="shared" si="1"/>
        <v>0</v>
      </c>
      <c r="AF64" s="486">
        <f t="shared" si="2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ref="AL64:AL69" si="88">AG64+AI64+AJ64</f>
        <v>0</v>
      </c>
      <c r="AM64" s="501">
        <f t="shared" ref="AM64:AM69" si="89">AH64+AK64</f>
        <v>0</v>
      </c>
      <c r="AN64" s="502">
        <f t="shared" si="3"/>
        <v>0</v>
      </c>
      <c r="AO64" s="499">
        <f t="shared" ref="AO64:AO69" si="90">I64+AF64</f>
        <v>37976675</v>
      </c>
      <c r="AP64" s="486">
        <f t="shared" ref="AP64:AP69" si="91">J64+V64</f>
        <v>26694531</v>
      </c>
      <c r="AQ64" s="486">
        <f t="shared" ref="AQ64:AQ69" si="92">K64+Y64</f>
        <v>297082</v>
      </c>
      <c r="AR64" s="486">
        <f t="shared" ref="AR64:AR69" si="93">L64</f>
        <v>207082</v>
      </c>
      <c r="AS64" s="486">
        <f t="shared" ref="AS64:AT69" si="94">M64+AA64</f>
        <v>9053171</v>
      </c>
      <c r="AT64" s="486">
        <f t="shared" si="94"/>
        <v>533891</v>
      </c>
      <c r="AU64" s="486">
        <f t="shared" ref="AU64:AU69" si="95">O64+AE64</f>
        <v>1398000</v>
      </c>
      <c r="AV64" s="501">
        <f t="shared" ref="AV64:AV69" si="96">P64+AN64</f>
        <v>49.843500000000006</v>
      </c>
      <c r="AW64" s="501">
        <f t="shared" ref="AW64:AX69" si="97">Q64+AL64</f>
        <v>39.620800000000003</v>
      </c>
      <c r="AX64" s="502">
        <f t="shared" si="97"/>
        <v>10.2227</v>
      </c>
    </row>
    <row r="65" spans="1:50" s="695" customFormat="1" x14ac:dyDescent="0.2">
      <c r="A65" s="720">
        <v>13</v>
      </c>
      <c r="B65" s="721">
        <v>4455</v>
      </c>
      <c r="C65" s="721">
        <v>600074889</v>
      </c>
      <c r="D65" s="721">
        <v>49864611</v>
      </c>
      <c r="E65" s="722" t="s">
        <v>173</v>
      </c>
      <c r="F65" s="721">
        <v>3113</v>
      </c>
      <c r="G65" s="531" t="s">
        <v>318</v>
      </c>
      <c r="H65" s="767" t="s">
        <v>284</v>
      </c>
      <c r="I65" s="495">
        <v>2109996</v>
      </c>
      <c r="J65" s="496">
        <v>1547125</v>
      </c>
      <c r="K65" s="475">
        <v>0</v>
      </c>
      <c r="L65" s="475">
        <v>0</v>
      </c>
      <c r="M65" s="319">
        <v>522929</v>
      </c>
      <c r="N65" s="319">
        <v>30942</v>
      </c>
      <c r="O65" s="496">
        <v>9000</v>
      </c>
      <c r="P65" s="497">
        <v>4.7300000000000004</v>
      </c>
      <c r="Q65" s="412">
        <v>4.7300000000000004</v>
      </c>
      <c r="R65" s="764">
        <v>0</v>
      </c>
      <c r="S65" s="530">
        <f t="shared" si="82"/>
        <v>0</v>
      </c>
      <c r="T65" s="486">
        <v>0</v>
      </c>
      <c r="U65" s="486">
        <v>0</v>
      </c>
      <c r="V65" s="486">
        <f t="shared" si="83"/>
        <v>0</v>
      </c>
      <c r="W65" s="486">
        <v>0</v>
      </c>
      <c r="X65" s="486">
        <v>0</v>
      </c>
      <c r="Y65" s="486">
        <f t="shared" si="84"/>
        <v>0</v>
      </c>
      <c r="Z65" s="486">
        <f t="shared" si="85"/>
        <v>0</v>
      </c>
      <c r="AA65" s="319">
        <f t="shared" si="86"/>
        <v>0</v>
      </c>
      <c r="AB65" s="178">
        <f t="shared" si="87"/>
        <v>0</v>
      </c>
      <c r="AC65" s="486">
        <v>0</v>
      </c>
      <c r="AD65" s="486">
        <v>0</v>
      </c>
      <c r="AE65" s="486">
        <f t="shared" si="1"/>
        <v>0</v>
      </c>
      <c r="AF65" s="486">
        <f t="shared" si="2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si="88"/>
        <v>0</v>
      </c>
      <c r="AM65" s="501">
        <f t="shared" si="89"/>
        <v>0</v>
      </c>
      <c r="AN65" s="502">
        <f t="shared" si="3"/>
        <v>0</v>
      </c>
      <c r="AO65" s="499">
        <f t="shared" si="90"/>
        <v>2109996</v>
      </c>
      <c r="AP65" s="486">
        <f t="shared" si="91"/>
        <v>1547125</v>
      </c>
      <c r="AQ65" s="486">
        <f t="shared" si="92"/>
        <v>0</v>
      </c>
      <c r="AR65" s="486">
        <f t="shared" si="93"/>
        <v>0</v>
      </c>
      <c r="AS65" s="486">
        <f t="shared" si="94"/>
        <v>522929</v>
      </c>
      <c r="AT65" s="486">
        <f t="shared" si="94"/>
        <v>30942</v>
      </c>
      <c r="AU65" s="486">
        <f t="shared" si="95"/>
        <v>9000</v>
      </c>
      <c r="AV65" s="501">
        <f t="shared" si="96"/>
        <v>4.7300000000000004</v>
      </c>
      <c r="AW65" s="501">
        <f t="shared" si="97"/>
        <v>4.7300000000000004</v>
      </c>
      <c r="AX65" s="502">
        <f t="shared" si="97"/>
        <v>0</v>
      </c>
    </row>
    <row r="66" spans="1:50" s="695" customFormat="1" x14ac:dyDescent="0.2">
      <c r="A66" s="720">
        <v>13</v>
      </c>
      <c r="B66" s="721">
        <v>4455</v>
      </c>
      <c r="C66" s="721">
        <v>600074889</v>
      </c>
      <c r="D66" s="721">
        <v>49864611</v>
      </c>
      <c r="E66" s="722" t="s">
        <v>173</v>
      </c>
      <c r="F66" s="721">
        <v>3141</v>
      </c>
      <c r="G66" s="531" t="s">
        <v>321</v>
      </c>
      <c r="H66" s="767" t="s">
        <v>284</v>
      </c>
      <c r="I66" s="495">
        <v>3023290</v>
      </c>
      <c r="J66" s="496">
        <v>2205475</v>
      </c>
      <c r="K66" s="475">
        <v>0</v>
      </c>
      <c r="L66" s="475">
        <v>0</v>
      </c>
      <c r="M66" s="319">
        <v>745451</v>
      </c>
      <c r="N66" s="319">
        <v>44110</v>
      </c>
      <c r="O66" s="496">
        <v>28254</v>
      </c>
      <c r="P66" s="497">
        <v>7.5</v>
      </c>
      <c r="Q66" s="412">
        <v>0</v>
      </c>
      <c r="R66" s="764">
        <v>7.5</v>
      </c>
      <c r="S66" s="530">
        <f t="shared" si="82"/>
        <v>0</v>
      </c>
      <c r="T66" s="486">
        <v>0</v>
      </c>
      <c r="U66" s="486">
        <v>0</v>
      </c>
      <c r="V66" s="486">
        <f t="shared" si="83"/>
        <v>0</v>
      </c>
      <c r="W66" s="486">
        <v>0</v>
      </c>
      <c r="X66" s="486">
        <v>0</v>
      </c>
      <c r="Y66" s="486">
        <f t="shared" si="84"/>
        <v>0</v>
      </c>
      <c r="Z66" s="486">
        <f t="shared" si="85"/>
        <v>0</v>
      </c>
      <c r="AA66" s="319">
        <f t="shared" si="86"/>
        <v>0</v>
      </c>
      <c r="AB66" s="178">
        <f t="shared" si="87"/>
        <v>0</v>
      </c>
      <c r="AC66" s="486">
        <v>0</v>
      </c>
      <c r="AD66" s="486">
        <v>0</v>
      </c>
      <c r="AE66" s="486">
        <f t="shared" si="1"/>
        <v>0</v>
      </c>
      <c r="AF66" s="486">
        <f t="shared" si="2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88"/>
        <v>0</v>
      </c>
      <c r="AM66" s="501">
        <f t="shared" si="89"/>
        <v>0</v>
      </c>
      <c r="AN66" s="502">
        <f t="shared" si="3"/>
        <v>0</v>
      </c>
      <c r="AO66" s="499">
        <f t="shared" si="90"/>
        <v>3023290</v>
      </c>
      <c r="AP66" s="486">
        <f t="shared" si="91"/>
        <v>2205475</v>
      </c>
      <c r="AQ66" s="486">
        <f t="shared" si="92"/>
        <v>0</v>
      </c>
      <c r="AR66" s="486">
        <f t="shared" si="93"/>
        <v>0</v>
      </c>
      <c r="AS66" s="486">
        <f t="shared" si="94"/>
        <v>745451</v>
      </c>
      <c r="AT66" s="486">
        <f t="shared" si="94"/>
        <v>44110</v>
      </c>
      <c r="AU66" s="486">
        <f t="shared" si="95"/>
        <v>28254</v>
      </c>
      <c r="AV66" s="501">
        <f t="shared" si="96"/>
        <v>7.5</v>
      </c>
      <c r="AW66" s="501">
        <f t="shared" si="97"/>
        <v>0</v>
      </c>
      <c r="AX66" s="502">
        <f t="shared" si="97"/>
        <v>7.5</v>
      </c>
    </row>
    <row r="67" spans="1:50" s="695" customFormat="1" x14ac:dyDescent="0.2">
      <c r="A67" s="720">
        <v>13</v>
      </c>
      <c r="B67" s="721">
        <v>4455</v>
      </c>
      <c r="C67" s="721">
        <v>600074889</v>
      </c>
      <c r="D67" s="721">
        <v>49864611</v>
      </c>
      <c r="E67" s="722" t="s">
        <v>173</v>
      </c>
      <c r="F67" s="721">
        <v>3143</v>
      </c>
      <c r="G67" s="531" t="s">
        <v>634</v>
      </c>
      <c r="H67" s="701" t="s">
        <v>283</v>
      </c>
      <c r="I67" s="495">
        <v>3585673</v>
      </c>
      <c r="J67" s="496">
        <v>2640407</v>
      </c>
      <c r="K67" s="475">
        <v>0</v>
      </c>
      <c r="L67" s="475">
        <v>0</v>
      </c>
      <c r="M67" s="319">
        <v>892458</v>
      </c>
      <c r="N67" s="319">
        <v>52808</v>
      </c>
      <c r="O67" s="496">
        <v>0</v>
      </c>
      <c r="P67" s="497">
        <v>5.6429999999999998</v>
      </c>
      <c r="Q67" s="412">
        <v>5.6429999999999998</v>
      </c>
      <c r="R67" s="764">
        <v>0</v>
      </c>
      <c r="S67" s="530">
        <f t="shared" si="82"/>
        <v>0</v>
      </c>
      <c r="T67" s="486">
        <v>0</v>
      </c>
      <c r="U67" s="486">
        <v>0</v>
      </c>
      <c r="V67" s="486">
        <f t="shared" si="83"/>
        <v>0</v>
      </c>
      <c r="W67" s="486">
        <v>0</v>
      </c>
      <c r="X67" s="486">
        <v>0</v>
      </c>
      <c r="Y67" s="486">
        <f t="shared" si="84"/>
        <v>0</v>
      </c>
      <c r="Z67" s="486">
        <f t="shared" si="85"/>
        <v>0</v>
      </c>
      <c r="AA67" s="319">
        <f t="shared" si="86"/>
        <v>0</v>
      </c>
      <c r="AB67" s="178">
        <f t="shared" si="87"/>
        <v>0</v>
      </c>
      <c r="AC67" s="486">
        <v>0</v>
      </c>
      <c r="AD67" s="486">
        <v>0</v>
      </c>
      <c r="AE67" s="486">
        <f t="shared" si="1"/>
        <v>0</v>
      </c>
      <c r="AF67" s="486">
        <f t="shared" si="2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88"/>
        <v>0</v>
      </c>
      <c r="AM67" s="501">
        <f t="shared" si="89"/>
        <v>0</v>
      </c>
      <c r="AN67" s="502">
        <f t="shared" si="3"/>
        <v>0</v>
      </c>
      <c r="AO67" s="499">
        <f t="shared" si="90"/>
        <v>3585673</v>
      </c>
      <c r="AP67" s="486">
        <f t="shared" si="91"/>
        <v>2640407</v>
      </c>
      <c r="AQ67" s="486">
        <f t="shared" si="92"/>
        <v>0</v>
      </c>
      <c r="AR67" s="486">
        <f t="shared" si="93"/>
        <v>0</v>
      </c>
      <c r="AS67" s="486">
        <f t="shared" si="94"/>
        <v>892458</v>
      </c>
      <c r="AT67" s="486">
        <f t="shared" si="94"/>
        <v>52808</v>
      </c>
      <c r="AU67" s="486">
        <f t="shared" si="95"/>
        <v>0</v>
      </c>
      <c r="AV67" s="501">
        <f t="shared" si="96"/>
        <v>5.6429999999999998</v>
      </c>
      <c r="AW67" s="501">
        <f t="shared" si="97"/>
        <v>5.6429999999999998</v>
      </c>
      <c r="AX67" s="502">
        <f t="shared" si="97"/>
        <v>0</v>
      </c>
    </row>
    <row r="68" spans="1:50" s="695" customFormat="1" x14ac:dyDescent="0.2">
      <c r="A68" s="720">
        <v>13</v>
      </c>
      <c r="B68" s="721">
        <v>4455</v>
      </c>
      <c r="C68" s="721">
        <v>600074889</v>
      </c>
      <c r="D68" s="721">
        <v>49864611</v>
      </c>
      <c r="E68" s="722" t="s">
        <v>173</v>
      </c>
      <c r="F68" s="721">
        <v>3143</v>
      </c>
      <c r="G68" s="531" t="s">
        <v>635</v>
      </c>
      <c r="H68" s="701" t="s">
        <v>284</v>
      </c>
      <c r="I68" s="495">
        <v>106736</v>
      </c>
      <c r="J68" s="496">
        <v>75240</v>
      </c>
      <c r="K68" s="475">
        <v>0</v>
      </c>
      <c r="L68" s="475">
        <v>0</v>
      </c>
      <c r="M68" s="319">
        <v>25431</v>
      </c>
      <c r="N68" s="319">
        <v>1505</v>
      </c>
      <c r="O68" s="496">
        <v>4560</v>
      </c>
      <c r="P68" s="497">
        <v>0.32</v>
      </c>
      <c r="Q68" s="412">
        <v>0</v>
      </c>
      <c r="R68" s="764">
        <v>0.32</v>
      </c>
      <c r="S68" s="530">
        <f t="shared" si="82"/>
        <v>0</v>
      </c>
      <c r="T68" s="486">
        <v>0</v>
      </c>
      <c r="U68" s="486">
        <v>0</v>
      </c>
      <c r="V68" s="486">
        <f t="shared" si="83"/>
        <v>0</v>
      </c>
      <c r="W68" s="486">
        <v>0</v>
      </c>
      <c r="X68" s="486">
        <v>0</v>
      </c>
      <c r="Y68" s="486">
        <f t="shared" si="84"/>
        <v>0</v>
      </c>
      <c r="Z68" s="486">
        <f t="shared" si="85"/>
        <v>0</v>
      </c>
      <c r="AA68" s="319">
        <f t="shared" si="86"/>
        <v>0</v>
      </c>
      <c r="AB68" s="178">
        <f t="shared" si="87"/>
        <v>0</v>
      </c>
      <c r="AC68" s="486">
        <v>0</v>
      </c>
      <c r="AD68" s="486">
        <v>0</v>
      </c>
      <c r="AE68" s="486">
        <f t="shared" si="1"/>
        <v>0</v>
      </c>
      <c r="AF68" s="486">
        <f t="shared" si="2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88"/>
        <v>0</v>
      </c>
      <c r="AM68" s="501">
        <f t="shared" si="89"/>
        <v>0</v>
      </c>
      <c r="AN68" s="502">
        <f t="shared" si="3"/>
        <v>0</v>
      </c>
      <c r="AO68" s="499">
        <f t="shared" si="90"/>
        <v>106736</v>
      </c>
      <c r="AP68" s="486">
        <f t="shared" si="91"/>
        <v>75240</v>
      </c>
      <c r="AQ68" s="486">
        <f t="shared" si="92"/>
        <v>0</v>
      </c>
      <c r="AR68" s="486">
        <f t="shared" si="93"/>
        <v>0</v>
      </c>
      <c r="AS68" s="486">
        <f t="shared" si="94"/>
        <v>25431</v>
      </c>
      <c r="AT68" s="486">
        <f t="shared" si="94"/>
        <v>1505</v>
      </c>
      <c r="AU68" s="486">
        <f t="shared" si="95"/>
        <v>4560</v>
      </c>
      <c r="AV68" s="501">
        <f t="shared" si="96"/>
        <v>0.32</v>
      </c>
      <c r="AW68" s="501">
        <f t="shared" si="97"/>
        <v>0</v>
      </c>
      <c r="AX68" s="502">
        <f t="shared" si="97"/>
        <v>0.32</v>
      </c>
    </row>
    <row r="69" spans="1:50" s="695" customFormat="1" x14ac:dyDescent="0.2">
      <c r="A69" s="720">
        <v>13</v>
      </c>
      <c r="B69" s="721">
        <v>4455</v>
      </c>
      <c r="C69" s="721">
        <v>600074889</v>
      </c>
      <c r="D69" s="721">
        <v>49864611</v>
      </c>
      <c r="E69" s="722" t="s">
        <v>173</v>
      </c>
      <c r="F69" s="721">
        <v>3143</v>
      </c>
      <c r="G69" s="531" t="s">
        <v>323</v>
      </c>
      <c r="H69" s="701" t="s">
        <v>284</v>
      </c>
      <c r="I69" s="495">
        <v>329962</v>
      </c>
      <c r="J69" s="496">
        <v>242490</v>
      </c>
      <c r="K69" s="475">
        <v>0</v>
      </c>
      <c r="L69" s="475">
        <v>0</v>
      </c>
      <c r="M69" s="319">
        <v>81962</v>
      </c>
      <c r="N69" s="319">
        <v>4850</v>
      </c>
      <c r="O69" s="496">
        <v>660</v>
      </c>
      <c r="P69" s="497">
        <v>0.55000000000000004</v>
      </c>
      <c r="Q69" s="412">
        <v>0.5</v>
      </c>
      <c r="R69" s="764">
        <v>0.05</v>
      </c>
      <c r="S69" s="530">
        <f t="shared" si="82"/>
        <v>0</v>
      </c>
      <c r="T69" s="486">
        <v>0</v>
      </c>
      <c r="U69" s="486">
        <v>0</v>
      </c>
      <c r="V69" s="486">
        <f t="shared" si="83"/>
        <v>0</v>
      </c>
      <c r="W69" s="486">
        <v>0</v>
      </c>
      <c r="X69" s="486">
        <v>0</v>
      </c>
      <c r="Y69" s="486">
        <f t="shared" si="84"/>
        <v>0</v>
      </c>
      <c r="Z69" s="486">
        <f t="shared" si="85"/>
        <v>0</v>
      </c>
      <c r="AA69" s="319">
        <f t="shared" si="86"/>
        <v>0</v>
      </c>
      <c r="AB69" s="178">
        <f t="shared" si="87"/>
        <v>0</v>
      </c>
      <c r="AC69" s="486">
        <v>0</v>
      </c>
      <c r="AD69" s="486">
        <v>0</v>
      </c>
      <c r="AE69" s="486">
        <f t="shared" si="1"/>
        <v>0</v>
      </c>
      <c r="AF69" s="486">
        <f t="shared" si="2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si="88"/>
        <v>0</v>
      </c>
      <c r="AM69" s="501">
        <f t="shared" si="89"/>
        <v>0</v>
      </c>
      <c r="AN69" s="502">
        <f t="shared" si="3"/>
        <v>0</v>
      </c>
      <c r="AO69" s="499">
        <f t="shared" si="90"/>
        <v>329962</v>
      </c>
      <c r="AP69" s="486">
        <f t="shared" si="91"/>
        <v>242490</v>
      </c>
      <c r="AQ69" s="486">
        <f t="shared" si="92"/>
        <v>0</v>
      </c>
      <c r="AR69" s="486">
        <f t="shared" si="93"/>
        <v>0</v>
      </c>
      <c r="AS69" s="486">
        <f t="shared" si="94"/>
        <v>81962</v>
      </c>
      <c r="AT69" s="486">
        <f t="shared" si="94"/>
        <v>4850</v>
      </c>
      <c r="AU69" s="486">
        <f t="shared" si="95"/>
        <v>660</v>
      </c>
      <c r="AV69" s="501">
        <f t="shared" si="96"/>
        <v>0.55000000000000004</v>
      </c>
      <c r="AW69" s="501">
        <f t="shared" si="97"/>
        <v>0.5</v>
      </c>
      <c r="AX69" s="502">
        <f t="shared" si="97"/>
        <v>0.05</v>
      </c>
    </row>
    <row r="70" spans="1:50" s="695" customFormat="1" x14ac:dyDescent="0.2">
      <c r="A70" s="282">
        <v>13</v>
      </c>
      <c r="B70" s="27">
        <v>4455</v>
      </c>
      <c r="C70" s="27">
        <v>600074889</v>
      </c>
      <c r="D70" s="27">
        <v>49864611</v>
      </c>
      <c r="E70" s="292" t="s">
        <v>174</v>
      </c>
      <c r="F70" s="27"/>
      <c r="G70" s="281"/>
      <c r="H70" s="377"/>
      <c r="I70" s="5">
        <v>47132332</v>
      </c>
      <c r="J70" s="8">
        <v>33405268</v>
      </c>
      <c r="K70" s="8">
        <v>297082</v>
      </c>
      <c r="L70" s="8">
        <v>207082</v>
      </c>
      <c r="M70" s="8">
        <v>11321402</v>
      </c>
      <c r="N70" s="8">
        <v>668106</v>
      </c>
      <c r="O70" s="8">
        <v>1440474</v>
      </c>
      <c r="P70" s="9">
        <v>68.586500000000001</v>
      </c>
      <c r="Q70" s="9">
        <v>50.493800000000007</v>
      </c>
      <c r="R70" s="33">
        <v>18.092700000000001</v>
      </c>
      <c r="S70" s="5">
        <f t="shared" ref="S70:AX70" si="98">SUM(S64:S69)</f>
        <v>0</v>
      </c>
      <c r="T70" s="8">
        <f t="shared" si="98"/>
        <v>0</v>
      </c>
      <c r="U70" s="8">
        <f t="shared" si="98"/>
        <v>0</v>
      </c>
      <c r="V70" s="8">
        <f t="shared" si="98"/>
        <v>0</v>
      </c>
      <c r="W70" s="8">
        <f t="shared" si="98"/>
        <v>0</v>
      </c>
      <c r="X70" s="8">
        <f t="shared" si="98"/>
        <v>0</v>
      </c>
      <c r="Y70" s="8">
        <f t="shared" si="98"/>
        <v>0</v>
      </c>
      <c r="Z70" s="8">
        <f t="shared" si="98"/>
        <v>0</v>
      </c>
      <c r="AA70" s="8">
        <f t="shared" si="98"/>
        <v>0</v>
      </c>
      <c r="AB70" s="8">
        <f t="shared" si="98"/>
        <v>0</v>
      </c>
      <c r="AC70" s="8">
        <f t="shared" si="98"/>
        <v>0</v>
      </c>
      <c r="AD70" s="8">
        <f t="shared" si="98"/>
        <v>0</v>
      </c>
      <c r="AE70" s="8">
        <f t="shared" si="98"/>
        <v>0</v>
      </c>
      <c r="AF70" s="8">
        <f t="shared" si="98"/>
        <v>0</v>
      </c>
      <c r="AG70" s="9">
        <f t="shared" si="98"/>
        <v>0</v>
      </c>
      <c r="AH70" s="9">
        <f t="shared" si="98"/>
        <v>0</v>
      </c>
      <c r="AI70" s="9">
        <f t="shared" si="98"/>
        <v>0</v>
      </c>
      <c r="AJ70" s="9">
        <f t="shared" si="98"/>
        <v>0</v>
      </c>
      <c r="AK70" s="9">
        <f t="shared" si="98"/>
        <v>0</v>
      </c>
      <c r="AL70" s="9">
        <f t="shared" si="98"/>
        <v>0</v>
      </c>
      <c r="AM70" s="9">
        <f t="shared" si="98"/>
        <v>0</v>
      </c>
      <c r="AN70" s="74">
        <f t="shared" si="98"/>
        <v>0</v>
      </c>
      <c r="AO70" s="270">
        <f t="shared" si="98"/>
        <v>47132332</v>
      </c>
      <c r="AP70" s="8">
        <f t="shared" si="98"/>
        <v>33405268</v>
      </c>
      <c r="AQ70" s="38">
        <f t="shared" si="98"/>
        <v>297082</v>
      </c>
      <c r="AR70" s="38">
        <f t="shared" si="98"/>
        <v>207082</v>
      </c>
      <c r="AS70" s="8">
        <f t="shared" si="98"/>
        <v>11321402</v>
      </c>
      <c r="AT70" s="8">
        <f t="shared" si="98"/>
        <v>668106</v>
      </c>
      <c r="AU70" s="8">
        <f t="shared" si="98"/>
        <v>1440474</v>
      </c>
      <c r="AV70" s="9">
        <f t="shared" si="98"/>
        <v>68.586500000000001</v>
      </c>
      <c r="AW70" s="9">
        <f t="shared" si="98"/>
        <v>50.493800000000007</v>
      </c>
      <c r="AX70" s="74">
        <f t="shared" si="98"/>
        <v>18.092700000000001</v>
      </c>
    </row>
    <row r="71" spans="1:50" s="695" customFormat="1" x14ac:dyDescent="0.2">
      <c r="A71" s="720">
        <v>14</v>
      </c>
      <c r="B71" s="721">
        <v>4440</v>
      </c>
      <c r="C71" s="721">
        <v>600074897</v>
      </c>
      <c r="D71" s="721">
        <v>48283029</v>
      </c>
      <c r="E71" s="722" t="s">
        <v>175</v>
      </c>
      <c r="F71" s="721">
        <v>3113</v>
      </c>
      <c r="G71" s="531" t="s">
        <v>320</v>
      </c>
      <c r="H71" s="767" t="s">
        <v>283</v>
      </c>
      <c r="I71" s="495">
        <v>28664024</v>
      </c>
      <c r="J71" s="496">
        <v>20184778</v>
      </c>
      <c r="K71" s="496">
        <v>225416</v>
      </c>
      <c r="L71" s="496">
        <v>65416</v>
      </c>
      <c r="M71" s="496">
        <v>6876535</v>
      </c>
      <c r="N71" s="496">
        <v>403695</v>
      </c>
      <c r="O71" s="496">
        <v>973600</v>
      </c>
      <c r="P71" s="497">
        <v>39.183099999999996</v>
      </c>
      <c r="Q71" s="412">
        <v>30.343700000000002</v>
      </c>
      <c r="R71" s="764">
        <v>8.8393999999999977</v>
      </c>
      <c r="S71" s="530">
        <f t="shared" ref="S71:S75" si="99">W71*-1</f>
        <v>0</v>
      </c>
      <c r="T71" s="486">
        <v>0</v>
      </c>
      <c r="U71" s="486">
        <v>0</v>
      </c>
      <c r="V71" s="486">
        <f>SUM(S71:U71)</f>
        <v>0</v>
      </c>
      <c r="W71" s="486">
        <v>0</v>
      </c>
      <c r="X71" s="486">
        <v>0</v>
      </c>
      <c r="Y71" s="486">
        <f>SUM(W71:X71)</f>
        <v>0</v>
      </c>
      <c r="Z71" s="486">
        <f>V71+Y71</f>
        <v>0</v>
      </c>
      <c r="AA71" s="319">
        <f>ROUND((V71+W71)*33.8%,0)</f>
        <v>0</v>
      </c>
      <c r="AB71" s="178">
        <f>ROUND(V71*2%,0)</f>
        <v>0</v>
      </c>
      <c r="AC71" s="486">
        <v>0</v>
      </c>
      <c r="AD71" s="486">
        <v>0</v>
      </c>
      <c r="AE71" s="486">
        <f t="shared" si="1"/>
        <v>0</v>
      </c>
      <c r="AF71" s="486">
        <f t="shared" si="2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ref="AL71:AL75" si="100">AG71+AI71+AJ71</f>
        <v>0</v>
      </c>
      <c r="AM71" s="501">
        <f t="shared" ref="AM71:AM75" si="101">AH71+AK71</f>
        <v>0</v>
      </c>
      <c r="AN71" s="502">
        <f t="shared" si="3"/>
        <v>0</v>
      </c>
      <c r="AO71" s="499">
        <f>I71+AF71</f>
        <v>28664024</v>
      </c>
      <c r="AP71" s="486">
        <f>J71+V71</f>
        <v>20184778</v>
      </c>
      <c r="AQ71" s="486">
        <f>K71+Y71</f>
        <v>225416</v>
      </c>
      <c r="AR71" s="486">
        <f>L71</f>
        <v>65416</v>
      </c>
      <c r="AS71" s="486">
        <f t="shared" ref="AS71:AT75" si="102">M71+AA71</f>
        <v>6876535</v>
      </c>
      <c r="AT71" s="486">
        <f t="shared" si="102"/>
        <v>403695</v>
      </c>
      <c r="AU71" s="486">
        <f>O71+AE71</f>
        <v>973600</v>
      </c>
      <c r="AV71" s="501">
        <f>P71+AN71</f>
        <v>39.183099999999996</v>
      </c>
      <c r="AW71" s="501">
        <f t="shared" ref="AW71:AX75" si="103">Q71+AL71</f>
        <v>30.343700000000002</v>
      </c>
      <c r="AX71" s="502">
        <f t="shared" si="103"/>
        <v>8.8393999999999977</v>
      </c>
    </row>
    <row r="72" spans="1:50" s="695" customFormat="1" x14ac:dyDescent="0.2">
      <c r="A72" s="720">
        <v>14</v>
      </c>
      <c r="B72" s="721">
        <v>4440</v>
      </c>
      <c r="C72" s="721">
        <v>600074897</v>
      </c>
      <c r="D72" s="721">
        <v>48283029</v>
      </c>
      <c r="E72" s="722" t="s">
        <v>175</v>
      </c>
      <c r="F72" s="721">
        <v>3113</v>
      </c>
      <c r="G72" s="531" t="s">
        <v>318</v>
      </c>
      <c r="H72" s="767" t="s">
        <v>284</v>
      </c>
      <c r="I72" s="495">
        <v>2760917</v>
      </c>
      <c r="J72" s="496">
        <v>2018938</v>
      </c>
      <c r="K72" s="475">
        <v>0</v>
      </c>
      <c r="L72" s="475">
        <v>0</v>
      </c>
      <c r="M72" s="319">
        <v>682401</v>
      </c>
      <c r="N72" s="319">
        <v>40378</v>
      </c>
      <c r="O72" s="496">
        <v>19200</v>
      </c>
      <c r="P72" s="497">
        <v>6.01</v>
      </c>
      <c r="Q72" s="412">
        <v>6.01</v>
      </c>
      <c r="R72" s="764">
        <v>0</v>
      </c>
      <c r="S72" s="530">
        <f t="shared" si="99"/>
        <v>0</v>
      </c>
      <c r="T72" s="486">
        <v>0</v>
      </c>
      <c r="U72" s="486">
        <v>0</v>
      </c>
      <c r="V72" s="486">
        <f>SUM(S72:U72)</f>
        <v>0</v>
      </c>
      <c r="W72" s="486">
        <v>0</v>
      </c>
      <c r="X72" s="486">
        <v>0</v>
      </c>
      <c r="Y72" s="486">
        <f>SUM(W72:X72)</f>
        <v>0</v>
      </c>
      <c r="Z72" s="486">
        <f>V72+Y72</f>
        <v>0</v>
      </c>
      <c r="AA72" s="319">
        <f>ROUND((V72+W72)*33.8%,0)</f>
        <v>0</v>
      </c>
      <c r="AB72" s="178">
        <f>ROUND(V72*2%,0)</f>
        <v>0</v>
      </c>
      <c r="AC72" s="486">
        <v>0</v>
      </c>
      <c r="AD72" s="486">
        <v>0</v>
      </c>
      <c r="AE72" s="486">
        <f t="shared" si="1"/>
        <v>0</v>
      </c>
      <c r="AF72" s="486">
        <f t="shared" si="2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100"/>
        <v>0</v>
      </c>
      <c r="AM72" s="501">
        <f t="shared" si="101"/>
        <v>0</v>
      </c>
      <c r="AN72" s="502">
        <f t="shared" si="3"/>
        <v>0</v>
      </c>
      <c r="AO72" s="499">
        <f>I72+AF72</f>
        <v>2760917</v>
      </c>
      <c r="AP72" s="486">
        <f>J72+V72</f>
        <v>2018938</v>
      </c>
      <c r="AQ72" s="486">
        <f>K72+Y72</f>
        <v>0</v>
      </c>
      <c r="AR72" s="486">
        <f>L72</f>
        <v>0</v>
      </c>
      <c r="AS72" s="486">
        <f t="shared" si="102"/>
        <v>682401</v>
      </c>
      <c r="AT72" s="486">
        <f t="shared" si="102"/>
        <v>40378</v>
      </c>
      <c r="AU72" s="486">
        <f>O72+AE72</f>
        <v>19200</v>
      </c>
      <c r="AV72" s="501">
        <f>P72+AN72</f>
        <v>6.01</v>
      </c>
      <c r="AW72" s="501">
        <f t="shared" si="103"/>
        <v>6.01</v>
      </c>
      <c r="AX72" s="502">
        <f t="shared" si="103"/>
        <v>0</v>
      </c>
    </row>
    <row r="73" spans="1:50" s="695" customFormat="1" x14ac:dyDescent="0.2">
      <c r="A73" s="720">
        <v>14</v>
      </c>
      <c r="B73" s="721">
        <v>4440</v>
      </c>
      <c r="C73" s="721">
        <v>600074897</v>
      </c>
      <c r="D73" s="721">
        <v>48283029</v>
      </c>
      <c r="E73" s="722" t="s">
        <v>175</v>
      </c>
      <c r="F73" s="721">
        <v>3141</v>
      </c>
      <c r="G73" s="531" t="s">
        <v>321</v>
      </c>
      <c r="H73" s="767" t="s">
        <v>284</v>
      </c>
      <c r="I73" s="495">
        <v>2693035</v>
      </c>
      <c r="J73" s="496">
        <v>1964392</v>
      </c>
      <c r="K73" s="475">
        <v>0</v>
      </c>
      <c r="L73" s="475">
        <v>0</v>
      </c>
      <c r="M73" s="319">
        <v>663965</v>
      </c>
      <c r="N73" s="319">
        <v>39288</v>
      </c>
      <c r="O73" s="496">
        <v>25390</v>
      </c>
      <c r="P73" s="497">
        <v>6.6800000000000006</v>
      </c>
      <c r="Q73" s="412">
        <v>0</v>
      </c>
      <c r="R73" s="764">
        <v>6.6800000000000006</v>
      </c>
      <c r="S73" s="530">
        <f t="shared" si="99"/>
        <v>0</v>
      </c>
      <c r="T73" s="486">
        <v>0</v>
      </c>
      <c r="U73" s="486">
        <v>0</v>
      </c>
      <c r="V73" s="486">
        <f>SUM(S73:U73)</f>
        <v>0</v>
      </c>
      <c r="W73" s="486">
        <v>0</v>
      </c>
      <c r="X73" s="486">
        <v>0</v>
      </c>
      <c r="Y73" s="486">
        <f>SUM(W73:X73)</f>
        <v>0</v>
      </c>
      <c r="Z73" s="486">
        <f>V73+Y73</f>
        <v>0</v>
      </c>
      <c r="AA73" s="319">
        <f>ROUND((V73+W73)*33.8%,0)</f>
        <v>0</v>
      </c>
      <c r="AB73" s="178">
        <f>ROUND(V73*2%,0)</f>
        <v>0</v>
      </c>
      <c r="AC73" s="486">
        <v>0</v>
      </c>
      <c r="AD73" s="486">
        <v>0</v>
      </c>
      <c r="AE73" s="486">
        <f t="shared" si="1"/>
        <v>0</v>
      </c>
      <c r="AF73" s="486">
        <f t="shared" si="2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100"/>
        <v>0</v>
      </c>
      <c r="AM73" s="501">
        <f t="shared" si="101"/>
        <v>0</v>
      </c>
      <c r="AN73" s="502">
        <f t="shared" si="3"/>
        <v>0</v>
      </c>
      <c r="AO73" s="499">
        <f>I73+AF73</f>
        <v>2693035</v>
      </c>
      <c r="AP73" s="486">
        <f>J73+V73</f>
        <v>1964392</v>
      </c>
      <c r="AQ73" s="486">
        <f>K73+Y73</f>
        <v>0</v>
      </c>
      <c r="AR73" s="486">
        <f>L73</f>
        <v>0</v>
      </c>
      <c r="AS73" s="486">
        <f t="shared" si="102"/>
        <v>663965</v>
      </c>
      <c r="AT73" s="486">
        <f t="shared" si="102"/>
        <v>39288</v>
      </c>
      <c r="AU73" s="486">
        <f>O73+AE73</f>
        <v>25390</v>
      </c>
      <c r="AV73" s="501">
        <f>P73+AN73</f>
        <v>6.6800000000000006</v>
      </c>
      <c r="AW73" s="501">
        <f t="shared" si="103"/>
        <v>0</v>
      </c>
      <c r="AX73" s="502">
        <f t="shared" si="103"/>
        <v>6.6800000000000006</v>
      </c>
    </row>
    <row r="74" spans="1:50" s="695" customFormat="1" x14ac:dyDescent="0.2">
      <c r="A74" s="720">
        <v>14</v>
      </c>
      <c r="B74" s="721">
        <v>4440</v>
      </c>
      <c r="C74" s="721">
        <v>600074897</v>
      </c>
      <c r="D74" s="721">
        <v>48283029</v>
      </c>
      <c r="E74" s="722" t="s">
        <v>175</v>
      </c>
      <c r="F74" s="721">
        <v>3143</v>
      </c>
      <c r="G74" s="531" t="s">
        <v>634</v>
      </c>
      <c r="H74" s="701" t="s">
        <v>283</v>
      </c>
      <c r="I74" s="495">
        <v>2064000</v>
      </c>
      <c r="J74" s="496">
        <v>1515941</v>
      </c>
      <c r="K74" s="475">
        <v>4000</v>
      </c>
      <c r="L74" s="475">
        <v>0</v>
      </c>
      <c r="M74" s="319">
        <v>513740</v>
      </c>
      <c r="N74" s="319">
        <v>30319</v>
      </c>
      <c r="O74" s="496">
        <v>0</v>
      </c>
      <c r="P74" s="497">
        <v>3.3472000000000004</v>
      </c>
      <c r="Q74" s="412">
        <v>3.3472000000000004</v>
      </c>
      <c r="R74" s="764">
        <v>0</v>
      </c>
      <c r="S74" s="530">
        <f t="shared" si="99"/>
        <v>0</v>
      </c>
      <c r="T74" s="486">
        <v>0</v>
      </c>
      <c r="U74" s="486">
        <v>0</v>
      </c>
      <c r="V74" s="486">
        <f>SUM(S74:U74)</f>
        <v>0</v>
      </c>
      <c r="W74" s="486">
        <v>0</v>
      </c>
      <c r="X74" s="486">
        <v>0</v>
      </c>
      <c r="Y74" s="486">
        <f>SUM(W74:X74)</f>
        <v>0</v>
      </c>
      <c r="Z74" s="486">
        <f>V74+Y74</f>
        <v>0</v>
      </c>
      <c r="AA74" s="319">
        <f>ROUND((V74+W74)*33.8%,0)</f>
        <v>0</v>
      </c>
      <c r="AB74" s="178">
        <f>ROUND(V74*2%,0)</f>
        <v>0</v>
      </c>
      <c r="AC74" s="486">
        <v>0</v>
      </c>
      <c r="AD74" s="486">
        <v>0</v>
      </c>
      <c r="AE74" s="486">
        <f t="shared" si="1"/>
        <v>0</v>
      </c>
      <c r="AF74" s="486">
        <f t="shared" si="2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100"/>
        <v>0</v>
      </c>
      <c r="AM74" s="501">
        <f t="shared" si="101"/>
        <v>0</v>
      </c>
      <c r="AN74" s="502">
        <f t="shared" si="3"/>
        <v>0</v>
      </c>
      <c r="AO74" s="499">
        <f>I74+AF74</f>
        <v>2064000</v>
      </c>
      <c r="AP74" s="486">
        <f>J74+V74</f>
        <v>1515941</v>
      </c>
      <c r="AQ74" s="486">
        <f>K74+Y74</f>
        <v>4000</v>
      </c>
      <c r="AR74" s="486">
        <f>L74</f>
        <v>0</v>
      </c>
      <c r="AS74" s="486">
        <f t="shared" si="102"/>
        <v>513740</v>
      </c>
      <c r="AT74" s="486">
        <f t="shared" si="102"/>
        <v>30319</v>
      </c>
      <c r="AU74" s="486">
        <f>O74+AE74</f>
        <v>0</v>
      </c>
      <c r="AV74" s="501">
        <f>P74+AN74</f>
        <v>3.3472000000000004</v>
      </c>
      <c r="AW74" s="501">
        <f t="shared" si="103"/>
        <v>3.3472000000000004</v>
      </c>
      <c r="AX74" s="502">
        <f t="shared" si="103"/>
        <v>0</v>
      </c>
    </row>
    <row r="75" spans="1:50" s="695" customFormat="1" x14ac:dyDescent="0.2">
      <c r="A75" s="720">
        <v>14</v>
      </c>
      <c r="B75" s="721">
        <v>4440</v>
      </c>
      <c r="C75" s="721">
        <v>600074897</v>
      </c>
      <c r="D75" s="721">
        <v>48283029</v>
      </c>
      <c r="E75" s="722" t="s">
        <v>175</v>
      </c>
      <c r="F75" s="721">
        <v>3143</v>
      </c>
      <c r="G75" s="531" t="s">
        <v>635</v>
      </c>
      <c r="H75" s="701" t="s">
        <v>284</v>
      </c>
      <c r="I75" s="495">
        <v>82158</v>
      </c>
      <c r="J75" s="496">
        <v>57915</v>
      </c>
      <c r="K75" s="475">
        <v>0</v>
      </c>
      <c r="L75" s="475">
        <v>0</v>
      </c>
      <c r="M75" s="319">
        <v>19575</v>
      </c>
      <c r="N75" s="319">
        <v>1158</v>
      </c>
      <c r="O75" s="496">
        <v>3510</v>
      </c>
      <c r="P75" s="497">
        <v>0.24</v>
      </c>
      <c r="Q75" s="412">
        <v>0</v>
      </c>
      <c r="R75" s="764">
        <v>0.24</v>
      </c>
      <c r="S75" s="530">
        <f t="shared" si="99"/>
        <v>0</v>
      </c>
      <c r="T75" s="486">
        <v>0</v>
      </c>
      <c r="U75" s="486">
        <v>0</v>
      </c>
      <c r="V75" s="486">
        <f>SUM(S75:U75)</f>
        <v>0</v>
      </c>
      <c r="W75" s="486">
        <v>0</v>
      </c>
      <c r="X75" s="486">
        <v>0</v>
      </c>
      <c r="Y75" s="486">
        <f>SUM(W75:X75)</f>
        <v>0</v>
      </c>
      <c r="Z75" s="486">
        <f>V75+Y75</f>
        <v>0</v>
      </c>
      <c r="AA75" s="319">
        <f>ROUND((V75+W75)*33.8%,0)</f>
        <v>0</v>
      </c>
      <c r="AB75" s="178">
        <f>ROUND(V75*2%,0)</f>
        <v>0</v>
      </c>
      <c r="AC75" s="486">
        <v>0</v>
      </c>
      <c r="AD75" s="486">
        <v>0</v>
      </c>
      <c r="AE75" s="486">
        <f t="shared" si="1"/>
        <v>0</v>
      </c>
      <c r="AF75" s="486">
        <f t="shared" si="2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100"/>
        <v>0</v>
      </c>
      <c r="AM75" s="501">
        <f t="shared" si="101"/>
        <v>0</v>
      </c>
      <c r="AN75" s="502">
        <f t="shared" si="3"/>
        <v>0</v>
      </c>
      <c r="AO75" s="499">
        <f>I75+AF75</f>
        <v>82158</v>
      </c>
      <c r="AP75" s="486">
        <f>J75+V75</f>
        <v>57915</v>
      </c>
      <c r="AQ75" s="486">
        <f>K75+Y75</f>
        <v>0</v>
      </c>
      <c r="AR75" s="486">
        <f>L75</f>
        <v>0</v>
      </c>
      <c r="AS75" s="486">
        <f t="shared" si="102"/>
        <v>19575</v>
      </c>
      <c r="AT75" s="486">
        <f t="shared" si="102"/>
        <v>1158</v>
      </c>
      <c r="AU75" s="486">
        <f>O75+AE75</f>
        <v>3510</v>
      </c>
      <c r="AV75" s="501">
        <f>P75+AN75</f>
        <v>0.24</v>
      </c>
      <c r="AW75" s="501">
        <f t="shared" si="103"/>
        <v>0</v>
      </c>
      <c r="AX75" s="502">
        <f t="shared" si="103"/>
        <v>0.24</v>
      </c>
    </row>
    <row r="76" spans="1:50" s="695" customFormat="1" x14ac:dyDescent="0.2">
      <c r="A76" s="282">
        <v>14</v>
      </c>
      <c r="B76" s="27">
        <v>4440</v>
      </c>
      <c r="C76" s="27">
        <v>600074897</v>
      </c>
      <c r="D76" s="27">
        <v>48283029</v>
      </c>
      <c r="E76" s="292" t="s">
        <v>176</v>
      </c>
      <c r="F76" s="27"/>
      <c r="G76" s="281"/>
      <c r="H76" s="377"/>
      <c r="I76" s="5">
        <v>36264134</v>
      </c>
      <c r="J76" s="8">
        <v>25741964</v>
      </c>
      <c r="K76" s="8">
        <v>229416</v>
      </c>
      <c r="L76" s="8">
        <v>65416</v>
      </c>
      <c r="M76" s="8">
        <v>8756216</v>
      </c>
      <c r="N76" s="8">
        <v>514838</v>
      </c>
      <c r="O76" s="8">
        <v>1021700</v>
      </c>
      <c r="P76" s="9">
        <v>55.460299999999997</v>
      </c>
      <c r="Q76" s="9">
        <v>39.700900000000004</v>
      </c>
      <c r="R76" s="33">
        <v>15.759399999999998</v>
      </c>
      <c r="S76" s="5">
        <f t="shared" ref="S76:AX76" si="104">SUM(S71:S75)</f>
        <v>0</v>
      </c>
      <c r="T76" s="8">
        <f t="shared" si="104"/>
        <v>0</v>
      </c>
      <c r="U76" s="8">
        <f t="shared" si="104"/>
        <v>0</v>
      </c>
      <c r="V76" s="8">
        <f t="shared" si="104"/>
        <v>0</v>
      </c>
      <c r="W76" s="8">
        <f t="shared" si="104"/>
        <v>0</v>
      </c>
      <c r="X76" s="8">
        <f t="shared" si="104"/>
        <v>0</v>
      </c>
      <c r="Y76" s="8">
        <f t="shared" si="104"/>
        <v>0</v>
      </c>
      <c r="Z76" s="8">
        <f t="shared" si="104"/>
        <v>0</v>
      </c>
      <c r="AA76" s="8">
        <f t="shared" si="104"/>
        <v>0</v>
      </c>
      <c r="AB76" s="8">
        <f t="shared" si="104"/>
        <v>0</v>
      </c>
      <c r="AC76" s="8">
        <f t="shared" si="104"/>
        <v>0</v>
      </c>
      <c r="AD76" s="8">
        <f t="shared" si="104"/>
        <v>0</v>
      </c>
      <c r="AE76" s="8">
        <f t="shared" si="104"/>
        <v>0</v>
      </c>
      <c r="AF76" s="8">
        <f t="shared" si="104"/>
        <v>0</v>
      </c>
      <c r="AG76" s="9">
        <f t="shared" si="104"/>
        <v>0</v>
      </c>
      <c r="AH76" s="9">
        <f t="shared" si="104"/>
        <v>0</v>
      </c>
      <c r="AI76" s="9">
        <f t="shared" si="104"/>
        <v>0</v>
      </c>
      <c r="AJ76" s="9">
        <f t="shared" si="104"/>
        <v>0</v>
      </c>
      <c r="AK76" s="9">
        <f t="shared" si="104"/>
        <v>0</v>
      </c>
      <c r="AL76" s="9">
        <f t="shared" si="104"/>
        <v>0</v>
      </c>
      <c r="AM76" s="9">
        <f t="shared" si="104"/>
        <v>0</v>
      </c>
      <c r="AN76" s="74">
        <f t="shared" si="104"/>
        <v>0</v>
      </c>
      <c r="AO76" s="270">
        <f t="shared" si="104"/>
        <v>36264134</v>
      </c>
      <c r="AP76" s="8">
        <f t="shared" si="104"/>
        <v>25741964</v>
      </c>
      <c r="AQ76" s="38">
        <f t="shared" si="104"/>
        <v>229416</v>
      </c>
      <c r="AR76" s="38">
        <f t="shared" si="104"/>
        <v>65416</v>
      </c>
      <c r="AS76" s="8">
        <f t="shared" si="104"/>
        <v>8756216</v>
      </c>
      <c r="AT76" s="8">
        <f t="shared" si="104"/>
        <v>514838</v>
      </c>
      <c r="AU76" s="8">
        <f t="shared" si="104"/>
        <v>1021700</v>
      </c>
      <c r="AV76" s="9">
        <f t="shared" si="104"/>
        <v>55.460299999999997</v>
      </c>
      <c r="AW76" s="9">
        <f t="shared" si="104"/>
        <v>39.700900000000004</v>
      </c>
      <c r="AX76" s="74">
        <f t="shared" si="104"/>
        <v>15.759399999999998</v>
      </c>
    </row>
    <row r="77" spans="1:50" s="695" customFormat="1" x14ac:dyDescent="0.2">
      <c r="A77" s="720">
        <v>15</v>
      </c>
      <c r="B77" s="721">
        <v>4442</v>
      </c>
      <c r="C77" s="721">
        <v>600074901</v>
      </c>
      <c r="D77" s="721">
        <v>48283061</v>
      </c>
      <c r="E77" s="722" t="s">
        <v>177</v>
      </c>
      <c r="F77" s="721">
        <v>3113</v>
      </c>
      <c r="G77" s="531" t="s">
        <v>320</v>
      </c>
      <c r="H77" s="767" t="s">
        <v>283</v>
      </c>
      <c r="I77" s="495">
        <v>19928336</v>
      </c>
      <c r="J77" s="496">
        <v>14155499</v>
      </c>
      <c r="K77" s="496">
        <v>55512</v>
      </c>
      <c r="L77" s="496">
        <v>43512</v>
      </c>
      <c r="M77" s="496">
        <v>4788615</v>
      </c>
      <c r="N77" s="496">
        <v>283110</v>
      </c>
      <c r="O77" s="496">
        <v>645600</v>
      </c>
      <c r="P77" s="497">
        <v>24.967099999999999</v>
      </c>
      <c r="Q77" s="412">
        <v>18.73</v>
      </c>
      <c r="R77" s="764">
        <v>6.2370999999999981</v>
      </c>
      <c r="S77" s="530">
        <f t="shared" ref="S77:S82" si="105">W77*-1</f>
        <v>0</v>
      </c>
      <c r="T77" s="486">
        <v>0</v>
      </c>
      <c r="U77" s="486">
        <v>0</v>
      </c>
      <c r="V77" s="486">
        <f t="shared" ref="V77:V82" si="106">SUM(S77:U77)</f>
        <v>0</v>
      </c>
      <c r="W77" s="486">
        <v>0</v>
      </c>
      <c r="X77" s="486">
        <v>0</v>
      </c>
      <c r="Y77" s="486">
        <f t="shared" ref="Y77:Y82" si="107">SUM(W77:X77)</f>
        <v>0</v>
      </c>
      <c r="Z77" s="486">
        <f t="shared" ref="Z77:Z82" si="108">V77+Y77</f>
        <v>0</v>
      </c>
      <c r="AA77" s="319">
        <f t="shared" ref="AA77:AA82" si="109">ROUND((V77+W77)*33.8%,0)</f>
        <v>0</v>
      </c>
      <c r="AB77" s="178">
        <f t="shared" ref="AB77:AB82" si="110">ROUND(V77*2%,0)</f>
        <v>0</v>
      </c>
      <c r="AC77" s="486">
        <v>0</v>
      </c>
      <c r="AD77" s="486">
        <v>0</v>
      </c>
      <c r="AE77" s="486">
        <f t="shared" si="1"/>
        <v>0</v>
      </c>
      <c r="AF77" s="486">
        <f t="shared" si="2"/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ref="AL77:AL82" si="111">AG77+AI77+AJ77</f>
        <v>0</v>
      </c>
      <c r="AM77" s="501">
        <f t="shared" ref="AM77:AM82" si="112">AH77+AK77</f>
        <v>0</v>
      </c>
      <c r="AN77" s="502">
        <f t="shared" si="3"/>
        <v>0</v>
      </c>
      <c r="AO77" s="499">
        <f t="shared" ref="AO77:AO82" si="113">I77+AF77</f>
        <v>19928336</v>
      </c>
      <c r="AP77" s="486">
        <f t="shared" ref="AP77:AP82" si="114">J77+V77</f>
        <v>14155499</v>
      </c>
      <c r="AQ77" s="486">
        <f t="shared" ref="AQ77:AQ82" si="115">K77+Y77</f>
        <v>55512</v>
      </c>
      <c r="AR77" s="486">
        <f t="shared" ref="AR77:AR82" si="116">L77</f>
        <v>43512</v>
      </c>
      <c r="AS77" s="486">
        <f t="shared" ref="AS77:AT82" si="117">M77+AA77</f>
        <v>4788615</v>
      </c>
      <c r="AT77" s="486">
        <f t="shared" si="117"/>
        <v>283110</v>
      </c>
      <c r="AU77" s="486">
        <f t="shared" ref="AU77:AU82" si="118">O77+AE77</f>
        <v>645600</v>
      </c>
      <c r="AV77" s="501">
        <f t="shared" ref="AV77:AV82" si="119">P77+AN77</f>
        <v>24.967099999999999</v>
      </c>
      <c r="AW77" s="501">
        <f t="shared" ref="AW77:AX82" si="120">Q77+AL77</f>
        <v>18.73</v>
      </c>
      <c r="AX77" s="502">
        <f t="shared" si="120"/>
        <v>6.2370999999999981</v>
      </c>
    </row>
    <row r="78" spans="1:50" s="695" customFormat="1" x14ac:dyDescent="0.2">
      <c r="A78" s="720">
        <v>15</v>
      </c>
      <c r="B78" s="721">
        <v>4442</v>
      </c>
      <c r="C78" s="721">
        <v>600074901</v>
      </c>
      <c r="D78" s="721">
        <v>48283061</v>
      </c>
      <c r="E78" s="722" t="s">
        <v>177</v>
      </c>
      <c r="F78" s="721">
        <v>3113</v>
      </c>
      <c r="G78" s="531" t="s">
        <v>318</v>
      </c>
      <c r="H78" s="767" t="s">
        <v>284</v>
      </c>
      <c r="I78" s="495">
        <v>704604</v>
      </c>
      <c r="J78" s="496">
        <v>518854</v>
      </c>
      <c r="K78" s="475">
        <v>0</v>
      </c>
      <c r="L78" s="475">
        <v>0</v>
      </c>
      <c r="M78" s="319">
        <v>175373</v>
      </c>
      <c r="N78" s="319">
        <v>10377</v>
      </c>
      <c r="O78" s="496">
        <v>0</v>
      </c>
      <c r="P78" s="497">
        <v>1.52</v>
      </c>
      <c r="Q78" s="412">
        <v>1.52</v>
      </c>
      <c r="R78" s="764">
        <v>0</v>
      </c>
      <c r="S78" s="530">
        <f t="shared" si="105"/>
        <v>0</v>
      </c>
      <c r="T78" s="486">
        <v>0</v>
      </c>
      <c r="U78" s="486">
        <v>0</v>
      </c>
      <c r="V78" s="486">
        <f t="shared" si="106"/>
        <v>0</v>
      </c>
      <c r="W78" s="486">
        <v>0</v>
      </c>
      <c r="X78" s="486">
        <v>0</v>
      </c>
      <c r="Y78" s="486">
        <f t="shared" si="107"/>
        <v>0</v>
      </c>
      <c r="Z78" s="486">
        <f t="shared" si="108"/>
        <v>0</v>
      </c>
      <c r="AA78" s="319">
        <f t="shared" si="109"/>
        <v>0</v>
      </c>
      <c r="AB78" s="178">
        <f t="shared" si="110"/>
        <v>0</v>
      </c>
      <c r="AC78" s="486">
        <v>0</v>
      </c>
      <c r="AD78" s="486">
        <v>0</v>
      </c>
      <c r="AE78" s="486">
        <f t="shared" si="1"/>
        <v>0</v>
      </c>
      <c r="AF78" s="486">
        <f t="shared" si="2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111"/>
        <v>0</v>
      </c>
      <c r="AM78" s="501">
        <f t="shared" si="112"/>
        <v>0</v>
      </c>
      <c r="AN78" s="502">
        <f t="shared" si="3"/>
        <v>0</v>
      </c>
      <c r="AO78" s="499">
        <f t="shared" si="113"/>
        <v>704604</v>
      </c>
      <c r="AP78" s="486">
        <f t="shared" si="114"/>
        <v>518854</v>
      </c>
      <c r="AQ78" s="486">
        <f t="shared" si="115"/>
        <v>0</v>
      </c>
      <c r="AR78" s="486">
        <f t="shared" si="116"/>
        <v>0</v>
      </c>
      <c r="AS78" s="486">
        <f t="shared" si="117"/>
        <v>175373</v>
      </c>
      <c r="AT78" s="486">
        <f t="shared" si="117"/>
        <v>10377</v>
      </c>
      <c r="AU78" s="486">
        <f t="shared" si="118"/>
        <v>0</v>
      </c>
      <c r="AV78" s="501">
        <f t="shared" si="119"/>
        <v>1.52</v>
      </c>
      <c r="AW78" s="501">
        <f t="shared" si="120"/>
        <v>1.52</v>
      </c>
      <c r="AX78" s="502">
        <f t="shared" si="120"/>
        <v>0</v>
      </c>
    </row>
    <row r="79" spans="1:50" s="695" customFormat="1" x14ac:dyDescent="0.2">
      <c r="A79" s="720">
        <v>15</v>
      </c>
      <c r="B79" s="721">
        <v>4442</v>
      </c>
      <c r="C79" s="721">
        <v>600074901</v>
      </c>
      <c r="D79" s="721">
        <v>48283061</v>
      </c>
      <c r="E79" s="722" t="s">
        <v>177</v>
      </c>
      <c r="F79" s="721">
        <v>3141</v>
      </c>
      <c r="G79" s="531" t="s">
        <v>321</v>
      </c>
      <c r="H79" s="767" t="s">
        <v>284</v>
      </c>
      <c r="I79" s="495">
        <v>1594743</v>
      </c>
      <c r="J79" s="496">
        <v>1164253</v>
      </c>
      <c r="K79" s="475">
        <v>0</v>
      </c>
      <c r="L79" s="475">
        <v>0</v>
      </c>
      <c r="M79" s="319">
        <v>393517</v>
      </c>
      <c r="N79" s="319">
        <v>23285</v>
      </c>
      <c r="O79" s="496">
        <v>13688</v>
      </c>
      <c r="P79" s="497">
        <v>3.9600000000000004</v>
      </c>
      <c r="Q79" s="412">
        <v>0</v>
      </c>
      <c r="R79" s="764">
        <v>3.9600000000000004</v>
      </c>
      <c r="S79" s="530">
        <f t="shared" si="105"/>
        <v>0</v>
      </c>
      <c r="T79" s="486">
        <v>0</v>
      </c>
      <c r="U79" s="486">
        <v>0</v>
      </c>
      <c r="V79" s="486">
        <f t="shared" si="106"/>
        <v>0</v>
      </c>
      <c r="W79" s="486">
        <v>0</v>
      </c>
      <c r="X79" s="486">
        <v>0</v>
      </c>
      <c r="Y79" s="486">
        <f t="shared" si="107"/>
        <v>0</v>
      </c>
      <c r="Z79" s="486">
        <f t="shared" si="108"/>
        <v>0</v>
      </c>
      <c r="AA79" s="319">
        <f t="shared" si="109"/>
        <v>0</v>
      </c>
      <c r="AB79" s="178">
        <f t="shared" si="110"/>
        <v>0</v>
      </c>
      <c r="AC79" s="486">
        <v>0</v>
      </c>
      <c r="AD79" s="486">
        <v>0</v>
      </c>
      <c r="AE79" s="486">
        <f t="shared" ref="AE79:AE141" si="121">SUM(AC79:AD79)</f>
        <v>0</v>
      </c>
      <c r="AF79" s="486">
        <f t="shared" ref="AF79:AF141" si="122">Z79+AA79+AB79+AE79</f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si="111"/>
        <v>0</v>
      </c>
      <c r="AM79" s="501">
        <f t="shared" si="112"/>
        <v>0</v>
      </c>
      <c r="AN79" s="502">
        <f t="shared" ref="AN79:AN141" si="123">SUM(AL79:AM79)</f>
        <v>0</v>
      </c>
      <c r="AO79" s="499">
        <f t="shared" si="113"/>
        <v>1594743</v>
      </c>
      <c r="AP79" s="486">
        <f t="shared" si="114"/>
        <v>1164253</v>
      </c>
      <c r="AQ79" s="486">
        <f t="shared" si="115"/>
        <v>0</v>
      </c>
      <c r="AR79" s="486">
        <f t="shared" si="116"/>
        <v>0</v>
      </c>
      <c r="AS79" s="486">
        <f t="shared" si="117"/>
        <v>393517</v>
      </c>
      <c r="AT79" s="486">
        <f t="shared" si="117"/>
        <v>23285</v>
      </c>
      <c r="AU79" s="486">
        <f t="shared" si="118"/>
        <v>13688</v>
      </c>
      <c r="AV79" s="501">
        <f t="shared" si="119"/>
        <v>3.9600000000000004</v>
      </c>
      <c r="AW79" s="501">
        <f t="shared" si="120"/>
        <v>0</v>
      </c>
      <c r="AX79" s="502">
        <f t="shared" si="120"/>
        <v>3.9600000000000004</v>
      </c>
    </row>
    <row r="80" spans="1:50" s="695" customFormat="1" x14ac:dyDescent="0.2">
      <c r="A80" s="720">
        <v>15</v>
      </c>
      <c r="B80" s="721">
        <v>4442</v>
      </c>
      <c r="C80" s="721">
        <v>600074901</v>
      </c>
      <c r="D80" s="721">
        <v>48283061</v>
      </c>
      <c r="E80" s="712" t="s">
        <v>177</v>
      </c>
      <c r="F80" s="721">
        <v>3143</v>
      </c>
      <c r="G80" s="531" t="s">
        <v>634</v>
      </c>
      <c r="H80" s="701" t="s">
        <v>283</v>
      </c>
      <c r="I80" s="495">
        <v>1482970</v>
      </c>
      <c r="J80" s="496">
        <v>1078231</v>
      </c>
      <c r="K80" s="475">
        <v>14000</v>
      </c>
      <c r="L80" s="475">
        <v>0</v>
      </c>
      <c r="M80" s="319">
        <v>369174</v>
      </c>
      <c r="N80" s="319">
        <v>21565</v>
      </c>
      <c r="O80" s="496">
        <v>0</v>
      </c>
      <c r="P80" s="497">
        <v>2.2757999999999998</v>
      </c>
      <c r="Q80" s="412">
        <v>2.2757999999999998</v>
      </c>
      <c r="R80" s="764">
        <v>0</v>
      </c>
      <c r="S80" s="530">
        <f t="shared" si="105"/>
        <v>0</v>
      </c>
      <c r="T80" s="486">
        <v>0</v>
      </c>
      <c r="U80" s="486">
        <v>0</v>
      </c>
      <c r="V80" s="486">
        <f t="shared" si="106"/>
        <v>0</v>
      </c>
      <c r="W80" s="486">
        <v>0</v>
      </c>
      <c r="X80" s="486">
        <v>0</v>
      </c>
      <c r="Y80" s="486">
        <f t="shared" si="107"/>
        <v>0</v>
      </c>
      <c r="Z80" s="486">
        <f t="shared" si="108"/>
        <v>0</v>
      </c>
      <c r="AA80" s="319">
        <f t="shared" si="109"/>
        <v>0</v>
      </c>
      <c r="AB80" s="178">
        <f t="shared" si="110"/>
        <v>0</v>
      </c>
      <c r="AC80" s="486">
        <v>0</v>
      </c>
      <c r="AD80" s="486">
        <v>0</v>
      </c>
      <c r="AE80" s="486">
        <f t="shared" si="121"/>
        <v>0</v>
      </c>
      <c r="AF80" s="486">
        <f t="shared" si="122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11"/>
        <v>0</v>
      </c>
      <c r="AM80" s="501">
        <f t="shared" si="112"/>
        <v>0</v>
      </c>
      <c r="AN80" s="502">
        <f t="shared" si="123"/>
        <v>0</v>
      </c>
      <c r="AO80" s="499">
        <f t="shared" si="113"/>
        <v>1482970</v>
      </c>
      <c r="AP80" s="486">
        <f t="shared" si="114"/>
        <v>1078231</v>
      </c>
      <c r="AQ80" s="486">
        <f t="shared" si="115"/>
        <v>14000</v>
      </c>
      <c r="AR80" s="486">
        <f t="shared" si="116"/>
        <v>0</v>
      </c>
      <c r="AS80" s="486">
        <f t="shared" si="117"/>
        <v>369174</v>
      </c>
      <c r="AT80" s="486">
        <f t="shared" si="117"/>
        <v>21565</v>
      </c>
      <c r="AU80" s="486">
        <f t="shared" si="118"/>
        <v>0</v>
      </c>
      <c r="AV80" s="501">
        <f t="shared" si="119"/>
        <v>2.2757999999999998</v>
      </c>
      <c r="AW80" s="501">
        <f t="shared" si="120"/>
        <v>2.2757999999999998</v>
      </c>
      <c r="AX80" s="502">
        <f t="shared" si="120"/>
        <v>0</v>
      </c>
    </row>
    <row r="81" spans="1:50" s="695" customFormat="1" x14ac:dyDescent="0.2">
      <c r="A81" s="720">
        <v>15</v>
      </c>
      <c r="B81" s="721">
        <v>4442</v>
      </c>
      <c r="C81" s="721">
        <v>600074901</v>
      </c>
      <c r="D81" s="721">
        <v>48283061</v>
      </c>
      <c r="E81" s="712" t="s">
        <v>177</v>
      </c>
      <c r="F81" s="721">
        <v>3143</v>
      </c>
      <c r="G81" s="531" t="s">
        <v>635</v>
      </c>
      <c r="H81" s="701" t="s">
        <v>284</v>
      </c>
      <c r="I81" s="495">
        <v>53368</v>
      </c>
      <c r="J81" s="496">
        <v>37620</v>
      </c>
      <c r="K81" s="475">
        <v>0</v>
      </c>
      <c r="L81" s="475">
        <v>0</v>
      </c>
      <c r="M81" s="319">
        <v>12716</v>
      </c>
      <c r="N81" s="319">
        <v>752</v>
      </c>
      <c r="O81" s="496">
        <v>2280</v>
      </c>
      <c r="P81" s="497">
        <v>0.16</v>
      </c>
      <c r="Q81" s="412">
        <v>0</v>
      </c>
      <c r="R81" s="764">
        <v>0.16</v>
      </c>
      <c r="S81" s="530">
        <f t="shared" si="105"/>
        <v>0</v>
      </c>
      <c r="T81" s="486">
        <v>0</v>
      </c>
      <c r="U81" s="486">
        <v>0</v>
      </c>
      <c r="V81" s="486">
        <f t="shared" si="106"/>
        <v>0</v>
      </c>
      <c r="W81" s="486">
        <v>0</v>
      </c>
      <c r="X81" s="486">
        <v>0</v>
      </c>
      <c r="Y81" s="486">
        <f t="shared" si="107"/>
        <v>0</v>
      </c>
      <c r="Z81" s="486">
        <f t="shared" si="108"/>
        <v>0</v>
      </c>
      <c r="AA81" s="319">
        <f t="shared" si="109"/>
        <v>0</v>
      </c>
      <c r="AB81" s="178">
        <f t="shared" si="110"/>
        <v>0</v>
      </c>
      <c r="AC81" s="486">
        <v>0</v>
      </c>
      <c r="AD81" s="486">
        <v>0</v>
      </c>
      <c r="AE81" s="486">
        <f t="shared" si="121"/>
        <v>0</v>
      </c>
      <c r="AF81" s="486">
        <f t="shared" si="122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111"/>
        <v>0</v>
      </c>
      <c r="AM81" s="501">
        <f t="shared" si="112"/>
        <v>0</v>
      </c>
      <c r="AN81" s="502">
        <f t="shared" si="123"/>
        <v>0</v>
      </c>
      <c r="AO81" s="499">
        <f t="shared" si="113"/>
        <v>53368</v>
      </c>
      <c r="AP81" s="486">
        <f t="shared" si="114"/>
        <v>37620</v>
      </c>
      <c r="AQ81" s="486">
        <f t="shared" si="115"/>
        <v>0</v>
      </c>
      <c r="AR81" s="486">
        <f t="shared" si="116"/>
        <v>0</v>
      </c>
      <c r="AS81" s="486">
        <f t="shared" si="117"/>
        <v>12716</v>
      </c>
      <c r="AT81" s="486">
        <f t="shared" si="117"/>
        <v>752</v>
      </c>
      <c r="AU81" s="486">
        <f t="shared" si="118"/>
        <v>2280</v>
      </c>
      <c r="AV81" s="501">
        <f t="shared" si="119"/>
        <v>0.16</v>
      </c>
      <c r="AW81" s="501">
        <f t="shared" si="120"/>
        <v>0</v>
      </c>
      <c r="AX81" s="502">
        <f t="shared" si="120"/>
        <v>0.16</v>
      </c>
    </row>
    <row r="82" spans="1:50" s="695" customFormat="1" x14ac:dyDescent="0.2">
      <c r="A82" s="720">
        <v>15</v>
      </c>
      <c r="B82" s="721">
        <v>4442</v>
      </c>
      <c r="C82" s="721">
        <v>600074901</v>
      </c>
      <c r="D82" s="721">
        <v>48283061</v>
      </c>
      <c r="E82" s="712" t="s">
        <v>177</v>
      </c>
      <c r="F82" s="721">
        <v>3143</v>
      </c>
      <c r="G82" s="531" t="s">
        <v>323</v>
      </c>
      <c r="H82" s="701" t="s">
        <v>284</v>
      </c>
      <c r="I82" s="495">
        <v>323642</v>
      </c>
      <c r="J82" s="496">
        <v>238035</v>
      </c>
      <c r="K82" s="475">
        <v>0</v>
      </c>
      <c r="L82" s="475">
        <v>0</v>
      </c>
      <c r="M82" s="319">
        <v>80456</v>
      </c>
      <c r="N82" s="319">
        <v>4761</v>
      </c>
      <c r="O82" s="496">
        <v>390</v>
      </c>
      <c r="P82" s="497">
        <v>0.53</v>
      </c>
      <c r="Q82" s="412">
        <v>0.5</v>
      </c>
      <c r="R82" s="764">
        <v>0.03</v>
      </c>
      <c r="S82" s="530">
        <f t="shared" si="105"/>
        <v>0</v>
      </c>
      <c r="T82" s="486">
        <v>0</v>
      </c>
      <c r="U82" s="486">
        <v>0</v>
      </c>
      <c r="V82" s="486">
        <f t="shared" si="106"/>
        <v>0</v>
      </c>
      <c r="W82" s="486">
        <v>0</v>
      </c>
      <c r="X82" s="486">
        <v>0</v>
      </c>
      <c r="Y82" s="486">
        <f t="shared" si="107"/>
        <v>0</v>
      </c>
      <c r="Z82" s="486">
        <f t="shared" si="108"/>
        <v>0</v>
      </c>
      <c r="AA82" s="319">
        <f t="shared" si="109"/>
        <v>0</v>
      </c>
      <c r="AB82" s="178">
        <f t="shared" si="110"/>
        <v>0</v>
      </c>
      <c r="AC82" s="486">
        <v>0</v>
      </c>
      <c r="AD82" s="486">
        <v>0</v>
      </c>
      <c r="AE82" s="486">
        <f t="shared" si="121"/>
        <v>0</v>
      </c>
      <c r="AF82" s="486">
        <f t="shared" si="122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111"/>
        <v>0</v>
      </c>
      <c r="AM82" s="501">
        <f t="shared" si="112"/>
        <v>0</v>
      </c>
      <c r="AN82" s="502">
        <f t="shared" si="123"/>
        <v>0</v>
      </c>
      <c r="AO82" s="499">
        <f t="shared" si="113"/>
        <v>323642</v>
      </c>
      <c r="AP82" s="486">
        <f t="shared" si="114"/>
        <v>238035</v>
      </c>
      <c r="AQ82" s="486">
        <f t="shared" si="115"/>
        <v>0</v>
      </c>
      <c r="AR82" s="486">
        <f t="shared" si="116"/>
        <v>0</v>
      </c>
      <c r="AS82" s="486">
        <f t="shared" si="117"/>
        <v>80456</v>
      </c>
      <c r="AT82" s="486">
        <f t="shared" si="117"/>
        <v>4761</v>
      </c>
      <c r="AU82" s="486">
        <f t="shared" si="118"/>
        <v>390</v>
      </c>
      <c r="AV82" s="501">
        <f t="shared" si="119"/>
        <v>0.53</v>
      </c>
      <c r="AW82" s="501">
        <f t="shared" si="120"/>
        <v>0.5</v>
      </c>
      <c r="AX82" s="502">
        <f t="shared" si="120"/>
        <v>0.03</v>
      </c>
    </row>
    <row r="83" spans="1:50" s="695" customFormat="1" x14ac:dyDescent="0.2">
      <c r="A83" s="282">
        <v>15</v>
      </c>
      <c r="B83" s="27">
        <v>4442</v>
      </c>
      <c r="C83" s="27">
        <v>600074901</v>
      </c>
      <c r="D83" s="27">
        <v>48283061</v>
      </c>
      <c r="E83" s="292" t="s">
        <v>178</v>
      </c>
      <c r="F83" s="27"/>
      <c r="G83" s="281"/>
      <c r="H83" s="377"/>
      <c r="I83" s="5">
        <v>24087663</v>
      </c>
      <c r="J83" s="8">
        <v>17192492</v>
      </c>
      <c r="K83" s="8">
        <v>69512</v>
      </c>
      <c r="L83" s="8">
        <v>43512</v>
      </c>
      <c r="M83" s="8">
        <v>5819851</v>
      </c>
      <c r="N83" s="8">
        <v>343850</v>
      </c>
      <c r="O83" s="8">
        <v>661958</v>
      </c>
      <c r="P83" s="9">
        <v>33.412899999999993</v>
      </c>
      <c r="Q83" s="9">
        <v>23.0258</v>
      </c>
      <c r="R83" s="33">
        <v>10.387099999999998</v>
      </c>
      <c r="S83" s="5">
        <f t="shared" ref="S83:AX83" si="124">SUM(S77:S82)</f>
        <v>0</v>
      </c>
      <c r="T83" s="8">
        <f t="shared" si="124"/>
        <v>0</v>
      </c>
      <c r="U83" s="8">
        <f t="shared" si="124"/>
        <v>0</v>
      </c>
      <c r="V83" s="8">
        <f t="shared" si="124"/>
        <v>0</v>
      </c>
      <c r="W83" s="8">
        <f t="shared" si="124"/>
        <v>0</v>
      </c>
      <c r="X83" s="8">
        <f t="shared" si="124"/>
        <v>0</v>
      </c>
      <c r="Y83" s="8">
        <f t="shared" si="124"/>
        <v>0</v>
      </c>
      <c r="Z83" s="8">
        <f t="shared" si="124"/>
        <v>0</v>
      </c>
      <c r="AA83" s="8">
        <f t="shared" si="124"/>
        <v>0</v>
      </c>
      <c r="AB83" s="8">
        <f t="shared" si="124"/>
        <v>0</v>
      </c>
      <c r="AC83" s="8">
        <f t="shared" si="124"/>
        <v>0</v>
      </c>
      <c r="AD83" s="8">
        <f t="shared" si="124"/>
        <v>0</v>
      </c>
      <c r="AE83" s="8">
        <f t="shared" si="124"/>
        <v>0</v>
      </c>
      <c r="AF83" s="8">
        <f t="shared" si="124"/>
        <v>0</v>
      </c>
      <c r="AG83" s="9">
        <f t="shared" si="124"/>
        <v>0</v>
      </c>
      <c r="AH83" s="9">
        <f t="shared" si="124"/>
        <v>0</v>
      </c>
      <c r="AI83" s="9">
        <f t="shared" si="124"/>
        <v>0</v>
      </c>
      <c r="AJ83" s="9">
        <f t="shared" si="124"/>
        <v>0</v>
      </c>
      <c r="AK83" s="9">
        <f t="shared" si="124"/>
        <v>0</v>
      </c>
      <c r="AL83" s="9">
        <f t="shared" si="124"/>
        <v>0</v>
      </c>
      <c r="AM83" s="9">
        <f t="shared" si="124"/>
        <v>0</v>
      </c>
      <c r="AN83" s="74">
        <f t="shared" si="124"/>
        <v>0</v>
      </c>
      <c r="AO83" s="270">
        <f t="shared" si="124"/>
        <v>24087663</v>
      </c>
      <c r="AP83" s="8">
        <f t="shared" si="124"/>
        <v>17192492</v>
      </c>
      <c r="AQ83" s="38">
        <f t="shared" si="124"/>
        <v>69512</v>
      </c>
      <c r="AR83" s="38">
        <f t="shared" si="124"/>
        <v>43512</v>
      </c>
      <c r="AS83" s="8">
        <f t="shared" si="124"/>
        <v>5819851</v>
      </c>
      <c r="AT83" s="8">
        <f t="shared" si="124"/>
        <v>343850</v>
      </c>
      <c r="AU83" s="8">
        <f t="shared" si="124"/>
        <v>661958</v>
      </c>
      <c r="AV83" s="9">
        <f t="shared" si="124"/>
        <v>33.412899999999993</v>
      </c>
      <c r="AW83" s="9">
        <f t="shared" si="124"/>
        <v>23.0258</v>
      </c>
      <c r="AX83" s="74">
        <f t="shared" si="124"/>
        <v>10.387099999999998</v>
      </c>
    </row>
    <row r="84" spans="1:50" s="695" customFormat="1" x14ac:dyDescent="0.2">
      <c r="A84" s="720">
        <v>16</v>
      </c>
      <c r="B84" s="721">
        <v>4436</v>
      </c>
      <c r="C84" s="721">
        <v>600074986</v>
      </c>
      <c r="D84" s="721">
        <v>70982198</v>
      </c>
      <c r="E84" s="722" t="s">
        <v>179</v>
      </c>
      <c r="F84" s="721">
        <v>3113</v>
      </c>
      <c r="G84" s="531" t="s">
        <v>320</v>
      </c>
      <c r="H84" s="767" t="s">
        <v>283</v>
      </c>
      <c r="I84" s="495">
        <v>28933993</v>
      </c>
      <c r="J84" s="496">
        <v>20461649</v>
      </c>
      <c r="K84" s="496">
        <v>102044</v>
      </c>
      <c r="L84" s="496">
        <v>67044</v>
      </c>
      <c r="M84" s="496">
        <v>6927867</v>
      </c>
      <c r="N84" s="496">
        <v>409233</v>
      </c>
      <c r="O84" s="496">
        <v>1033200</v>
      </c>
      <c r="P84" s="497">
        <v>39.6723</v>
      </c>
      <c r="Q84" s="412">
        <v>30.882700000000003</v>
      </c>
      <c r="R84" s="764">
        <v>8.7896000000000001</v>
      </c>
      <c r="S84" s="530">
        <f t="shared" ref="S84:S88" si="125">W84*-1</f>
        <v>0</v>
      </c>
      <c r="T84" s="486">
        <v>0</v>
      </c>
      <c r="U84" s="486">
        <v>0</v>
      </c>
      <c r="V84" s="486">
        <f>SUM(S84:U84)</f>
        <v>0</v>
      </c>
      <c r="W84" s="486">
        <v>0</v>
      </c>
      <c r="X84" s="486">
        <v>0</v>
      </c>
      <c r="Y84" s="486">
        <f>SUM(W84:X84)</f>
        <v>0</v>
      </c>
      <c r="Z84" s="486">
        <f>V84+Y84</f>
        <v>0</v>
      </c>
      <c r="AA84" s="319">
        <f>ROUND((V84+W84)*33.8%,0)</f>
        <v>0</v>
      </c>
      <c r="AB84" s="178">
        <f>ROUND(V84*2%,0)</f>
        <v>0</v>
      </c>
      <c r="AC84" s="486">
        <v>0</v>
      </c>
      <c r="AD84" s="486">
        <v>0</v>
      </c>
      <c r="AE84" s="486">
        <f t="shared" si="121"/>
        <v>0</v>
      </c>
      <c r="AF84" s="486">
        <f t="shared" si="122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ref="AL84:AL88" si="126">AG84+AI84+AJ84</f>
        <v>0</v>
      </c>
      <c r="AM84" s="501">
        <f t="shared" ref="AM84:AM88" si="127">AH84+AK84</f>
        <v>0</v>
      </c>
      <c r="AN84" s="502">
        <f t="shared" si="123"/>
        <v>0</v>
      </c>
      <c r="AO84" s="499">
        <f>I84+AF84</f>
        <v>28933993</v>
      </c>
      <c r="AP84" s="486">
        <f>J84+V84</f>
        <v>20461649</v>
      </c>
      <c r="AQ84" s="486">
        <f>K84+Y84</f>
        <v>102044</v>
      </c>
      <c r="AR84" s="486">
        <f>L84</f>
        <v>67044</v>
      </c>
      <c r="AS84" s="486">
        <f t="shared" ref="AS84:AT88" si="128">M84+AA84</f>
        <v>6927867</v>
      </c>
      <c r="AT84" s="486">
        <f t="shared" si="128"/>
        <v>409233</v>
      </c>
      <c r="AU84" s="486">
        <f>O84+AE84</f>
        <v>1033200</v>
      </c>
      <c r="AV84" s="501">
        <f>P84+AN84</f>
        <v>39.6723</v>
      </c>
      <c r="AW84" s="501">
        <f t="shared" ref="AW84:AX88" si="129">Q84+AL84</f>
        <v>30.882700000000003</v>
      </c>
      <c r="AX84" s="502">
        <f t="shared" si="129"/>
        <v>8.7896000000000001</v>
      </c>
    </row>
    <row r="85" spans="1:50" s="695" customFormat="1" x14ac:dyDescent="0.2">
      <c r="A85" s="720">
        <v>16</v>
      </c>
      <c r="B85" s="721">
        <v>4436</v>
      </c>
      <c r="C85" s="721">
        <v>600074986</v>
      </c>
      <c r="D85" s="721">
        <v>70982198</v>
      </c>
      <c r="E85" s="722" t="s">
        <v>179</v>
      </c>
      <c r="F85" s="721">
        <v>3113</v>
      </c>
      <c r="G85" s="531" t="s">
        <v>318</v>
      </c>
      <c r="H85" s="767" t="s">
        <v>284</v>
      </c>
      <c r="I85" s="495">
        <v>2017309</v>
      </c>
      <c r="J85" s="496">
        <v>1485500</v>
      </c>
      <c r="K85" s="475">
        <v>0</v>
      </c>
      <c r="L85" s="475">
        <v>0</v>
      </c>
      <c r="M85" s="319">
        <v>502099</v>
      </c>
      <c r="N85" s="319">
        <v>29710</v>
      </c>
      <c r="O85" s="496">
        <v>0</v>
      </c>
      <c r="P85" s="497">
        <v>4.37</v>
      </c>
      <c r="Q85" s="412">
        <v>4.37</v>
      </c>
      <c r="R85" s="764">
        <v>0</v>
      </c>
      <c r="S85" s="530">
        <f t="shared" si="125"/>
        <v>0</v>
      </c>
      <c r="T85" s="486">
        <v>0</v>
      </c>
      <c r="U85" s="486">
        <v>0</v>
      </c>
      <c r="V85" s="486">
        <f>SUM(S85:U85)</f>
        <v>0</v>
      </c>
      <c r="W85" s="486">
        <v>0</v>
      </c>
      <c r="X85" s="486">
        <v>0</v>
      </c>
      <c r="Y85" s="486">
        <f>SUM(W85:X85)</f>
        <v>0</v>
      </c>
      <c r="Z85" s="486">
        <f>V85+Y85</f>
        <v>0</v>
      </c>
      <c r="AA85" s="319">
        <f>ROUND((V85+W85)*33.8%,0)</f>
        <v>0</v>
      </c>
      <c r="AB85" s="178">
        <f>ROUND(V85*2%,0)</f>
        <v>0</v>
      </c>
      <c r="AC85" s="486">
        <v>16000</v>
      </c>
      <c r="AD85" s="486">
        <v>0</v>
      </c>
      <c r="AE85" s="486">
        <f t="shared" si="121"/>
        <v>16000</v>
      </c>
      <c r="AF85" s="486">
        <f t="shared" si="122"/>
        <v>16000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126"/>
        <v>0</v>
      </c>
      <c r="AM85" s="501">
        <f t="shared" si="127"/>
        <v>0</v>
      </c>
      <c r="AN85" s="502">
        <f t="shared" si="123"/>
        <v>0</v>
      </c>
      <c r="AO85" s="499">
        <f>I85+AF85</f>
        <v>2033309</v>
      </c>
      <c r="AP85" s="486">
        <f>J85+V85</f>
        <v>1485500</v>
      </c>
      <c r="AQ85" s="486">
        <f>K85+Y85</f>
        <v>0</v>
      </c>
      <c r="AR85" s="486">
        <f>L85</f>
        <v>0</v>
      </c>
      <c r="AS85" s="486">
        <f t="shared" si="128"/>
        <v>502099</v>
      </c>
      <c r="AT85" s="486">
        <f t="shared" si="128"/>
        <v>29710</v>
      </c>
      <c r="AU85" s="486">
        <f>O85+AE85</f>
        <v>16000</v>
      </c>
      <c r="AV85" s="501">
        <f>P85+AN85</f>
        <v>4.37</v>
      </c>
      <c r="AW85" s="501">
        <f t="shared" si="129"/>
        <v>4.37</v>
      </c>
      <c r="AX85" s="502">
        <f t="shared" si="129"/>
        <v>0</v>
      </c>
    </row>
    <row r="86" spans="1:50" s="695" customFormat="1" x14ac:dyDescent="0.2">
      <c r="A86" s="720">
        <v>16</v>
      </c>
      <c r="B86" s="721">
        <v>4436</v>
      </c>
      <c r="C86" s="721">
        <v>600074986</v>
      </c>
      <c r="D86" s="721">
        <v>70982198</v>
      </c>
      <c r="E86" s="722" t="s">
        <v>179</v>
      </c>
      <c r="F86" s="721">
        <v>3141</v>
      </c>
      <c r="G86" s="531" t="s">
        <v>321</v>
      </c>
      <c r="H86" s="767" t="s">
        <v>284</v>
      </c>
      <c r="I86" s="495">
        <v>1899551</v>
      </c>
      <c r="J86" s="496">
        <v>1385973</v>
      </c>
      <c r="K86" s="475">
        <v>0</v>
      </c>
      <c r="L86" s="475">
        <v>0</v>
      </c>
      <c r="M86" s="319">
        <v>468459</v>
      </c>
      <c r="N86" s="319">
        <v>27719</v>
      </c>
      <c r="O86" s="496">
        <v>17400</v>
      </c>
      <c r="P86" s="497">
        <v>4.72</v>
      </c>
      <c r="Q86" s="412">
        <v>0</v>
      </c>
      <c r="R86" s="764">
        <v>4.72</v>
      </c>
      <c r="S86" s="530">
        <f t="shared" si="125"/>
        <v>0</v>
      </c>
      <c r="T86" s="486">
        <v>0</v>
      </c>
      <c r="U86" s="486">
        <v>0</v>
      </c>
      <c r="V86" s="486">
        <f>SUM(S86:U86)</f>
        <v>0</v>
      </c>
      <c r="W86" s="486">
        <v>0</v>
      </c>
      <c r="X86" s="486">
        <v>0</v>
      </c>
      <c r="Y86" s="486">
        <f>SUM(W86:X86)</f>
        <v>0</v>
      </c>
      <c r="Z86" s="486">
        <f>V86+Y86</f>
        <v>0</v>
      </c>
      <c r="AA86" s="319">
        <f>ROUND((V86+W86)*33.8%,0)</f>
        <v>0</v>
      </c>
      <c r="AB86" s="178">
        <f>ROUND(V86*2%,0)</f>
        <v>0</v>
      </c>
      <c r="AC86" s="486">
        <v>0</v>
      </c>
      <c r="AD86" s="486">
        <v>0</v>
      </c>
      <c r="AE86" s="486">
        <f t="shared" si="121"/>
        <v>0</v>
      </c>
      <c r="AF86" s="486">
        <f t="shared" si="122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126"/>
        <v>0</v>
      </c>
      <c r="AM86" s="501">
        <f t="shared" si="127"/>
        <v>0</v>
      </c>
      <c r="AN86" s="502">
        <f t="shared" si="123"/>
        <v>0</v>
      </c>
      <c r="AO86" s="499">
        <f>I86+AF86</f>
        <v>1899551</v>
      </c>
      <c r="AP86" s="486">
        <f>J86+V86</f>
        <v>1385973</v>
      </c>
      <c r="AQ86" s="486">
        <f>K86+Y86</f>
        <v>0</v>
      </c>
      <c r="AR86" s="486">
        <f>L86</f>
        <v>0</v>
      </c>
      <c r="AS86" s="486">
        <f t="shared" si="128"/>
        <v>468459</v>
      </c>
      <c r="AT86" s="486">
        <f t="shared" si="128"/>
        <v>27719</v>
      </c>
      <c r="AU86" s="486">
        <f>O86+AE86</f>
        <v>17400</v>
      </c>
      <c r="AV86" s="501">
        <f>P86+AN86</f>
        <v>4.72</v>
      </c>
      <c r="AW86" s="501">
        <f t="shared" si="129"/>
        <v>0</v>
      </c>
      <c r="AX86" s="502">
        <f t="shared" si="129"/>
        <v>4.72</v>
      </c>
    </row>
    <row r="87" spans="1:50" s="695" customFormat="1" x14ac:dyDescent="0.2">
      <c r="A87" s="720">
        <v>16</v>
      </c>
      <c r="B87" s="721">
        <v>4436</v>
      </c>
      <c r="C87" s="721">
        <v>600074986</v>
      </c>
      <c r="D87" s="721">
        <v>70982198</v>
      </c>
      <c r="E87" s="712" t="s">
        <v>179</v>
      </c>
      <c r="F87" s="721">
        <v>3143</v>
      </c>
      <c r="G87" s="531" t="s">
        <v>634</v>
      </c>
      <c r="H87" s="701" t="s">
        <v>283</v>
      </c>
      <c r="I87" s="495">
        <v>2953775</v>
      </c>
      <c r="J87" s="496">
        <v>2170166</v>
      </c>
      <c r="K87" s="475">
        <v>5000</v>
      </c>
      <c r="L87" s="475">
        <v>0</v>
      </c>
      <c r="M87" s="319">
        <v>735206</v>
      </c>
      <c r="N87" s="319">
        <v>43403</v>
      </c>
      <c r="O87" s="496">
        <v>0</v>
      </c>
      <c r="P87" s="497">
        <v>4.5552000000000001</v>
      </c>
      <c r="Q87" s="412">
        <v>4.5552000000000001</v>
      </c>
      <c r="R87" s="764">
        <v>0</v>
      </c>
      <c r="S87" s="530">
        <f t="shared" si="125"/>
        <v>0</v>
      </c>
      <c r="T87" s="486">
        <v>0</v>
      </c>
      <c r="U87" s="486">
        <v>0</v>
      </c>
      <c r="V87" s="486">
        <f>SUM(S87:U87)</f>
        <v>0</v>
      </c>
      <c r="W87" s="486">
        <v>0</v>
      </c>
      <c r="X87" s="486">
        <v>0</v>
      </c>
      <c r="Y87" s="486">
        <f>SUM(W87:X87)</f>
        <v>0</v>
      </c>
      <c r="Z87" s="486">
        <f>V87+Y87</f>
        <v>0</v>
      </c>
      <c r="AA87" s="319">
        <f>ROUND((V87+W87)*33.8%,0)</f>
        <v>0</v>
      </c>
      <c r="AB87" s="178">
        <f>ROUND(V87*2%,0)</f>
        <v>0</v>
      </c>
      <c r="AC87" s="486">
        <v>0</v>
      </c>
      <c r="AD87" s="486">
        <v>0</v>
      </c>
      <c r="AE87" s="486">
        <f t="shared" si="121"/>
        <v>0</v>
      </c>
      <c r="AF87" s="486">
        <f t="shared" si="122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26"/>
        <v>0</v>
      </c>
      <c r="AM87" s="501">
        <f t="shared" si="127"/>
        <v>0</v>
      </c>
      <c r="AN87" s="502">
        <f t="shared" si="123"/>
        <v>0</v>
      </c>
      <c r="AO87" s="499">
        <f>I87+AF87</f>
        <v>2953775</v>
      </c>
      <c r="AP87" s="486">
        <f>J87+V87</f>
        <v>2170166</v>
      </c>
      <c r="AQ87" s="486">
        <f>K87+Y87</f>
        <v>5000</v>
      </c>
      <c r="AR87" s="486">
        <f>L87</f>
        <v>0</v>
      </c>
      <c r="AS87" s="486">
        <f t="shared" si="128"/>
        <v>735206</v>
      </c>
      <c r="AT87" s="486">
        <f t="shared" si="128"/>
        <v>43403</v>
      </c>
      <c r="AU87" s="486">
        <f>O87+AE87</f>
        <v>0</v>
      </c>
      <c r="AV87" s="501">
        <f>P87+AN87</f>
        <v>4.5552000000000001</v>
      </c>
      <c r="AW87" s="501">
        <f t="shared" si="129"/>
        <v>4.5552000000000001</v>
      </c>
      <c r="AX87" s="502">
        <f t="shared" si="129"/>
        <v>0</v>
      </c>
    </row>
    <row r="88" spans="1:50" s="695" customFormat="1" x14ac:dyDescent="0.2">
      <c r="A88" s="720">
        <v>16</v>
      </c>
      <c r="B88" s="721">
        <v>4436</v>
      </c>
      <c r="C88" s="721">
        <v>600074986</v>
      </c>
      <c r="D88" s="721">
        <v>70982198</v>
      </c>
      <c r="E88" s="712" t="s">
        <v>179</v>
      </c>
      <c r="F88" s="721">
        <v>3143</v>
      </c>
      <c r="G88" s="531" t="s">
        <v>635</v>
      </c>
      <c r="H88" s="701" t="s">
        <v>284</v>
      </c>
      <c r="I88" s="495">
        <v>89883</v>
      </c>
      <c r="J88" s="496">
        <v>63360</v>
      </c>
      <c r="K88" s="475">
        <v>0</v>
      </c>
      <c r="L88" s="475">
        <v>0</v>
      </c>
      <c r="M88" s="319">
        <v>21416</v>
      </c>
      <c r="N88" s="319">
        <v>1267</v>
      </c>
      <c r="O88" s="496">
        <v>3840</v>
      </c>
      <c r="P88" s="497">
        <v>0.27</v>
      </c>
      <c r="Q88" s="412">
        <v>0</v>
      </c>
      <c r="R88" s="764">
        <v>0.27</v>
      </c>
      <c r="S88" s="530">
        <f t="shared" si="125"/>
        <v>0</v>
      </c>
      <c r="T88" s="486">
        <v>0</v>
      </c>
      <c r="U88" s="486">
        <v>0</v>
      </c>
      <c r="V88" s="486">
        <f>SUM(S88:U88)</f>
        <v>0</v>
      </c>
      <c r="W88" s="486">
        <v>0</v>
      </c>
      <c r="X88" s="486">
        <v>0</v>
      </c>
      <c r="Y88" s="486">
        <f>SUM(W88:X88)</f>
        <v>0</v>
      </c>
      <c r="Z88" s="486">
        <f>V88+Y88</f>
        <v>0</v>
      </c>
      <c r="AA88" s="319">
        <f>ROUND((V88+W88)*33.8%,0)</f>
        <v>0</v>
      </c>
      <c r="AB88" s="178">
        <f>ROUND(V88*2%,0)</f>
        <v>0</v>
      </c>
      <c r="AC88" s="486">
        <v>0</v>
      </c>
      <c r="AD88" s="486">
        <v>0</v>
      </c>
      <c r="AE88" s="486">
        <f t="shared" si="121"/>
        <v>0</v>
      </c>
      <c r="AF88" s="486">
        <f t="shared" si="122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26"/>
        <v>0</v>
      </c>
      <c r="AM88" s="501">
        <f t="shared" si="127"/>
        <v>0</v>
      </c>
      <c r="AN88" s="502">
        <f t="shared" si="123"/>
        <v>0</v>
      </c>
      <c r="AO88" s="499">
        <f>I88+AF88</f>
        <v>89883</v>
      </c>
      <c r="AP88" s="486">
        <f>J88+V88</f>
        <v>63360</v>
      </c>
      <c r="AQ88" s="486">
        <f>K88+Y88</f>
        <v>0</v>
      </c>
      <c r="AR88" s="486">
        <f>L88</f>
        <v>0</v>
      </c>
      <c r="AS88" s="486">
        <f t="shared" si="128"/>
        <v>21416</v>
      </c>
      <c r="AT88" s="486">
        <f t="shared" si="128"/>
        <v>1267</v>
      </c>
      <c r="AU88" s="486">
        <f>O88+AE88</f>
        <v>3840</v>
      </c>
      <c r="AV88" s="501">
        <f>P88+AN88</f>
        <v>0.27</v>
      </c>
      <c r="AW88" s="501">
        <f t="shared" si="129"/>
        <v>0</v>
      </c>
      <c r="AX88" s="502">
        <f t="shared" si="129"/>
        <v>0.27</v>
      </c>
    </row>
    <row r="89" spans="1:50" s="695" customFormat="1" x14ac:dyDescent="0.2">
      <c r="A89" s="282">
        <v>16</v>
      </c>
      <c r="B89" s="27">
        <v>4436</v>
      </c>
      <c r="C89" s="27">
        <v>600074986</v>
      </c>
      <c r="D89" s="27">
        <v>70982198</v>
      </c>
      <c r="E89" s="292" t="s">
        <v>180</v>
      </c>
      <c r="F89" s="27"/>
      <c r="G89" s="281"/>
      <c r="H89" s="377"/>
      <c r="I89" s="5">
        <v>35894511</v>
      </c>
      <c r="J89" s="8">
        <v>25566648</v>
      </c>
      <c r="K89" s="8">
        <v>107044</v>
      </c>
      <c r="L89" s="8">
        <v>67044</v>
      </c>
      <c r="M89" s="8">
        <v>8655047</v>
      </c>
      <c r="N89" s="8">
        <v>511332</v>
      </c>
      <c r="O89" s="8">
        <v>1054440</v>
      </c>
      <c r="P89" s="9">
        <v>53.587499999999999</v>
      </c>
      <c r="Q89" s="9">
        <v>39.807900000000004</v>
      </c>
      <c r="R89" s="33">
        <v>13.779599999999999</v>
      </c>
      <c r="S89" s="5">
        <f t="shared" ref="S89:AX89" si="130">SUM(S84:S88)</f>
        <v>0</v>
      </c>
      <c r="T89" s="8">
        <f t="shared" si="130"/>
        <v>0</v>
      </c>
      <c r="U89" s="8">
        <f t="shared" si="130"/>
        <v>0</v>
      </c>
      <c r="V89" s="8">
        <f t="shared" si="130"/>
        <v>0</v>
      </c>
      <c r="W89" s="8">
        <f t="shared" si="130"/>
        <v>0</v>
      </c>
      <c r="X89" s="8">
        <f t="shared" si="130"/>
        <v>0</v>
      </c>
      <c r="Y89" s="8">
        <f t="shared" si="130"/>
        <v>0</v>
      </c>
      <c r="Z89" s="8">
        <f t="shared" si="130"/>
        <v>0</v>
      </c>
      <c r="AA89" s="8">
        <f t="shared" si="130"/>
        <v>0</v>
      </c>
      <c r="AB89" s="8">
        <f t="shared" si="130"/>
        <v>0</v>
      </c>
      <c r="AC89" s="8">
        <f t="shared" si="130"/>
        <v>16000</v>
      </c>
      <c r="AD89" s="8">
        <f t="shared" si="130"/>
        <v>0</v>
      </c>
      <c r="AE89" s="8">
        <f t="shared" si="130"/>
        <v>16000</v>
      </c>
      <c r="AF89" s="8">
        <f t="shared" si="130"/>
        <v>16000</v>
      </c>
      <c r="AG89" s="9">
        <f t="shared" si="130"/>
        <v>0</v>
      </c>
      <c r="AH89" s="9">
        <f t="shared" si="130"/>
        <v>0</v>
      </c>
      <c r="AI89" s="9">
        <f t="shared" si="130"/>
        <v>0</v>
      </c>
      <c r="AJ89" s="9">
        <f t="shared" si="130"/>
        <v>0</v>
      </c>
      <c r="AK89" s="9">
        <f t="shared" si="130"/>
        <v>0</v>
      </c>
      <c r="AL89" s="9">
        <f t="shared" si="130"/>
        <v>0</v>
      </c>
      <c r="AM89" s="9">
        <f t="shared" si="130"/>
        <v>0</v>
      </c>
      <c r="AN89" s="74">
        <f t="shared" si="130"/>
        <v>0</v>
      </c>
      <c r="AO89" s="270">
        <f t="shared" si="130"/>
        <v>35910511</v>
      </c>
      <c r="AP89" s="8">
        <f t="shared" si="130"/>
        <v>25566648</v>
      </c>
      <c r="AQ89" s="38">
        <f t="shared" si="130"/>
        <v>107044</v>
      </c>
      <c r="AR89" s="38">
        <f t="shared" si="130"/>
        <v>67044</v>
      </c>
      <c r="AS89" s="8">
        <f t="shared" si="130"/>
        <v>8655047</v>
      </c>
      <c r="AT89" s="8">
        <f t="shared" si="130"/>
        <v>511332</v>
      </c>
      <c r="AU89" s="8">
        <f t="shared" si="130"/>
        <v>1070440</v>
      </c>
      <c r="AV89" s="9">
        <f t="shared" si="130"/>
        <v>53.587499999999999</v>
      </c>
      <c r="AW89" s="9">
        <f t="shared" si="130"/>
        <v>39.807900000000004</v>
      </c>
      <c r="AX89" s="74">
        <f t="shared" si="130"/>
        <v>13.779599999999999</v>
      </c>
    </row>
    <row r="90" spans="1:50" s="695" customFormat="1" x14ac:dyDescent="0.2">
      <c r="A90" s="720">
        <v>17</v>
      </c>
      <c r="B90" s="721">
        <v>4454</v>
      </c>
      <c r="C90" s="721">
        <v>600074811</v>
      </c>
      <c r="D90" s="721">
        <v>48283070</v>
      </c>
      <c r="E90" s="722" t="s">
        <v>181</v>
      </c>
      <c r="F90" s="721">
        <v>3113</v>
      </c>
      <c r="G90" s="531" t="s">
        <v>320</v>
      </c>
      <c r="H90" s="767" t="s">
        <v>283</v>
      </c>
      <c r="I90" s="495">
        <v>27000568</v>
      </c>
      <c r="J90" s="496">
        <v>19151434</v>
      </c>
      <c r="K90" s="496">
        <v>67288</v>
      </c>
      <c r="L90" s="496">
        <v>60088</v>
      </c>
      <c r="M90" s="496">
        <v>6475618</v>
      </c>
      <c r="N90" s="496">
        <v>383028</v>
      </c>
      <c r="O90" s="496">
        <v>923200</v>
      </c>
      <c r="P90" s="497">
        <v>35.348200000000006</v>
      </c>
      <c r="Q90" s="412">
        <v>27.226400000000002</v>
      </c>
      <c r="R90" s="764">
        <v>8.1218000000000039</v>
      </c>
      <c r="S90" s="530">
        <f t="shared" ref="S90:S94" si="131">W90*-1</f>
        <v>0</v>
      </c>
      <c r="T90" s="486">
        <v>0</v>
      </c>
      <c r="U90" s="486">
        <v>0</v>
      </c>
      <c r="V90" s="486">
        <f>SUM(S90:U90)</f>
        <v>0</v>
      </c>
      <c r="W90" s="486">
        <v>0</v>
      </c>
      <c r="X90" s="486">
        <v>0</v>
      </c>
      <c r="Y90" s="486">
        <f>SUM(W90:X90)</f>
        <v>0</v>
      </c>
      <c r="Z90" s="486">
        <f>V90+Y90</f>
        <v>0</v>
      </c>
      <c r="AA90" s="319">
        <f>ROUND((V90+W90)*33.8%,0)</f>
        <v>0</v>
      </c>
      <c r="AB90" s="178">
        <f>ROUND(V90*2%,0)</f>
        <v>0</v>
      </c>
      <c r="AC90" s="486">
        <v>0</v>
      </c>
      <c r="AD90" s="486">
        <v>0</v>
      </c>
      <c r="AE90" s="486">
        <f t="shared" si="121"/>
        <v>0</v>
      </c>
      <c r="AF90" s="486">
        <f t="shared" si="122"/>
        <v>0</v>
      </c>
      <c r="AG90" s="501">
        <v>0</v>
      </c>
      <c r="AH90" s="501">
        <v>0</v>
      </c>
      <c r="AI90" s="501">
        <v>0</v>
      </c>
      <c r="AJ90" s="501">
        <v>0</v>
      </c>
      <c r="AK90" s="501">
        <v>0</v>
      </c>
      <c r="AL90" s="501">
        <f t="shared" ref="AL90:AL94" si="132">AG90+AI90+AJ90</f>
        <v>0</v>
      </c>
      <c r="AM90" s="501">
        <f t="shared" ref="AM90:AM94" si="133">AH90+AK90</f>
        <v>0</v>
      </c>
      <c r="AN90" s="502">
        <f t="shared" si="123"/>
        <v>0</v>
      </c>
      <c r="AO90" s="499">
        <f>I90+AF90</f>
        <v>27000568</v>
      </c>
      <c r="AP90" s="486">
        <f>J90+V90</f>
        <v>19151434</v>
      </c>
      <c r="AQ90" s="486">
        <f>K90+Y90</f>
        <v>67288</v>
      </c>
      <c r="AR90" s="486">
        <f>L90</f>
        <v>60088</v>
      </c>
      <c r="AS90" s="486">
        <f t="shared" ref="AS90:AT94" si="134">M90+AA90</f>
        <v>6475618</v>
      </c>
      <c r="AT90" s="486">
        <f t="shared" si="134"/>
        <v>383028</v>
      </c>
      <c r="AU90" s="486">
        <f>O90+AE90</f>
        <v>923200</v>
      </c>
      <c r="AV90" s="501">
        <f>P90+AN90</f>
        <v>35.348200000000006</v>
      </c>
      <c r="AW90" s="501">
        <f t="shared" ref="AW90:AX94" si="135">Q90+AL90</f>
        <v>27.226400000000002</v>
      </c>
      <c r="AX90" s="502">
        <f t="shared" si="135"/>
        <v>8.1218000000000039</v>
      </c>
    </row>
    <row r="91" spans="1:50" s="695" customFormat="1" x14ac:dyDescent="0.2">
      <c r="A91" s="720">
        <v>17</v>
      </c>
      <c r="B91" s="721">
        <v>4454</v>
      </c>
      <c r="C91" s="721">
        <v>600074811</v>
      </c>
      <c r="D91" s="721">
        <v>48283070</v>
      </c>
      <c r="E91" s="722" t="s">
        <v>181</v>
      </c>
      <c r="F91" s="721">
        <v>3113</v>
      </c>
      <c r="G91" s="531" t="s">
        <v>318</v>
      </c>
      <c r="H91" s="767" t="s">
        <v>284</v>
      </c>
      <c r="I91" s="495">
        <v>3137122</v>
      </c>
      <c r="J91" s="496">
        <v>2290039</v>
      </c>
      <c r="K91" s="475">
        <v>0</v>
      </c>
      <c r="L91" s="475">
        <v>0</v>
      </c>
      <c r="M91" s="319">
        <v>774032</v>
      </c>
      <c r="N91" s="319">
        <v>45801</v>
      </c>
      <c r="O91" s="496">
        <v>27250</v>
      </c>
      <c r="P91" s="497">
        <v>6.7</v>
      </c>
      <c r="Q91" s="412">
        <v>6.7</v>
      </c>
      <c r="R91" s="764">
        <v>0</v>
      </c>
      <c r="S91" s="530">
        <f t="shared" si="131"/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319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 t="shared" si="121"/>
        <v>0</v>
      </c>
      <c r="AF91" s="486">
        <f t="shared" si="122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si="132"/>
        <v>0</v>
      </c>
      <c r="AM91" s="501">
        <f t="shared" si="133"/>
        <v>0</v>
      </c>
      <c r="AN91" s="502">
        <f t="shared" si="123"/>
        <v>0</v>
      </c>
      <c r="AO91" s="499">
        <f>I91+AF91</f>
        <v>3137122</v>
      </c>
      <c r="AP91" s="486">
        <f>J91+V91</f>
        <v>2290039</v>
      </c>
      <c r="AQ91" s="486">
        <f>K91+Y91</f>
        <v>0</v>
      </c>
      <c r="AR91" s="486">
        <f>L91</f>
        <v>0</v>
      </c>
      <c r="AS91" s="486">
        <f t="shared" si="134"/>
        <v>774032</v>
      </c>
      <c r="AT91" s="486">
        <f t="shared" si="134"/>
        <v>45801</v>
      </c>
      <c r="AU91" s="486">
        <f>O91+AE91</f>
        <v>27250</v>
      </c>
      <c r="AV91" s="501">
        <f>P91+AN91</f>
        <v>6.7</v>
      </c>
      <c r="AW91" s="501">
        <f t="shared" si="135"/>
        <v>6.7</v>
      </c>
      <c r="AX91" s="502">
        <f t="shared" si="135"/>
        <v>0</v>
      </c>
    </row>
    <row r="92" spans="1:50" s="695" customFormat="1" x14ac:dyDescent="0.2">
      <c r="A92" s="720">
        <v>17</v>
      </c>
      <c r="B92" s="721">
        <v>4454</v>
      </c>
      <c r="C92" s="721">
        <v>600074811</v>
      </c>
      <c r="D92" s="721">
        <v>48283070</v>
      </c>
      <c r="E92" s="722" t="s">
        <v>181</v>
      </c>
      <c r="F92" s="721">
        <v>3141</v>
      </c>
      <c r="G92" s="531" t="s">
        <v>321</v>
      </c>
      <c r="H92" s="767" t="s">
        <v>284</v>
      </c>
      <c r="I92" s="495">
        <v>2896323</v>
      </c>
      <c r="J92" s="496">
        <v>2111772</v>
      </c>
      <c r="K92" s="475">
        <v>0</v>
      </c>
      <c r="L92" s="475">
        <v>0</v>
      </c>
      <c r="M92" s="319">
        <v>713779</v>
      </c>
      <c r="N92" s="319">
        <v>42236</v>
      </c>
      <c r="O92" s="496">
        <v>28536</v>
      </c>
      <c r="P92" s="497">
        <v>7.18</v>
      </c>
      <c r="Q92" s="412">
        <v>0</v>
      </c>
      <c r="R92" s="764">
        <v>7.18</v>
      </c>
      <c r="S92" s="530">
        <f t="shared" si="131"/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319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 t="shared" si="121"/>
        <v>0</v>
      </c>
      <c r="AF92" s="486">
        <f t="shared" si="122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32"/>
        <v>0</v>
      </c>
      <c r="AM92" s="501">
        <f t="shared" si="133"/>
        <v>0</v>
      </c>
      <c r="AN92" s="502">
        <f t="shared" si="123"/>
        <v>0</v>
      </c>
      <c r="AO92" s="499">
        <f>I92+AF92</f>
        <v>2896323</v>
      </c>
      <c r="AP92" s="486">
        <f>J92+V92</f>
        <v>2111772</v>
      </c>
      <c r="AQ92" s="486">
        <f>K92+Y92</f>
        <v>0</v>
      </c>
      <c r="AR92" s="486">
        <f>L92</f>
        <v>0</v>
      </c>
      <c r="AS92" s="486">
        <f t="shared" si="134"/>
        <v>713779</v>
      </c>
      <c r="AT92" s="486">
        <f t="shared" si="134"/>
        <v>42236</v>
      </c>
      <c r="AU92" s="486">
        <f>O92+AE92</f>
        <v>28536</v>
      </c>
      <c r="AV92" s="501">
        <f>P92+AN92</f>
        <v>7.18</v>
      </c>
      <c r="AW92" s="501">
        <f t="shared" si="135"/>
        <v>0</v>
      </c>
      <c r="AX92" s="502">
        <f t="shared" si="135"/>
        <v>7.18</v>
      </c>
    </row>
    <row r="93" spans="1:50" s="695" customFormat="1" x14ac:dyDescent="0.2">
      <c r="A93" s="720">
        <v>17</v>
      </c>
      <c r="B93" s="721">
        <v>4454</v>
      </c>
      <c r="C93" s="721">
        <v>600074811</v>
      </c>
      <c r="D93" s="721">
        <v>48283070</v>
      </c>
      <c r="E93" s="712" t="s">
        <v>181</v>
      </c>
      <c r="F93" s="721">
        <v>3143</v>
      </c>
      <c r="G93" s="531" t="s">
        <v>634</v>
      </c>
      <c r="H93" s="701" t="s">
        <v>283</v>
      </c>
      <c r="I93" s="495">
        <v>2429539</v>
      </c>
      <c r="J93" s="496">
        <v>1784130</v>
      </c>
      <c r="K93" s="475">
        <v>5000</v>
      </c>
      <c r="L93" s="475">
        <v>0</v>
      </c>
      <c r="M93" s="319">
        <v>604726</v>
      </c>
      <c r="N93" s="319">
        <v>35683</v>
      </c>
      <c r="O93" s="496">
        <v>0</v>
      </c>
      <c r="P93" s="497">
        <v>3.5613000000000001</v>
      </c>
      <c r="Q93" s="412">
        <v>3.5613000000000001</v>
      </c>
      <c r="R93" s="764">
        <v>0</v>
      </c>
      <c r="S93" s="530">
        <f t="shared" si="131"/>
        <v>-10000</v>
      </c>
      <c r="T93" s="486">
        <v>0</v>
      </c>
      <c r="U93" s="486">
        <v>0</v>
      </c>
      <c r="V93" s="486">
        <f>SUM(S93:U93)</f>
        <v>-10000</v>
      </c>
      <c r="W93" s="486">
        <v>10000</v>
      </c>
      <c r="X93" s="486">
        <v>0</v>
      </c>
      <c r="Y93" s="486">
        <f>SUM(W93:X93)</f>
        <v>10000</v>
      </c>
      <c r="Z93" s="486">
        <f>V93+Y93</f>
        <v>0</v>
      </c>
      <c r="AA93" s="319">
        <f>ROUND((V93+W93)*33.8%,0)</f>
        <v>0</v>
      </c>
      <c r="AB93" s="178">
        <f>ROUND(V93*2%,0)</f>
        <v>-200</v>
      </c>
      <c r="AC93" s="486">
        <v>0</v>
      </c>
      <c r="AD93" s="486">
        <v>0</v>
      </c>
      <c r="AE93" s="486">
        <f t="shared" si="121"/>
        <v>0</v>
      </c>
      <c r="AF93" s="486">
        <f t="shared" si="122"/>
        <v>-200</v>
      </c>
      <c r="AG93" s="501">
        <v>-0.03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32"/>
        <v>-0.03</v>
      </c>
      <c r="AM93" s="501">
        <f t="shared" si="133"/>
        <v>0</v>
      </c>
      <c r="AN93" s="502">
        <f t="shared" si="123"/>
        <v>-0.03</v>
      </c>
      <c r="AO93" s="499">
        <f>I93+AF93</f>
        <v>2429339</v>
      </c>
      <c r="AP93" s="486">
        <f>J93+V93</f>
        <v>1774130</v>
      </c>
      <c r="AQ93" s="486">
        <f>K93+Y93</f>
        <v>15000</v>
      </c>
      <c r="AR93" s="486">
        <f>L93</f>
        <v>0</v>
      </c>
      <c r="AS93" s="486">
        <f t="shared" si="134"/>
        <v>604726</v>
      </c>
      <c r="AT93" s="486">
        <f t="shared" si="134"/>
        <v>35483</v>
      </c>
      <c r="AU93" s="486">
        <f>O93+AE93</f>
        <v>0</v>
      </c>
      <c r="AV93" s="501">
        <f>P93+AN93</f>
        <v>3.5313000000000003</v>
      </c>
      <c r="AW93" s="501">
        <f t="shared" si="135"/>
        <v>3.5313000000000003</v>
      </c>
      <c r="AX93" s="502">
        <f t="shared" si="135"/>
        <v>0</v>
      </c>
    </row>
    <row r="94" spans="1:50" s="695" customFormat="1" x14ac:dyDescent="0.2">
      <c r="A94" s="720">
        <v>17</v>
      </c>
      <c r="B94" s="721">
        <v>4454</v>
      </c>
      <c r="C94" s="721">
        <v>600074811</v>
      </c>
      <c r="D94" s="721">
        <v>48283070</v>
      </c>
      <c r="E94" s="712" t="s">
        <v>181</v>
      </c>
      <c r="F94" s="721">
        <v>3143</v>
      </c>
      <c r="G94" s="531" t="s">
        <v>635</v>
      </c>
      <c r="H94" s="701" t="s">
        <v>284</v>
      </c>
      <c r="I94" s="495">
        <v>84265</v>
      </c>
      <c r="J94" s="496">
        <v>59400</v>
      </c>
      <c r="K94" s="475">
        <v>0</v>
      </c>
      <c r="L94" s="475">
        <v>0</v>
      </c>
      <c r="M94" s="319">
        <v>20077</v>
      </c>
      <c r="N94" s="319">
        <v>1188</v>
      </c>
      <c r="O94" s="496">
        <v>3600</v>
      </c>
      <c r="P94" s="497">
        <v>0.25</v>
      </c>
      <c r="Q94" s="412">
        <v>0</v>
      </c>
      <c r="R94" s="764">
        <v>0.25</v>
      </c>
      <c r="S94" s="530">
        <f t="shared" si="131"/>
        <v>0</v>
      </c>
      <c r="T94" s="486">
        <v>0</v>
      </c>
      <c r="U94" s="486">
        <v>0</v>
      </c>
      <c r="V94" s="486">
        <f>SUM(S94:U94)</f>
        <v>0</v>
      </c>
      <c r="W94" s="486">
        <v>0</v>
      </c>
      <c r="X94" s="486">
        <v>0</v>
      </c>
      <c r="Y94" s="486">
        <f>SUM(W94:X94)</f>
        <v>0</v>
      </c>
      <c r="Z94" s="486">
        <f>V94+Y94</f>
        <v>0</v>
      </c>
      <c r="AA94" s="319">
        <f>ROUND((V94+W94)*33.8%,0)</f>
        <v>0</v>
      </c>
      <c r="AB94" s="178">
        <f>ROUND(V94*2%,0)</f>
        <v>0</v>
      </c>
      <c r="AC94" s="486">
        <v>0</v>
      </c>
      <c r="AD94" s="486">
        <v>0</v>
      </c>
      <c r="AE94" s="486">
        <f t="shared" si="121"/>
        <v>0</v>
      </c>
      <c r="AF94" s="486">
        <f t="shared" si="122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si="132"/>
        <v>0</v>
      </c>
      <c r="AM94" s="501">
        <f t="shared" si="133"/>
        <v>0</v>
      </c>
      <c r="AN94" s="502">
        <f t="shared" si="123"/>
        <v>0</v>
      </c>
      <c r="AO94" s="499">
        <f>I94+AF94</f>
        <v>84265</v>
      </c>
      <c r="AP94" s="486">
        <f>J94+V94</f>
        <v>59400</v>
      </c>
      <c r="AQ94" s="486">
        <f>K94+Y94</f>
        <v>0</v>
      </c>
      <c r="AR94" s="486">
        <f>L94</f>
        <v>0</v>
      </c>
      <c r="AS94" s="486">
        <f t="shared" si="134"/>
        <v>20077</v>
      </c>
      <c r="AT94" s="486">
        <f t="shared" si="134"/>
        <v>1188</v>
      </c>
      <c r="AU94" s="486">
        <f>O94+AE94</f>
        <v>3600</v>
      </c>
      <c r="AV94" s="501">
        <f>P94+AN94</f>
        <v>0.25</v>
      </c>
      <c r="AW94" s="501">
        <f t="shared" si="135"/>
        <v>0</v>
      </c>
      <c r="AX94" s="502">
        <f t="shared" si="135"/>
        <v>0.25</v>
      </c>
    </row>
    <row r="95" spans="1:50" s="695" customFormat="1" x14ac:dyDescent="0.2">
      <c r="A95" s="282">
        <v>17</v>
      </c>
      <c r="B95" s="27">
        <v>4454</v>
      </c>
      <c r="C95" s="27">
        <v>600074811</v>
      </c>
      <c r="D95" s="27">
        <v>48283070</v>
      </c>
      <c r="E95" s="292" t="s">
        <v>182</v>
      </c>
      <c r="F95" s="27"/>
      <c r="G95" s="281"/>
      <c r="H95" s="377"/>
      <c r="I95" s="5">
        <v>35547817</v>
      </c>
      <c r="J95" s="8">
        <v>25396775</v>
      </c>
      <c r="K95" s="8">
        <v>72288</v>
      </c>
      <c r="L95" s="8">
        <v>60088</v>
      </c>
      <c r="M95" s="8">
        <v>8588232</v>
      </c>
      <c r="N95" s="8">
        <v>507936</v>
      </c>
      <c r="O95" s="8">
        <v>982586</v>
      </c>
      <c r="P95" s="9">
        <v>53.039500000000011</v>
      </c>
      <c r="Q95" s="9">
        <v>37.487700000000004</v>
      </c>
      <c r="R95" s="33">
        <v>15.551800000000004</v>
      </c>
      <c r="S95" s="5">
        <f t="shared" ref="S95:AX95" si="136">SUM(S90:S94)</f>
        <v>-10000</v>
      </c>
      <c r="T95" s="8">
        <f t="shared" si="136"/>
        <v>0</v>
      </c>
      <c r="U95" s="8">
        <f t="shared" si="136"/>
        <v>0</v>
      </c>
      <c r="V95" s="8">
        <f t="shared" si="136"/>
        <v>-10000</v>
      </c>
      <c r="W95" s="8">
        <f t="shared" si="136"/>
        <v>10000</v>
      </c>
      <c r="X95" s="8">
        <f t="shared" si="136"/>
        <v>0</v>
      </c>
      <c r="Y95" s="8">
        <f t="shared" si="136"/>
        <v>10000</v>
      </c>
      <c r="Z95" s="8">
        <f t="shared" si="136"/>
        <v>0</v>
      </c>
      <c r="AA95" s="8">
        <f t="shared" si="136"/>
        <v>0</v>
      </c>
      <c r="AB95" s="8">
        <f t="shared" si="136"/>
        <v>-200</v>
      </c>
      <c r="AC95" s="8">
        <f t="shared" si="136"/>
        <v>0</v>
      </c>
      <c r="AD95" s="8">
        <f t="shared" si="136"/>
        <v>0</v>
      </c>
      <c r="AE95" s="8">
        <f t="shared" si="136"/>
        <v>0</v>
      </c>
      <c r="AF95" s="8">
        <f t="shared" si="136"/>
        <v>-200</v>
      </c>
      <c r="AG95" s="9">
        <f t="shared" si="136"/>
        <v>-0.03</v>
      </c>
      <c r="AH95" s="9">
        <f t="shared" si="136"/>
        <v>0</v>
      </c>
      <c r="AI95" s="9">
        <f t="shared" si="136"/>
        <v>0</v>
      </c>
      <c r="AJ95" s="9">
        <f t="shared" si="136"/>
        <v>0</v>
      </c>
      <c r="AK95" s="9">
        <f t="shared" si="136"/>
        <v>0</v>
      </c>
      <c r="AL95" s="9">
        <f t="shared" si="136"/>
        <v>-0.03</v>
      </c>
      <c r="AM95" s="9">
        <f t="shared" si="136"/>
        <v>0</v>
      </c>
      <c r="AN95" s="74">
        <f t="shared" si="136"/>
        <v>-0.03</v>
      </c>
      <c r="AO95" s="270">
        <f t="shared" si="136"/>
        <v>35547617</v>
      </c>
      <c r="AP95" s="8">
        <f t="shared" si="136"/>
        <v>25386775</v>
      </c>
      <c r="AQ95" s="38">
        <f t="shared" si="136"/>
        <v>82288</v>
      </c>
      <c r="AR95" s="38">
        <f t="shared" si="136"/>
        <v>60088</v>
      </c>
      <c r="AS95" s="8">
        <f t="shared" si="136"/>
        <v>8588232</v>
      </c>
      <c r="AT95" s="8">
        <f t="shared" si="136"/>
        <v>507736</v>
      </c>
      <c r="AU95" s="8">
        <f t="shared" si="136"/>
        <v>982586</v>
      </c>
      <c r="AV95" s="9">
        <f t="shared" si="136"/>
        <v>53.00950000000001</v>
      </c>
      <c r="AW95" s="9">
        <f t="shared" si="136"/>
        <v>37.457700000000003</v>
      </c>
      <c r="AX95" s="74">
        <f t="shared" si="136"/>
        <v>15.551800000000004</v>
      </c>
    </row>
    <row r="96" spans="1:50" s="695" customFormat="1" x14ac:dyDescent="0.2">
      <c r="A96" s="720">
        <v>18</v>
      </c>
      <c r="B96" s="721">
        <v>4479</v>
      </c>
      <c r="C96" s="721">
        <v>600075150</v>
      </c>
      <c r="D96" s="721">
        <v>70982228</v>
      </c>
      <c r="E96" s="722" t="s">
        <v>183</v>
      </c>
      <c r="F96" s="721">
        <v>3111</v>
      </c>
      <c r="G96" s="531" t="s">
        <v>317</v>
      </c>
      <c r="H96" s="767" t="s">
        <v>283</v>
      </c>
      <c r="I96" s="495">
        <v>1620712</v>
      </c>
      <c r="J96" s="496">
        <v>1180569</v>
      </c>
      <c r="K96" s="475">
        <v>0</v>
      </c>
      <c r="L96" s="475">
        <v>0</v>
      </c>
      <c r="M96" s="319">
        <v>399032</v>
      </c>
      <c r="N96" s="319">
        <v>23611</v>
      </c>
      <c r="O96" s="496">
        <v>17500</v>
      </c>
      <c r="P96" s="497">
        <v>2.5108999999999999</v>
      </c>
      <c r="Q96" s="412">
        <v>2</v>
      </c>
      <c r="R96" s="764">
        <v>0.51090000000000002</v>
      </c>
      <c r="S96" s="530">
        <f t="shared" ref="S96:S104" si="137">W96*-1</f>
        <v>0</v>
      </c>
      <c r="T96" s="486">
        <v>0</v>
      </c>
      <c r="U96" s="486">
        <v>0</v>
      </c>
      <c r="V96" s="486">
        <f t="shared" ref="V96:V104" si="138">SUM(S96:U96)</f>
        <v>0</v>
      </c>
      <c r="W96" s="486">
        <v>0</v>
      </c>
      <c r="X96" s="486">
        <v>0</v>
      </c>
      <c r="Y96" s="486">
        <f t="shared" ref="Y96:Y104" si="139">SUM(W96:X96)</f>
        <v>0</v>
      </c>
      <c r="Z96" s="486">
        <f t="shared" ref="Z96:Z104" si="140">V96+Y96</f>
        <v>0</v>
      </c>
      <c r="AA96" s="319">
        <f t="shared" ref="AA96:AA104" si="141">ROUND((V96+W96)*33.8%,0)</f>
        <v>0</v>
      </c>
      <c r="AB96" s="178">
        <f t="shared" ref="AB96:AB104" si="142">ROUND(V96*2%,0)</f>
        <v>0</v>
      </c>
      <c r="AC96" s="486">
        <v>0</v>
      </c>
      <c r="AD96" s="486">
        <v>0</v>
      </c>
      <c r="AE96" s="486">
        <f t="shared" si="121"/>
        <v>0</v>
      </c>
      <c r="AF96" s="486">
        <f t="shared" si="122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ref="AL96:AL104" si="143">AG96+AI96+AJ96</f>
        <v>0</v>
      </c>
      <c r="AM96" s="501">
        <f t="shared" ref="AM96:AM104" si="144">AH96+AK96</f>
        <v>0</v>
      </c>
      <c r="AN96" s="502">
        <f t="shared" si="123"/>
        <v>0</v>
      </c>
      <c r="AO96" s="499">
        <f t="shared" ref="AO96:AO104" si="145">I96+AF96</f>
        <v>1620712</v>
      </c>
      <c r="AP96" s="486">
        <f t="shared" ref="AP96:AP104" si="146">J96+V96</f>
        <v>1180569</v>
      </c>
      <c r="AQ96" s="486">
        <f t="shared" ref="AQ96:AQ104" si="147">K96+Y96</f>
        <v>0</v>
      </c>
      <c r="AR96" s="486">
        <f t="shared" ref="AR96:AR104" si="148">L96</f>
        <v>0</v>
      </c>
      <c r="AS96" s="486">
        <f t="shared" ref="AS96:AT104" si="149">M96+AA96</f>
        <v>399032</v>
      </c>
      <c r="AT96" s="486">
        <f t="shared" si="149"/>
        <v>23611</v>
      </c>
      <c r="AU96" s="486">
        <f t="shared" ref="AU96:AU104" si="150">O96+AE96</f>
        <v>17500</v>
      </c>
      <c r="AV96" s="501">
        <f t="shared" ref="AV96:AV104" si="151">P96+AN96</f>
        <v>2.5108999999999999</v>
      </c>
      <c r="AW96" s="501">
        <f t="shared" ref="AW96:AX104" si="152">Q96+AL96</f>
        <v>2</v>
      </c>
      <c r="AX96" s="502">
        <f t="shared" si="152"/>
        <v>0.51090000000000002</v>
      </c>
    </row>
    <row r="97" spans="1:50" s="695" customFormat="1" x14ac:dyDescent="0.2">
      <c r="A97" s="720">
        <v>18</v>
      </c>
      <c r="B97" s="721">
        <v>4479</v>
      </c>
      <c r="C97" s="721">
        <v>600075150</v>
      </c>
      <c r="D97" s="721">
        <v>70982228</v>
      </c>
      <c r="E97" s="722" t="s">
        <v>183</v>
      </c>
      <c r="F97" s="721">
        <v>3114</v>
      </c>
      <c r="G97" s="531" t="s">
        <v>564</v>
      </c>
      <c r="H97" s="767" t="s">
        <v>283</v>
      </c>
      <c r="I97" s="495">
        <v>33737117</v>
      </c>
      <c r="J97" s="496">
        <v>24238426</v>
      </c>
      <c r="K97" s="496">
        <v>71632</v>
      </c>
      <c r="L97" s="496">
        <v>71632</v>
      </c>
      <c r="M97" s="496">
        <v>8192588</v>
      </c>
      <c r="N97" s="496">
        <v>484770</v>
      </c>
      <c r="O97" s="496">
        <v>749701</v>
      </c>
      <c r="P97" s="497">
        <v>44.870199999999997</v>
      </c>
      <c r="Q97" s="412">
        <v>33.81</v>
      </c>
      <c r="R97" s="764">
        <v>11.060199999999995</v>
      </c>
      <c r="S97" s="530">
        <f t="shared" si="137"/>
        <v>0</v>
      </c>
      <c r="T97" s="486">
        <v>0</v>
      </c>
      <c r="U97" s="486">
        <v>0</v>
      </c>
      <c r="V97" s="486">
        <f t="shared" si="138"/>
        <v>0</v>
      </c>
      <c r="W97" s="486">
        <v>0</v>
      </c>
      <c r="X97" s="486">
        <v>0</v>
      </c>
      <c r="Y97" s="486">
        <f t="shared" si="139"/>
        <v>0</v>
      </c>
      <c r="Z97" s="486">
        <f t="shared" si="140"/>
        <v>0</v>
      </c>
      <c r="AA97" s="319">
        <f t="shared" si="141"/>
        <v>0</v>
      </c>
      <c r="AB97" s="178">
        <f t="shared" si="142"/>
        <v>0</v>
      </c>
      <c r="AC97" s="486">
        <v>0</v>
      </c>
      <c r="AD97" s="486">
        <v>0</v>
      </c>
      <c r="AE97" s="486">
        <f t="shared" si="121"/>
        <v>0</v>
      </c>
      <c r="AF97" s="486">
        <f t="shared" si="122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43"/>
        <v>0</v>
      </c>
      <c r="AM97" s="501">
        <f t="shared" si="144"/>
        <v>0</v>
      </c>
      <c r="AN97" s="502">
        <f t="shared" si="123"/>
        <v>0</v>
      </c>
      <c r="AO97" s="499">
        <f t="shared" si="145"/>
        <v>33737117</v>
      </c>
      <c r="AP97" s="486">
        <f t="shared" si="146"/>
        <v>24238426</v>
      </c>
      <c r="AQ97" s="486">
        <f t="shared" si="147"/>
        <v>71632</v>
      </c>
      <c r="AR97" s="486">
        <f t="shared" si="148"/>
        <v>71632</v>
      </c>
      <c r="AS97" s="486">
        <f t="shared" si="149"/>
        <v>8192588</v>
      </c>
      <c r="AT97" s="486">
        <f t="shared" si="149"/>
        <v>484770</v>
      </c>
      <c r="AU97" s="486">
        <f t="shared" si="150"/>
        <v>749701</v>
      </c>
      <c r="AV97" s="501">
        <f t="shared" si="151"/>
        <v>44.870199999999997</v>
      </c>
      <c r="AW97" s="501">
        <f t="shared" si="152"/>
        <v>33.81</v>
      </c>
      <c r="AX97" s="502">
        <f t="shared" si="152"/>
        <v>11.060199999999995</v>
      </c>
    </row>
    <row r="98" spans="1:50" s="695" customFormat="1" x14ac:dyDescent="0.2">
      <c r="A98" s="720">
        <v>18</v>
      </c>
      <c r="B98" s="721">
        <v>4479</v>
      </c>
      <c r="C98" s="721">
        <v>600075150</v>
      </c>
      <c r="D98" s="721">
        <v>70982228</v>
      </c>
      <c r="E98" s="722" t="s">
        <v>183</v>
      </c>
      <c r="F98" s="721">
        <v>3114</v>
      </c>
      <c r="G98" s="531" t="s">
        <v>319</v>
      </c>
      <c r="H98" s="767" t="s">
        <v>283</v>
      </c>
      <c r="I98" s="495">
        <v>9295534</v>
      </c>
      <c r="J98" s="496">
        <v>6845018</v>
      </c>
      <c r="K98" s="475">
        <v>0</v>
      </c>
      <c r="L98" s="475">
        <v>0</v>
      </c>
      <c r="M98" s="319">
        <v>2313616</v>
      </c>
      <c r="N98" s="319">
        <v>136900</v>
      </c>
      <c r="O98" s="496">
        <v>0</v>
      </c>
      <c r="P98" s="497">
        <v>19.370100000000001</v>
      </c>
      <c r="Q98" s="412">
        <v>19.370100000000001</v>
      </c>
      <c r="R98" s="764">
        <v>0</v>
      </c>
      <c r="S98" s="530">
        <f t="shared" si="137"/>
        <v>0</v>
      </c>
      <c r="T98" s="486">
        <v>0</v>
      </c>
      <c r="U98" s="486">
        <v>0</v>
      </c>
      <c r="V98" s="486">
        <f t="shared" si="138"/>
        <v>0</v>
      </c>
      <c r="W98" s="486">
        <v>0</v>
      </c>
      <c r="X98" s="486">
        <v>0</v>
      </c>
      <c r="Y98" s="486">
        <f t="shared" si="139"/>
        <v>0</v>
      </c>
      <c r="Z98" s="486">
        <f t="shared" si="140"/>
        <v>0</v>
      </c>
      <c r="AA98" s="319">
        <f t="shared" si="141"/>
        <v>0</v>
      </c>
      <c r="AB98" s="178">
        <f t="shared" si="142"/>
        <v>0</v>
      </c>
      <c r="AC98" s="486">
        <v>0</v>
      </c>
      <c r="AD98" s="486">
        <v>0</v>
      </c>
      <c r="AE98" s="486">
        <f t="shared" si="121"/>
        <v>0</v>
      </c>
      <c r="AF98" s="486">
        <f t="shared" si="122"/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si="143"/>
        <v>0</v>
      </c>
      <c r="AM98" s="501">
        <f t="shared" si="144"/>
        <v>0</v>
      </c>
      <c r="AN98" s="502">
        <f t="shared" si="123"/>
        <v>0</v>
      </c>
      <c r="AO98" s="499">
        <f t="shared" si="145"/>
        <v>9295534</v>
      </c>
      <c r="AP98" s="486">
        <f t="shared" si="146"/>
        <v>6845018</v>
      </c>
      <c r="AQ98" s="486">
        <f t="shared" si="147"/>
        <v>0</v>
      </c>
      <c r="AR98" s="486">
        <f t="shared" si="148"/>
        <v>0</v>
      </c>
      <c r="AS98" s="486">
        <f t="shared" si="149"/>
        <v>2313616</v>
      </c>
      <c r="AT98" s="486">
        <f t="shared" si="149"/>
        <v>136900</v>
      </c>
      <c r="AU98" s="486">
        <f t="shared" si="150"/>
        <v>0</v>
      </c>
      <c r="AV98" s="501">
        <f t="shared" si="151"/>
        <v>19.370100000000001</v>
      </c>
      <c r="AW98" s="501">
        <f t="shared" si="152"/>
        <v>19.370100000000001</v>
      </c>
      <c r="AX98" s="502">
        <f t="shared" si="152"/>
        <v>0</v>
      </c>
    </row>
    <row r="99" spans="1:50" s="695" customFormat="1" x14ac:dyDescent="0.2">
      <c r="A99" s="720">
        <v>18</v>
      </c>
      <c r="B99" s="721">
        <v>4479</v>
      </c>
      <c r="C99" s="721">
        <v>600075150</v>
      </c>
      <c r="D99" s="721">
        <v>70982228</v>
      </c>
      <c r="E99" s="722" t="s">
        <v>183</v>
      </c>
      <c r="F99" s="721">
        <v>3124</v>
      </c>
      <c r="G99" s="531" t="s">
        <v>326</v>
      </c>
      <c r="H99" s="767" t="s">
        <v>283</v>
      </c>
      <c r="I99" s="495">
        <v>2981436</v>
      </c>
      <c r="J99" s="496">
        <v>2173338</v>
      </c>
      <c r="K99" s="475">
        <v>444</v>
      </c>
      <c r="L99" s="475">
        <v>444</v>
      </c>
      <c r="M99" s="319">
        <v>734588</v>
      </c>
      <c r="N99" s="319">
        <v>43466</v>
      </c>
      <c r="O99" s="496">
        <v>29600</v>
      </c>
      <c r="P99" s="497">
        <v>3.903</v>
      </c>
      <c r="Q99" s="412">
        <v>3.14</v>
      </c>
      <c r="R99" s="764">
        <v>0.76300000000000001</v>
      </c>
      <c r="S99" s="530">
        <f t="shared" si="137"/>
        <v>0</v>
      </c>
      <c r="T99" s="486">
        <v>0</v>
      </c>
      <c r="U99" s="486">
        <v>0</v>
      </c>
      <c r="V99" s="486">
        <f t="shared" si="138"/>
        <v>0</v>
      </c>
      <c r="W99" s="486">
        <v>0</v>
      </c>
      <c r="X99" s="486">
        <v>0</v>
      </c>
      <c r="Y99" s="486">
        <f t="shared" si="139"/>
        <v>0</v>
      </c>
      <c r="Z99" s="486">
        <f t="shared" si="140"/>
        <v>0</v>
      </c>
      <c r="AA99" s="319">
        <f t="shared" si="141"/>
        <v>0</v>
      </c>
      <c r="AB99" s="178">
        <f t="shared" si="142"/>
        <v>0</v>
      </c>
      <c r="AC99" s="486">
        <v>0</v>
      </c>
      <c r="AD99" s="486">
        <v>0</v>
      </c>
      <c r="AE99" s="486">
        <f t="shared" si="121"/>
        <v>0</v>
      </c>
      <c r="AF99" s="486">
        <f t="shared" si="122"/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si="143"/>
        <v>0</v>
      </c>
      <c r="AM99" s="501">
        <f t="shared" si="144"/>
        <v>0</v>
      </c>
      <c r="AN99" s="502">
        <f t="shared" si="123"/>
        <v>0</v>
      </c>
      <c r="AO99" s="499">
        <f t="shared" si="145"/>
        <v>2981436</v>
      </c>
      <c r="AP99" s="486">
        <f t="shared" si="146"/>
        <v>2173338</v>
      </c>
      <c r="AQ99" s="486">
        <f t="shared" si="147"/>
        <v>444</v>
      </c>
      <c r="AR99" s="486">
        <f t="shared" si="148"/>
        <v>444</v>
      </c>
      <c r="AS99" s="486">
        <f t="shared" si="149"/>
        <v>734588</v>
      </c>
      <c r="AT99" s="486">
        <f t="shared" si="149"/>
        <v>43466</v>
      </c>
      <c r="AU99" s="486">
        <f t="shared" si="150"/>
        <v>29600</v>
      </c>
      <c r="AV99" s="501">
        <f t="shared" si="151"/>
        <v>3.903</v>
      </c>
      <c r="AW99" s="501">
        <f t="shared" si="152"/>
        <v>3.14</v>
      </c>
      <c r="AX99" s="502">
        <f t="shared" si="152"/>
        <v>0.76300000000000001</v>
      </c>
    </row>
    <row r="100" spans="1:50" s="695" customFormat="1" x14ac:dyDescent="0.2">
      <c r="A100" s="720">
        <v>18</v>
      </c>
      <c r="B100" s="721">
        <v>4479</v>
      </c>
      <c r="C100" s="721">
        <v>600075150</v>
      </c>
      <c r="D100" s="721">
        <v>70982228</v>
      </c>
      <c r="E100" s="722" t="s">
        <v>183</v>
      </c>
      <c r="F100" s="721">
        <v>3124</v>
      </c>
      <c r="G100" s="531" t="s">
        <v>327</v>
      </c>
      <c r="H100" s="767" t="s">
        <v>283</v>
      </c>
      <c r="I100" s="495">
        <v>670495</v>
      </c>
      <c r="J100" s="496">
        <v>493737</v>
      </c>
      <c r="K100" s="475">
        <v>0</v>
      </c>
      <c r="L100" s="475">
        <v>0</v>
      </c>
      <c r="M100" s="319">
        <v>166883</v>
      </c>
      <c r="N100" s="319">
        <v>9875</v>
      </c>
      <c r="O100" s="496">
        <v>0</v>
      </c>
      <c r="P100" s="497">
        <v>1.5799000000000001</v>
      </c>
      <c r="Q100" s="412">
        <v>1.5799000000000001</v>
      </c>
      <c r="R100" s="764">
        <v>0</v>
      </c>
      <c r="S100" s="530">
        <f t="shared" si="137"/>
        <v>0</v>
      </c>
      <c r="T100" s="486">
        <v>0</v>
      </c>
      <c r="U100" s="486">
        <v>0</v>
      </c>
      <c r="V100" s="486">
        <f t="shared" si="138"/>
        <v>0</v>
      </c>
      <c r="W100" s="486">
        <v>0</v>
      </c>
      <c r="X100" s="486">
        <v>0</v>
      </c>
      <c r="Y100" s="486">
        <f t="shared" si="139"/>
        <v>0</v>
      </c>
      <c r="Z100" s="486">
        <f t="shared" si="140"/>
        <v>0</v>
      </c>
      <c r="AA100" s="319">
        <f t="shared" si="141"/>
        <v>0</v>
      </c>
      <c r="AB100" s="178">
        <f t="shared" si="142"/>
        <v>0</v>
      </c>
      <c r="AC100" s="486">
        <v>0</v>
      </c>
      <c r="AD100" s="486">
        <v>0</v>
      </c>
      <c r="AE100" s="486">
        <f t="shared" si="121"/>
        <v>0</v>
      </c>
      <c r="AF100" s="486">
        <f t="shared" si="122"/>
        <v>0</v>
      </c>
      <c r="AG100" s="501">
        <v>0</v>
      </c>
      <c r="AH100" s="501">
        <v>0</v>
      </c>
      <c r="AI100" s="501">
        <v>0</v>
      </c>
      <c r="AJ100" s="501">
        <v>0</v>
      </c>
      <c r="AK100" s="501">
        <v>0</v>
      </c>
      <c r="AL100" s="501">
        <f t="shared" si="143"/>
        <v>0</v>
      </c>
      <c r="AM100" s="501">
        <f t="shared" si="144"/>
        <v>0</v>
      </c>
      <c r="AN100" s="502">
        <f t="shared" si="123"/>
        <v>0</v>
      </c>
      <c r="AO100" s="499">
        <f t="shared" si="145"/>
        <v>670495</v>
      </c>
      <c r="AP100" s="486">
        <f t="shared" si="146"/>
        <v>493737</v>
      </c>
      <c r="AQ100" s="486">
        <f t="shared" si="147"/>
        <v>0</v>
      </c>
      <c r="AR100" s="486">
        <f t="shared" si="148"/>
        <v>0</v>
      </c>
      <c r="AS100" s="486">
        <f t="shared" si="149"/>
        <v>166883</v>
      </c>
      <c r="AT100" s="486">
        <f t="shared" si="149"/>
        <v>9875</v>
      </c>
      <c r="AU100" s="486">
        <f t="shared" si="150"/>
        <v>0</v>
      </c>
      <c r="AV100" s="501">
        <f t="shared" si="151"/>
        <v>1.5799000000000001</v>
      </c>
      <c r="AW100" s="501">
        <f t="shared" si="152"/>
        <v>1.5799000000000001</v>
      </c>
      <c r="AX100" s="502">
        <f t="shared" si="152"/>
        <v>0</v>
      </c>
    </row>
    <row r="101" spans="1:50" s="695" customFormat="1" x14ac:dyDescent="0.2">
      <c r="A101" s="720">
        <v>18</v>
      </c>
      <c r="B101" s="721">
        <v>4479</v>
      </c>
      <c r="C101" s="721">
        <v>600075150</v>
      </c>
      <c r="D101" s="721">
        <v>70982228</v>
      </c>
      <c r="E101" s="712" t="s">
        <v>183</v>
      </c>
      <c r="F101" s="721">
        <v>3141</v>
      </c>
      <c r="G101" s="531" t="s">
        <v>321</v>
      </c>
      <c r="H101" s="767" t="s">
        <v>284</v>
      </c>
      <c r="I101" s="495">
        <v>1512311</v>
      </c>
      <c r="J101" s="496">
        <v>1106382</v>
      </c>
      <c r="K101" s="475">
        <v>0</v>
      </c>
      <c r="L101" s="475">
        <v>0</v>
      </c>
      <c r="M101" s="319">
        <v>373957</v>
      </c>
      <c r="N101" s="319">
        <v>22128</v>
      </c>
      <c r="O101" s="496">
        <v>9844</v>
      </c>
      <c r="P101" s="497">
        <v>3.7600000000000002</v>
      </c>
      <c r="Q101" s="412">
        <v>0</v>
      </c>
      <c r="R101" s="764">
        <v>3.7600000000000002</v>
      </c>
      <c r="S101" s="530">
        <f t="shared" si="137"/>
        <v>0</v>
      </c>
      <c r="T101" s="486">
        <v>0</v>
      </c>
      <c r="U101" s="486">
        <v>0</v>
      </c>
      <c r="V101" s="486">
        <f t="shared" si="138"/>
        <v>0</v>
      </c>
      <c r="W101" s="486">
        <v>0</v>
      </c>
      <c r="X101" s="486">
        <v>0</v>
      </c>
      <c r="Y101" s="486">
        <f t="shared" si="139"/>
        <v>0</v>
      </c>
      <c r="Z101" s="486">
        <f t="shared" si="140"/>
        <v>0</v>
      </c>
      <c r="AA101" s="319">
        <f t="shared" si="141"/>
        <v>0</v>
      </c>
      <c r="AB101" s="178">
        <f t="shared" si="142"/>
        <v>0</v>
      </c>
      <c r="AC101" s="486">
        <v>0</v>
      </c>
      <c r="AD101" s="486">
        <v>0</v>
      </c>
      <c r="AE101" s="486">
        <f t="shared" si="121"/>
        <v>0</v>
      </c>
      <c r="AF101" s="486">
        <f t="shared" si="122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si="143"/>
        <v>0</v>
      </c>
      <c r="AM101" s="501">
        <f t="shared" si="144"/>
        <v>0</v>
      </c>
      <c r="AN101" s="502">
        <f t="shared" si="123"/>
        <v>0</v>
      </c>
      <c r="AO101" s="499">
        <f t="shared" si="145"/>
        <v>1512311</v>
      </c>
      <c r="AP101" s="486">
        <f t="shared" si="146"/>
        <v>1106382</v>
      </c>
      <c r="AQ101" s="486">
        <f t="shared" si="147"/>
        <v>0</v>
      </c>
      <c r="AR101" s="486">
        <f t="shared" si="148"/>
        <v>0</v>
      </c>
      <c r="AS101" s="486">
        <f t="shared" si="149"/>
        <v>373957</v>
      </c>
      <c r="AT101" s="486">
        <f t="shared" si="149"/>
        <v>22128</v>
      </c>
      <c r="AU101" s="486">
        <f t="shared" si="150"/>
        <v>9844</v>
      </c>
      <c r="AV101" s="501">
        <f t="shared" si="151"/>
        <v>3.7600000000000002</v>
      </c>
      <c r="AW101" s="501">
        <f t="shared" si="152"/>
        <v>0</v>
      </c>
      <c r="AX101" s="502">
        <f t="shared" si="152"/>
        <v>3.7600000000000002</v>
      </c>
    </row>
    <row r="102" spans="1:50" s="695" customFormat="1" x14ac:dyDescent="0.2">
      <c r="A102" s="720">
        <v>18</v>
      </c>
      <c r="B102" s="721">
        <v>4479</v>
      </c>
      <c r="C102" s="721">
        <v>600075150</v>
      </c>
      <c r="D102" s="721">
        <v>70982228</v>
      </c>
      <c r="E102" s="722" t="s">
        <v>183</v>
      </c>
      <c r="F102" s="721">
        <v>3143</v>
      </c>
      <c r="G102" s="531" t="s">
        <v>634</v>
      </c>
      <c r="H102" s="701" t="s">
        <v>283</v>
      </c>
      <c r="I102" s="495">
        <v>2175182</v>
      </c>
      <c r="J102" s="496">
        <v>1601754</v>
      </c>
      <c r="K102" s="475">
        <v>0</v>
      </c>
      <c r="L102" s="475">
        <v>0</v>
      </c>
      <c r="M102" s="319">
        <v>541393</v>
      </c>
      <c r="N102" s="319">
        <v>32035</v>
      </c>
      <c r="O102" s="496">
        <v>0</v>
      </c>
      <c r="P102" s="497">
        <v>3.4786999999999999</v>
      </c>
      <c r="Q102" s="412">
        <v>3.4786999999999999</v>
      </c>
      <c r="R102" s="764">
        <v>0</v>
      </c>
      <c r="S102" s="530">
        <f t="shared" si="137"/>
        <v>0</v>
      </c>
      <c r="T102" s="486">
        <v>0</v>
      </c>
      <c r="U102" s="486">
        <v>0</v>
      </c>
      <c r="V102" s="486">
        <f t="shared" si="138"/>
        <v>0</v>
      </c>
      <c r="W102" s="486">
        <v>0</v>
      </c>
      <c r="X102" s="486">
        <v>0</v>
      </c>
      <c r="Y102" s="486">
        <f t="shared" si="139"/>
        <v>0</v>
      </c>
      <c r="Z102" s="486">
        <f t="shared" si="140"/>
        <v>0</v>
      </c>
      <c r="AA102" s="319">
        <f t="shared" si="141"/>
        <v>0</v>
      </c>
      <c r="AB102" s="178">
        <f t="shared" si="142"/>
        <v>0</v>
      </c>
      <c r="AC102" s="486">
        <v>0</v>
      </c>
      <c r="AD102" s="486">
        <v>0</v>
      </c>
      <c r="AE102" s="486">
        <f t="shared" si="121"/>
        <v>0</v>
      </c>
      <c r="AF102" s="486">
        <f t="shared" si="122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143"/>
        <v>0</v>
      </c>
      <c r="AM102" s="501">
        <f t="shared" si="144"/>
        <v>0</v>
      </c>
      <c r="AN102" s="502">
        <f t="shared" si="123"/>
        <v>0</v>
      </c>
      <c r="AO102" s="499">
        <f t="shared" si="145"/>
        <v>2175182</v>
      </c>
      <c r="AP102" s="486">
        <f t="shared" si="146"/>
        <v>1601754</v>
      </c>
      <c r="AQ102" s="486">
        <f t="shared" si="147"/>
        <v>0</v>
      </c>
      <c r="AR102" s="486">
        <f t="shared" si="148"/>
        <v>0</v>
      </c>
      <c r="AS102" s="486">
        <f t="shared" si="149"/>
        <v>541393</v>
      </c>
      <c r="AT102" s="486">
        <f t="shared" si="149"/>
        <v>32035</v>
      </c>
      <c r="AU102" s="486">
        <f t="shared" si="150"/>
        <v>0</v>
      </c>
      <c r="AV102" s="501">
        <f t="shared" si="151"/>
        <v>3.4786999999999999</v>
      </c>
      <c r="AW102" s="501">
        <f t="shared" si="152"/>
        <v>3.4786999999999999</v>
      </c>
      <c r="AX102" s="502">
        <f t="shared" si="152"/>
        <v>0</v>
      </c>
    </row>
    <row r="103" spans="1:50" s="695" customFormat="1" x14ac:dyDescent="0.2">
      <c r="A103" s="720">
        <v>18</v>
      </c>
      <c r="B103" s="721">
        <v>4479</v>
      </c>
      <c r="C103" s="721">
        <v>600075150</v>
      </c>
      <c r="D103" s="721">
        <v>70982228</v>
      </c>
      <c r="E103" s="722" t="s">
        <v>183</v>
      </c>
      <c r="F103" s="721">
        <v>3143</v>
      </c>
      <c r="G103" s="531" t="s">
        <v>635</v>
      </c>
      <c r="H103" s="701" t="s">
        <v>284</v>
      </c>
      <c r="I103" s="495">
        <v>29493</v>
      </c>
      <c r="J103" s="496">
        <v>20790</v>
      </c>
      <c r="K103" s="475">
        <v>0</v>
      </c>
      <c r="L103" s="475">
        <v>0</v>
      </c>
      <c r="M103" s="319">
        <v>7027</v>
      </c>
      <c r="N103" s="319">
        <v>416</v>
      </c>
      <c r="O103" s="496">
        <v>1260</v>
      </c>
      <c r="P103" s="497">
        <v>0.08</v>
      </c>
      <c r="Q103" s="412">
        <v>0</v>
      </c>
      <c r="R103" s="764">
        <v>0.08</v>
      </c>
      <c r="S103" s="530">
        <f t="shared" si="137"/>
        <v>0</v>
      </c>
      <c r="T103" s="486">
        <v>0</v>
      </c>
      <c r="U103" s="486">
        <v>0</v>
      </c>
      <c r="V103" s="486">
        <f t="shared" si="138"/>
        <v>0</v>
      </c>
      <c r="W103" s="486">
        <v>0</v>
      </c>
      <c r="X103" s="486">
        <v>0</v>
      </c>
      <c r="Y103" s="486">
        <f t="shared" si="139"/>
        <v>0</v>
      </c>
      <c r="Z103" s="486">
        <f t="shared" si="140"/>
        <v>0</v>
      </c>
      <c r="AA103" s="319">
        <f t="shared" si="141"/>
        <v>0</v>
      </c>
      <c r="AB103" s="178">
        <f t="shared" si="142"/>
        <v>0</v>
      </c>
      <c r="AC103" s="486">
        <v>0</v>
      </c>
      <c r="AD103" s="486">
        <v>0</v>
      </c>
      <c r="AE103" s="486">
        <f t="shared" si="121"/>
        <v>0</v>
      </c>
      <c r="AF103" s="486">
        <f t="shared" si="122"/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143"/>
        <v>0</v>
      </c>
      <c r="AM103" s="501">
        <f t="shared" si="144"/>
        <v>0</v>
      </c>
      <c r="AN103" s="502">
        <f t="shared" si="123"/>
        <v>0</v>
      </c>
      <c r="AO103" s="499">
        <f t="shared" si="145"/>
        <v>29493</v>
      </c>
      <c r="AP103" s="486">
        <f t="shared" si="146"/>
        <v>20790</v>
      </c>
      <c r="AQ103" s="486">
        <f t="shared" si="147"/>
        <v>0</v>
      </c>
      <c r="AR103" s="486">
        <f t="shared" si="148"/>
        <v>0</v>
      </c>
      <c r="AS103" s="486">
        <f t="shared" si="149"/>
        <v>7027</v>
      </c>
      <c r="AT103" s="486">
        <f t="shared" si="149"/>
        <v>416</v>
      </c>
      <c r="AU103" s="486">
        <f t="shared" si="150"/>
        <v>1260</v>
      </c>
      <c r="AV103" s="501">
        <f t="shared" si="151"/>
        <v>0.08</v>
      </c>
      <c r="AW103" s="501">
        <f t="shared" si="152"/>
        <v>0</v>
      </c>
      <c r="AX103" s="502">
        <f t="shared" si="152"/>
        <v>0.08</v>
      </c>
    </row>
    <row r="104" spans="1:50" s="695" customFormat="1" x14ac:dyDescent="0.2">
      <c r="A104" s="720">
        <v>18</v>
      </c>
      <c r="B104" s="721">
        <v>4479</v>
      </c>
      <c r="C104" s="721">
        <v>600075150</v>
      </c>
      <c r="D104" s="721">
        <v>70982228</v>
      </c>
      <c r="E104" s="722" t="s">
        <v>183</v>
      </c>
      <c r="F104" s="721">
        <v>3143</v>
      </c>
      <c r="G104" s="531" t="s">
        <v>323</v>
      </c>
      <c r="H104" s="701" t="s">
        <v>284</v>
      </c>
      <c r="I104" s="495">
        <v>327152</v>
      </c>
      <c r="J104" s="496">
        <v>240510</v>
      </c>
      <c r="K104" s="475">
        <v>0</v>
      </c>
      <c r="L104" s="475">
        <v>0</v>
      </c>
      <c r="M104" s="319">
        <v>81292</v>
      </c>
      <c r="N104" s="319">
        <v>4810</v>
      </c>
      <c r="O104" s="496">
        <v>540</v>
      </c>
      <c r="P104" s="497">
        <v>0.54</v>
      </c>
      <c r="Q104" s="412">
        <v>0.5</v>
      </c>
      <c r="R104" s="764">
        <v>0.04</v>
      </c>
      <c r="S104" s="530">
        <f t="shared" si="137"/>
        <v>0</v>
      </c>
      <c r="T104" s="486">
        <v>0</v>
      </c>
      <c r="U104" s="486">
        <v>0</v>
      </c>
      <c r="V104" s="486">
        <f t="shared" si="138"/>
        <v>0</v>
      </c>
      <c r="W104" s="486">
        <v>0</v>
      </c>
      <c r="X104" s="486">
        <v>0</v>
      </c>
      <c r="Y104" s="486">
        <f t="shared" si="139"/>
        <v>0</v>
      </c>
      <c r="Z104" s="486">
        <f t="shared" si="140"/>
        <v>0</v>
      </c>
      <c r="AA104" s="319">
        <f t="shared" si="141"/>
        <v>0</v>
      </c>
      <c r="AB104" s="178">
        <f t="shared" si="142"/>
        <v>0</v>
      </c>
      <c r="AC104" s="486">
        <v>0</v>
      </c>
      <c r="AD104" s="486">
        <v>0</v>
      </c>
      <c r="AE104" s="486">
        <f t="shared" si="121"/>
        <v>0</v>
      </c>
      <c r="AF104" s="486">
        <f t="shared" si="122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si="143"/>
        <v>0</v>
      </c>
      <c r="AM104" s="501">
        <f t="shared" si="144"/>
        <v>0</v>
      </c>
      <c r="AN104" s="502">
        <f t="shared" si="123"/>
        <v>0</v>
      </c>
      <c r="AO104" s="499">
        <f t="shared" si="145"/>
        <v>327152</v>
      </c>
      <c r="AP104" s="486">
        <f t="shared" si="146"/>
        <v>240510</v>
      </c>
      <c r="AQ104" s="486">
        <f t="shared" si="147"/>
        <v>0</v>
      </c>
      <c r="AR104" s="486">
        <f t="shared" si="148"/>
        <v>0</v>
      </c>
      <c r="AS104" s="486">
        <f t="shared" si="149"/>
        <v>81292</v>
      </c>
      <c r="AT104" s="486">
        <f t="shared" si="149"/>
        <v>4810</v>
      </c>
      <c r="AU104" s="486">
        <f t="shared" si="150"/>
        <v>540</v>
      </c>
      <c r="AV104" s="501">
        <f t="shared" si="151"/>
        <v>0.54</v>
      </c>
      <c r="AW104" s="501">
        <f t="shared" si="152"/>
        <v>0.5</v>
      </c>
      <c r="AX104" s="502">
        <f t="shared" si="152"/>
        <v>0.04</v>
      </c>
    </row>
    <row r="105" spans="1:50" s="695" customFormat="1" x14ac:dyDescent="0.2">
      <c r="A105" s="282">
        <v>18</v>
      </c>
      <c r="B105" s="27">
        <v>4479</v>
      </c>
      <c r="C105" s="27">
        <v>600075150</v>
      </c>
      <c r="D105" s="27">
        <v>70982228</v>
      </c>
      <c r="E105" s="292" t="s">
        <v>184</v>
      </c>
      <c r="F105" s="27"/>
      <c r="G105" s="281"/>
      <c r="H105" s="377"/>
      <c r="I105" s="5">
        <v>52349432</v>
      </c>
      <c r="J105" s="8">
        <v>37900524</v>
      </c>
      <c r="K105" s="8">
        <v>72076</v>
      </c>
      <c r="L105" s="8">
        <v>72076</v>
      </c>
      <c r="M105" s="8">
        <v>12810376</v>
      </c>
      <c r="N105" s="8">
        <v>758011</v>
      </c>
      <c r="O105" s="8">
        <v>808445</v>
      </c>
      <c r="P105" s="9">
        <v>80.092800000000011</v>
      </c>
      <c r="Q105" s="9">
        <v>63.878700000000009</v>
      </c>
      <c r="R105" s="33">
        <v>16.214099999999991</v>
      </c>
      <c r="S105" s="5">
        <f t="shared" ref="S105:AX105" si="153">SUM(S96:S104)</f>
        <v>0</v>
      </c>
      <c r="T105" s="8">
        <f t="shared" si="153"/>
        <v>0</v>
      </c>
      <c r="U105" s="8">
        <f t="shared" si="153"/>
        <v>0</v>
      </c>
      <c r="V105" s="8">
        <f t="shared" si="153"/>
        <v>0</v>
      </c>
      <c r="W105" s="8">
        <f t="shared" si="153"/>
        <v>0</v>
      </c>
      <c r="X105" s="8">
        <f t="shared" si="153"/>
        <v>0</v>
      </c>
      <c r="Y105" s="8">
        <f t="shared" si="153"/>
        <v>0</v>
      </c>
      <c r="Z105" s="8">
        <f t="shared" si="153"/>
        <v>0</v>
      </c>
      <c r="AA105" s="8">
        <f t="shared" si="153"/>
        <v>0</v>
      </c>
      <c r="AB105" s="8">
        <f t="shared" si="153"/>
        <v>0</v>
      </c>
      <c r="AC105" s="8">
        <f t="shared" si="153"/>
        <v>0</v>
      </c>
      <c r="AD105" s="8">
        <f t="shared" si="153"/>
        <v>0</v>
      </c>
      <c r="AE105" s="8">
        <f t="shared" si="153"/>
        <v>0</v>
      </c>
      <c r="AF105" s="8">
        <f t="shared" si="153"/>
        <v>0</v>
      </c>
      <c r="AG105" s="9">
        <f t="shared" si="153"/>
        <v>0</v>
      </c>
      <c r="AH105" s="9">
        <f t="shared" si="153"/>
        <v>0</v>
      </c>
      <c r="AI105" s="9">
        <f t="shared" si="153"/>
        <v>0</v>
      </c>
      <c r="AJ105" s="9">
        <f t="shared" si="153"/>
        <v>0</v>
      </c>
      <c r="AK105" s="9">
        <f t="shared" si="153"/>
        <v>0</v>
      </c>
      <c r="AL105" s="9">
        <f t="shared" si="153"/>
        <v>0</v>
      </c>
      <c r="AM105" s="9">
        <f t="shared" si="153"/>
        <v>0</v>
      </c>
      <c r="AN105" s="74">
        <f t="shared" si="153"/>
        <v>0</v>
      </c>
      <c r="AO105" s="270">
        <f t="shared" si="153"/>
        <v>52349432</v>
      </c>
      <c r="AP105" s="8">
        <f t="shared" si="153"/>
        <v>37900524</v>
      </c>
      <c r="AQ105" s="38">
        <f t="shared" si="153"/>
        <v>72076</v>
      </c>
      <c r="AR105" s="38">
        <f t="shared" si="153"/>
        <v>72076</v>
      </c>
      <c r="AS105" s="8">
        <f t="shared" si="153"/>
        <v>12810376</v>
      </c>
      <c r="AT105" s="8">
        <f t="shared" si="153"/>
        <v>758011</v>
      </c>
      <c r="AU105" s="8">
        <f t="shared" si="153"/>
        <v>808445</v>
      </c>
      <c r="AV105" s="9">
        <f t="shared" si="153"/>
        <v>80.092800000000011</v>
      </c>
      <c r="AW105" s="9">
        <f t="shared" si="153"/>
        <v>63.878700000000009</v>
      </c>
      <c r="AX105" s="74">
        <f t="shared" si="153"/>
        <v>16.214099999999991</v>
      </c>
    </row>
    <row r="106" spans="1:50" s="695" customFormat="1" x14ac:dyDescent="0.2">
      <c r="A106" s="720">
        <v>19</v>
      </c>
      <c r="B106" s="721">
        <v>4473</v>
      </c>
      <c r="C106" s="721">
        <v>600075117</v>
      </c>
      <c r="D106" s="721">
        <v>62237021</v>
      </c>
      <c r="E106" s="722" t="s">
        <v>185</v>
      </c>
      <c r="F106" s="721">
        <v>3231</v>
      </c>
      <c r="G106" s="531" t="s">
        <v>322</v>
      </c>
      <c r="H106" s="767" t="s">
        <v>283</v>
      </c>
      <c r="I106" s="495">
        <v>30188155</v>
      </c>
      <c r="J106" s="496">
        <v>22129555</v>
      </c>
      <c r="K106" s="496">
        <v>33800</v>
      </c>
      <c r="L106" s="496">
        <v>0</v>
      </c>
      <c r="M106" s="496">
        <v>7491214</v>
      </c>
      <c r="N106" s="496">
        <v>442591</v>
      </c>
      <c r="O106" s="496">
        <v>90995</v>
      </c>
      <c r="P106" s="497">
        <v>43.269500000000001</v>
      </c>
      <c r="Q106" s="412">
        <v>38.951799999999999</v>
      </c>
      <c r="R106" s="764">
        <v>4.3177000000000003</v>
      </c>
      <c r="S106" s="530">
        <f>W106*-1</f>
        <v>0</v>
      </c>
      <c r="T106" s="486">
        <v>0</v>
      </c>
      <c r="U106" s="486">
        <v>-18409</v>
      </c>
      <c r="V106" s="486">
        <f>SUM(S106:U106)</f>
        <v>-18409</v>
      </c>
      <c r="W106" s="486">
        <v>0</v>
      </c>
      <c r="X106" s="486">
        <v>0</v>
      </c>
      <c r="Y106" s="486">
        <f>SUM(W106:X106)</f>
        <v>0</v>
      </c>
      <c r="Z106" s="486">
        <f>V106+Y106</f>
        <v>-18409</v>
      </c>
      <c r="AA106" s="319">
        <f>ROUND((V106+W106)*33.8%,0)</f>
        <v>-6222</v>
      </c>
      <c r="AB106" s="178">
        <f>ROUND(V106*2%,0)</f>
        <v>-368</v>
      </c>
      <c r="AC106" s="486">
        <v>0</v>
      </c>
      <c r="AD106" s="486">
        <v>24999</v>
      </c>
      <c r="AE106" s="486">
        <f t="shared" si="121"/>
        <v>24999</v>
      </c>
      <c r="AF106" s="486">
        <f t="shared" si="122"/>
        <v>0</v>
      </c>
      <c r="AG106" s="501">
        <v>0</v>
      </c>
      <c r="AH106" s="501">
        <v>0</v>
      </c>
      <c r="AI106" s="501">
        <v>0</v>
      </c>
      <c r="AJ106" s="501">
        <v>0</v>
      </c>
      <c r="AK106" s="501">
        <v>0</v>
      </c>
      <c r="AL106" s="501">
        <f>AG106+AI106+AJ106</f>
        <v>0</v>
      </c>
      <c r="AM106" s="501">
        <f>AH106+AK106</f>
        <v>0</v>
      </c>
      <c r="AN106" s="502">
        <f t="shared" si="123"/>
        <v>0</v>
      </c>
      <c r="AO106" s="499">
        <f>I106+AF106</f>
        <v>30188155</v>
      </c>
      <c r="AP106" s="486">
        <f>J106+V106</f>
        <v>22111146</v>
      </c>
      <c r="AQ106" s="486">
        <f>K106+Y106</f>
        <v>33800</v>
      </c>
      <c r="AR106" s="486">
        <f>L106</f>
        <v>0</v>
      </c>
      <c r="AS106" s="486">
        <f>M106+AA106</f>
        <v>7484992</v>
      </c>
      <c r="AT106" s="486">
        <f>N106+AB106</f>
        <v>442223</v>
      </c>
      <c r="AU106" s="486">
        <f>O106+AE106</f>
        <v>115994</v>
      </c>
      <c r="AV106" s="501">
        <f>P106+AN106</f>
        <v>43.269500000000001</v>
      </c>
      <c r="AW106" s="501">
        <f>Q106+AL106</f>
        <v>38.951799999999999</v>
      </c>
      <c r="AX106" s="502">
        <f>R106+AM106</f>
        <v>4.3177000000000003</v>
      </c>
    </row>
    <row r="107" spans="1:50" s="695" customFormat="1" x14ac:dyDescent="0.2">
      <c r="A107" s="282">
        <v>19</v>
      </c>
      <c r="B107" s="27">
        <v>4473</v>
      </c>
      <c r="C107" s="27">
        <v>600075117</v>
      </c>
      <c r="D107" s="27">
        <v>62237021</v>
      </c>
      <c r="E107" s="292" t="s">
        <v>186</v>
      </c>
      <c r="F107" s="27"/>
      <c r="G107" s="281"/>
      <c r="H107" s="377"/>
      <c r="I107" s="5">
        <v>30188155</v>
      </c>
      <c r="J107" s="8">
        <v>22129555</v>
      </c>
      <c r="K107" s="8">
        <v>33800</v>
      </c>
      <c r="L107" s="8">
        <v>0</v>
      </c>
      <c r="M107" s="8">
        <v>7491214</v>
      </c>
      <c r="N107" s="8">
        <v>442591</v>
      </c>
      <c r="O107" s="8">
        <v>90995</v>
      </c>
      <c r="P107" s="9">
        <v>43.269500000000001</v>
      </c>
      <c r="Q107" s="9">
        <v>38.951799999999999</v>
      </c>
      <c r="R107" s="33">
        <v>4.3177000000000003</v>
      </c>
      <c r="S107" s="5">
        <f t="shared" ref="S107:AX107" si="154">SUM(S106)</f>
        <v>0</v>
      </c>
      <c r="T107" s="8">
        <f t="shared" si="154"/>
        <v>0</v>
      </c>
      <c r="U107" s="8">
        <f t="shared" si="154"/>
        <v>-18409</v>
      </c>
      <c r="V107" s="8">
        <f t="shared" si="154"/>
        <v>-18409</v>
      </c>
      <c r="W107" s="8">
        <f t="shared" si="154"/>
        <v>0</v>
      </c>
      <c r="X107" s="8">
        <f t="shared" si="154"/>
        <v>0</v>
      </c>
      <c r="Y107" s="8">
        <f t="shared" si="154"/>
        <v>0</v>
      </c>
      <c r="Z107" s="8">
        <f t="shared" si="154"/>
        <v>-18409</v>
      </c>
      <c r="AA107" s="8">
        <f t="shared" si="154"/>
        <v>-6222</v>
      </c>
      <c r="AB107" s="8">
        <f t="shared" si="154"/>
        <v>-368</v>
      </c>
      <c r="AC107" s="8">
        <f t="shared" si="154"/>
        <v>0</v>
      </c>
      <c r="AD107" s="8">
        <f t="shared" si="154"/>
        <v>24999</v>
      </c>
      <c r="AE107" s="8">
        <f t="shared" si="154"/>
        <v>24999</v>
      </c>
      <c r="AF107" s="8">
        <f t="shared" si="154"/>
        <v>0</v>
      </c>
      <c r="AG107" s="9">
        <f t="shared" si="154"/>
        <v>0</v>
      </c>
      <c r="AH107" s="9">
        <f t="shared" si="154"/>
        <v>0</v>
      </c>
      <c r="AI107" s="9">
        <f t="shared" si="154"/>
        <v>0</v>
      </c>
      <c r="AJ107" s="9">
        <f t="shared" si="154"/>
        <v>0</v>
      </c>
      <c r="AK107" s="9">
        <f t="shared" si="154"/>
        <v>0</v>
      </c>
      <c r="AL107" s="9">
        <f t="shared" si="154"/>
        <v>0</v>
      </c>
      <c r="AM107" s="9">
        <f t="shared" si="154"/>
        <v>0</v>
      </c>
      <c r="AN107" s="74">
        <f t="shared" si="154"/>
        <v>0</v>
      </c>
      <c r="AO107" s="270">
        <f t="shared" si="154"/>
        <v>30188155</v>
      </c>
      <c r="AP107" s="8">
        <f t="shared" si="154"/>
        <v>22111146</v>
      </c>
      <c r="AQ107" s="38">
        <f t="shared" si="154"/>
        <v>33800</v>
      </c>
      <c r="AR107" s="38">
        <f t="shared" si="154"/>
        <v>0</v>
      </c>
      <c r="AS107" s="8">
        <f t="shared" si="154"/>
        <v>7484992</v>
      </c>
      <c r="AT107" s="8">
        <f t="shared" si="154"/>
        <v>442223</v>
      </c>
      <c r="AU107" s="8">
        <f t="shared" si="154"/>
        <v>115994</v>
      </c>
      <c r="AV107" s="9">
        <f t="shared" si="154"/>
        <v>43.269500000000001</v>
      </c>
      <c r="AW107" s="9">
        <f t="shared" si="154"/>
        <v>38.951799999999999</v>
      </c>
      <c r="AX107" s="74">
        <f t="shared" si="154"/>
        <v>4.3177000000000003</v>
      </c>
    </row>
    <row r="108" spans="1:50" s="695" customFormat="1" x14ac:dyDescent="0.2">
      <c r="A108" s="720">
        <v>20</v>
      </c>
      <c r="B108" s="721">
        <v>4485</v>
      </c>
      <c r="C108" s="721">
        <v>600074102</v>
      </c>
      <c r="D108" s="721">
        <v>70695113</v>
      </c>
      <c r="E108" s="722" t="s">
        <v>187</v>
      </c>
      <c r="F108" s="721">
        <v>3111</v>
      </c>
      <c r="G108" s="531" t="s">
        <v>317</v>
      </c>
      <c r="H108" s="767" t="s">
        <v>283</v>
      </c>
      <c r="I108" s="495">
        <v>2654397</v>
      </c>
      <c r="J108" s="496">
        <v>1843702</v>
      </c>
      <c r="K108" s="496">
        <v>75000</v>
      </c>
      <c r="L108" s="496">
        <v>0</v>
      </c>
      <c r="M108" s="496">
        <v>648521</v>
      </c>
      <c r="N108" s="496">
        <v>36874</v>
      </c>
      <c r="O108" s="496">
        <v>50300</v>
      </c>
      <c r="P108" s="497">
        <v>4.6349999999999998</v>
      </c>
      <c r="Q108" s="412">
        <v>3.6452</v>
      </c>
      <c r="R108" s="764">
        <v>0.98980000000000001</v>
      </c>
      <c r="S108" s="530">
        <f t="shared" ref="S108:S110" si="155">W108*-1</f>
        <v>0</v>
      </c>
      <c r="T108" s="486">
        <v>0</v>
      </c>
      <c r="U108" s="486">
        <v>0</v>
      </c>
      <c r="V108" s="486">
        <f>SUM(S108:U108)</f>
        <v>0</v>
      </c>
      <c r="W108" s="486">
        <v>0</v>
      </c>
      <c r="X108" s="486">
        <v>0</v>
      </c>
      <c r="Y108" s="486">
        <f>SUM(W108:X108)</f>
        <v>0</v>
      </c>
      <c r="Z108" s="486">
        <f>V108+Y108</f>
        <v>0</v>
      </c>
      <c r="AA108" s="319">
        <f>ROUND((V108+W108)*33.8%,0)</f>
        <v>0</v>
      </c>
      <c r="AB108" s="178">
        <f>ROUND(V108*2%,0)</f>
        <v>0</v>
      </c>
      <c r="AC108" s="486">
        <v>0</v>
      </c>
      <c r="AD108" s="486">
        <v>0</v>
      </c>
      <c r="AE108" s="486">
        <f t="shared" si="121"/>
        <v>0</v>
      </c>
      <c r="AF108" s="486">
        <f t="shared" si="122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ref="AL108:AL110" si="156">AG108+AI108+AJ108</f>
        <v>0</v>
      </c>
      <c r="AM108" s="501">
        <f t="shared" ref="AM108:AM110" si="157">AH108+AK108</f>
        <v>0</v>
      </c>
      <c r="AN108" s="502">
        <f t="shared" si="123"/>
        <v>0</v>
      </c>
      <c r="AO108" s="499">
        <f>I108+AF108</f>
        <v>2654397</v>
      </c>
      <c r="AP108" s="486">
        <f>J108+V108</f>
        <v>1843702</v>
      </c>
      <c r="AQ108" s="486">
        <f>K108+Y108</f>
        <v>75000</v>
      </c>
      <c r="AR108" s="486">
        <f>L108</f>
        <v>0</v>
      </c>
      <c r="AS108" s="486">
        <f t="shared" ref="AS108:AT110" si="158">M108+AA108</f>
        <v>648521</v>
      </c>
      <c r="AT108" s="486">
        <f t="shared" si="158"/>
        <v>36874</v>
      </c>
      <c r="AU108" s="486">
        <f>O108+AE108</f>
        <v>50300</v>
      </c>
      <c r="AV108" s="501">
        <f>P108+AN108</f>
        <v>4.6349999999999998</v>
      </c>
      <c r="AW108" s="501">
        <f t="shared" ref="AW108:AX110" si="159">Q108+AL108</f>
        <v>3.6452</v>
      </c>
      <c r="AX108" s="502">
        <f t="shared" si="159"/>
        <v>0.98980000000000001</v>
      </c>
    </row>
    <row r="109" spans="1:50" s="695" customFormat="1" x14ac:dyDescent="0.2">
      <c r="A109" s="720">
        <v>20</v>
      </c>
      <c r="B109" s="721">
        <v>4485</v>
      </c>
      <c r="C109" s="721">
        <v>600074102</v>
      </c>
      <c r="D109" s="721">
        <v>70695113</v>
      </c>
      <c r="E109" s="722" t="s">
        <v>187</v>
      </c>
      <c r="F109" s="721">
        <v>3111</v>
      </c>
      <c r="G109" s="531" t="s">
        <v>318</v>
      </c>
      <c r="H109" s="767" t="s">
        <v>284</v>
      </c>
      <c r="I109" s="495">
        <v>461179</v>
      </c>
      <c r="J109" s="496">
        <v>339602</v>
      </c>
      <c r="K109" s="475">
        <v>0</v>
      </c>
      <c r="L109" s="475">
        <v>0</v>
      </c>
      <c r="M109" s="319">
        <v>114785</v>
      </c>
      <c r="N109" s="319">
        <v>6792</v>
      </c>
      <c r="O109" s="496">
        <v>0</v>
      </c>
      <c r="P109" s="497">
        <v>1</v>
      </c>
      <c r="Q109" s="412">
        <v>1</v>
      </c>
      <c r="R109" s="764">
        <v>0</v>
      </c>
      <c r="S109" s="530">
        <f t="shared" si="155"/>
        <v>0</v>
      </c>
      <c r="T109" s="486">
        <v>0</v>
      </c>
      <c r="U109" s="486">
        <v>0</v>
      </c>
      <c r="V109" s="486">
        <f>SUM(S109:U109)</f>
        <v>0</v>
      </c>
      <c r="W109" s="486">
        <v>0</v>
      </c>
      <c r="X109" s="486">
        <v>0</v>
      </c>
      <c r="Y109" s="486">
        <f>SUM(W109:X109)</f>
        <v>0</v>
      </c>
      <c r="Z109" s="486">
        <f>V109+Y109</f>
        <v>0</v>
      </c>
      <c r="AA109" s="319">
        <f>ROUND((V109+W109)*33.8%,0)</f>
        <v>0</v>
      </c>
      <c r="AB109" s="178">
        <f>ROUND(V109*2%,0)</f>
        <v>0</v>
      </c>
      <c r="AC109" s="486">
        <v>0</v>
      </c>
      <c r="AD109" s="486">
        <v>0</v>
      </c>
      <c r="AE109" s="486">
        <f t="shared" si="121"/>
        <v>0</v>
      </c>
      <c r="AF109" s="486">
        <f t="shared" si="122"/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156"/>
        <v>0</v>
      </c>
      <c r="AM109" s="501">
        <f t="shared" si="157"/>
        <v>0</v>
      </c>
      <c r="AN109" s="502">
        <f t="shared" si="123"/>
        <v>0</v>
      </c>
      <c r="AO109" s="499">
        <f>I109+AF109</f>
        <v>461179</v>
      </c>
      <c r="AP109" s="486">
        <f>J109+V109</f>
        <v>339602</v>
      </c>
      <c r="AQ109" s="486">
        <f>K109+Y109</f>
        <v>0</v>
      </c>
      <c r="AR109" s="486">
        <f>L109</f>
        <v>0</v>
      </c>
      <c r="AS109" s="486">
        <f t="shared" si="158"/>
        <v>114785</v>
      </c>
      <c r="AT109" s="486">
        <f t="shared" si="158"/>
        <v>6792</v>
      </c>
      <c r="AU109" s="486">
        <f>O109+AE109</f>
        <v>0</v>
      </c>
      <c r="AV109" s="501">
        <f>P109+AN109</f>
        <v>1</v>
      </c>
      <c r="AW109" s="501">
        <f t="shared" si="159"/>
        <v>1</v>
      </c>
      <c r="AX109" s="502">
        <f t="shared" si="159"/>
        <v>0</v>
      </c>
    </row>
    <row r="110" spans="1:50" s="695" customFormat="1" x14ac:dyDescent="0.2">
      <c r="A110" s="720">
        <v>20</v>
      </c>
      <c r="B110" s="721">
        <v>4485</v>
      </c>
      <c r="C110" s="721">
        <v>600074102</v>
      </c>
      <c r="D110" s="721">
        <v>70695113</v>
      </c>
      <c r="E110" s="722" t="s">
        <v>187</v>
      </c>
      <c r="F110" s="721">
        <v>3141</v>
      </c>
      <c r="G110" s="531" t="s">
        <v>321</v>
      </c>
      <c r="H110" s="767" t="s">
        <v>284</v>
      </c>
      <c r="I110" s="495">
        <v>818269</v>
      </c>
      <c r="J110" s="496">
        <v>600100</v>
      </c>
      <c r="K110" s="475">
        <v>0</v>
      </c>
      <c r="L110" s="475">
        <v>0</v>
      </c>
      <c r="M110" s="319">
        <v>202833</v>
      </c>
      <c r="N110" s="319">
        <v>12002</v>
      </c>
      <c r="O110" s="496">
        <v>3334</v>
      </c>
      <c r="P110" s="497">
        <v>2.0499999999999998</v>
      </c>
      <c r="Q110" s="412">
        <v>0</v>
      </c>
      <c r="R110" s="764">
        <v>2.0499999999999998</v>
      </c>
      <c r="S110" s="530">
        <f t="shared" si="155"/>
        <v>0</v>
      </c>
      <c r="T110" s="486">
        <v>0</v>
      </c>
      <c r="U110" s="486">
        <v>0</v>
      </c>
      <c r="V110" s="486">
        <f>SUM(S110:U110)</f>
        <v>0</v>
      </c>
      <c r="W110" s="486">
        <v>0</v>
      </c>
      <c r="X110" s="486">
        <v>0</v>
      </c>
      <c r="Y110" s="486">
        <f>SUM(W110:X110)</f>
        <v>0</v>
      </c>
      <c r="Z110" s="486">
        <f>V110+Y110</f>
        <v>0</v>
      </c>
      <c r="AA110" s="319">
        <f>ROUND((V110+W110)*33.8%,0)</f>
        <v>0</v>
      </c>
      <c r="AB110" s="178">
        <f>ROUND(V110*2%,0)</f>
        <v>0</v>
      </c>
      <c r="AC110" s="486">
        <v>0</v>
      </c>
      <c r="AD110" s="486">
        <v>0</v>
      </c>
      <c r="AE110" s="486">
        <f t="shared" si="121"/>
        <v>0</v>
      </c>
      <c r="AF110" s="486">
        <f t="shared" si="122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si="156"/>
        <v>0</v>
      </c>
      <c r="AM110" s="501">
        <f t="shared" si="157"/>
        <v>0</v>
      </c>
      <c r="AN110" s="502">
        <f t="shared" si="123"/>
        <v>0</v>
      </c>
      <c r="AO110" s="499">
        <f>I110+AF110</f>
        <v>818269</v>
      </c>
      <c r="AP110" s="486">
        <f>J110+V110</f>
        <v>600100</v>
      </c>
      <c r="AQ110" s="486">
        <f>K110+Y110</f>
        <v>0</v>
      </c>
      <c r="AR110" s="486">
        <f>L110</f>
        <v>0</v>
      </c>
      <c r="AS110" s="486">
        <f t="shared" si="158"/>
        <v>202833</v>
      </c>
      <c r="AT110" s="486">
        <f t="shared" si="158"/>
        <v>12002</v>
      </c>
      <c r="AU110" s="486">
        <f>O110+AE110</f>
        <v>3334</v>
      </c>
      <c r="AV110" s="501">
        <f>P110+AN110</f>
        <v>2.0499999999999998</v>
      </c>
      <c r="AW110" s="501">
        <f t="shared" si="159"/>
        <v>0</v>
      </c>
      <c r="AX110" s="502">
        <f t="shared" si="159"/>
        <v>2.0499999999999998</v>
      </c>
    </row>
    <row r="111" spans="1:50" s="695" customFormat="1" x14ac:dyDescent="0.2">
      <c r="A111" s="282">
        <v>20</v>
      </c>
      <c r="B111" s="27">
        <v>4485</v>
      </c>
      <c r="C111" s="27">
        <v>600074102</v>
      </c>
      <c r="D111" s="27">
        <v>70695113</v>
      </c>
      <c r="E111" s="292" t="s">
        <v>188</v>
      </c>
      <c r="F111" s="27"/>
      <c r="G111" s="281"/>
      <c r="H111" s="377"/>
      <c r="I111" s="5">
        <v>3933845</v>
      </c>
      <c r="J111" s="8">
        <v>2783404</v>
      </c>
      <c r="K111" s="8">
        <v>75000</v>
      </c>
      <c r="L111" s="8">
        <v>0</v>
      </c>
      <c r="M111" s="8">
        <v>966139</v>
      </c>
      <c r="N111" s="8">
        <v>55668</v>
      </c>
      <c r="O111" s="8">
        <v>53634</v>
      </c>
      <c r="P111" s="9">
        <v>7.6849999999999996</v>
      </c>
      <c r="Q111" s="9">
        <v>4.6452</v>
      </c>
      <c r="R111" s="33">
        <v>3.0397999999999996</v>
      </c>
      <c r="S111" s="5">
        <f t="shared" ref="S111:AX111" si="160">SUM(S108:S110)</f>
        <v>0</v>
      </c>
      <c r="T111" s="8">
        <f t="shared" si="160"/>
        <v>0</v>
      </c>
      <c r="U111" s="8">
        <f t="shared" si="160"/>
        <v>0</v>
      </c>
      <c r="V111" s="8">
        <f t="shared" si="160"/>
        <v>0</v>
      </c>
      <c r="W111" s="8">
        <f t="shared" si="160"/>
        <v>0</v>
      </c>
      <c r="X111" s="8">
        <f t="shared" si="160"/>
        <v>0</v>
      </c>
      <c r="Y111" s="8">
        <f t="shared" si="160"/>
        <v>0</v>
      </c>
      <c r="Z111" s="8">
        <f t="shared" si="160"/>
        <v>0</v>
      </c>
      <c r="AA111" s="8">
        <f t="shared" si="160"/>
        <v>0</v>
      </c>
      <c r="AB111" s="8">
        <f t="shared" si="160"/>
        <v>0</v>
      </c>
      <c r="AC111" s="8">
        <f t="shared" si="160"/>
        <v>0</v>
      </c>
      <c r="AD111" s="8">
        <f t="shared" si="160"/>
        <v>0</v>
      </c>
      <c r="AE111" s="8">
        <f t="shared" si="160"/>
        <v>0</v>
      </c>
      <c r="AF111" s="8">
        <f t="shared" si="160"/>
        <v>0</v>
      </c>
      <c r="AG111" s="9">
        <f t="shared" si="160"/>
        <v>0</v>
      </c>
      <c r="AH111" s="9">
        <f t="shared" si="160"/>
        <v>0</v>
      </c>
      <c r="AI111" s="9">
        <f t="shared" si="160"/>
        <v>0</v>
      </c>
      <c r="AJ111" s="9">
        <f t="shared" si="160"/>
        <v>0</v>
      </c>
      <c r="AK111" s="9">
        <f t="shared" si="160"/>
        <v>0</v>
      </c>
      <c r="AL111" s="9">
        <f t="shared" si="160"/>
        <v>0</v>
      </c>
      <c r="AM111" s="9">
        <f t="shared" si="160"/>
        <v>0</v>
      </c>
      <c r="AN111" s="74">
        <f t="shared" si="160"/>
        <v>0</v>
      </c>
      <c r="AO111" s="270">
        <f t="shared" si="160"/>
        <v>3933845</v>
      </c>
      <c r="AP111" s="8">
        <f t="shared" si="160"/>
        <v>2783404</v>
      </c>
      <c r="AQ111" s="38">
        <f t="shared" si="160"/>
        <v>75000</v>
      </c>
      <c r="AR111" s="38">
        <f t="shared" si="160"/>
        <v>0</v>
      </c>
      <c r="AS111" s="8">
        <f t="shared" si="160"/>
        <v>966139</v>
      </c>
      <c r="AT111" s="8">
        <f t="shared" si="160"/>
        <v>55668</v>
      </c>
      <c r="AU111" s="8">
        <f t="shared" si="160"/>
        <v>53634</v>
      </c>
      <c r="AV111" s="9">
        <f t="shared" si="160"/>
        <v>7.6849999999999996</v>
      </c>
      <c r="AW111" s="9">
        <f t="shared" si="160"/>
        <v>4.6452</v>
      </c>
      <c r="AX111" s="74">
        <f t="shared" si="160"/>
        <v>3.0397999999999996</v>
      </c>
    </row>
    <row r="112" spans="1:50" s="695" customFormat="1" x14ac:dyDescent="0.2">
      <c r="A112" s="720">
        <v>21</v>
      </c>
      <c r="B112" s="721">
        <v>4435</v>
      </c>
      <c r="C112" s="721">
        <v>650034295</v>
      </c>
      <c r="D112" s="721">
        <v>72744669</v>
      </c>
      <c r="E112" s="722" t="s">
        <v>189</v>
      </c>
      <c r="F112" s="721">
        <v>3111</v>
      </c>
      <c r="G112" s="531" t="s">
        <v>317</v>
      </c>
      <c r="H112" s="767" t="s">
        <v>283</v>
      </c>
      <c r="I112" s="495">
        <v>3237289</v>
      </c>
      <c r="J112" s="496">
        <v>2340963</v>
      </c>
      <c r="K112" s="475">
        <v>20000</v>
      </c>
      <c r="L112" s="475">
        <v>0</v>
      </c>
      <c r="M112" s="319">
        <v>798006</v>
      </c>
      <c r="N112" s="319">
        <v>46820</v>
      </c>
      <c r="O112" s="496">
        <v>31500</v>
      </c>
      <c r="P112" s="497">
        <v>5.3517999999999999</v>
      </c>
      <c r="Q112" s="412">
        <v>4.33</v>
      </c>
      <c r="R112" s="764">
        <v>1.0218</v>
      </c>
      <c r="S112" s="530">
        <f t="shared" ref="S112:S117" si="161">W112*-1</f>
        <v>0</v>
      </c>
      <c r="T112" s="486">
        <v>0</v>
      </c>
      <c r="U112" s="486">
        <v>0</v>
      </c>
      <c r="V112" s="486">
        <f t="shared" ref="V112:V117" si="162">SUM(S112:U112)</f>
        <v>0</v>
      </c>
      <c r="W112" s="486">
        <v>0</v>
      </c>
      <c r="X112" s="486">
        <v>0</v>
      </c>
      <c r="Y112" s="486">
        <f t="shared" ref="Y112:Y117" si="163">SUM(W112:X112)</f>
        <v>0</v>
      </c>
      <c r="Z112" s="486">
        <f t="shared" ref="Z112:Z117" si="164">V112+Y112</f>
        <v>0</v>
      </c>
      <c r="AA112" s="319">
        <f t="shared" ref="AA112:AA117" si="165">ROUND((V112+W112)*33.8%,0)</f>
        <v>0</v>
      </c>
      <c r="AB112" s="178">
        <f t="shared" ref="AB112:AB117" si="166">ROUND(V112*2%,0)</f>
        <v>0</v>
      </c>
      <c r="AC112" s="486">
        <v>0</v>
      </c>
      <c r="AD112" s="486">
        <v>0</v>
      </c>
      <c r="AE112" s="486">
        <f t="shared" si="121"/>
        <v>0</v>
      </c>
      <c r="AF112" s="486">
        <f t="shared" si="122"/>
        <v>0</v>
      </c>
      <c r="AG112" s="501">
        <v>0</v>
      </c>
      <c r="AH112" s="501">
        <v>0</v>
      </c>
      <c r="AI112" s="501">
        <v>0</v>
      </c>
      <c r="AJ112" s="501">
        <v>0</v>
      </c>
      <c r="AK112" s="501">
        <v>0</v>
      </c>
      <c r="AL112" s="501">
        <f t="shared" ref="AL112:AL117" si="167">AG112+AI112+AJ112</f>
        <v>0</v>
      </c>
      <c r="AM112" s="501">
        <f t="shared" ref="AM112:AM117" si="168">AH112+AK112</f>
        <v>0</v>
      </c>
      <c r="AN112" s="502">
        <f t="shared" si="123"/>
        <v>0</v>
      </c>
      <c r="AO112" s="499">
        <f t="shared" ref="AO112:AO117" si="169">I112+AF112</f>
        <v>3237289</v>
      </c>
      <c r="AP112" s="486">
        <f t="shared" ref="AP112:AP117" si="170">J112+V112</f>
        <v>2340963</v>
      </c>
      <c r="AQ112" s="486">
        <f t="shared" ref="AQ112:AQ117" si="171">K112+Y112</f>
        <v>20000</v>
      </c>
      <c r="AR112" s="486">
        <f t="shared" ref="AR112:AR117" si="172">L112</f>
        <v>0</v>
      </c>
      <c r="AS112" s="486">
        <f t="shared" ref="AS112:AT117" si="173">M112+AA112</f>
        <v>798006</v>
      </c>
      <c r="AT112" s="486">
        <f t="shared" si="173"/>
        <v>46820</v>
      </c>
      <c r="AU112" s="486">
        <f t="shared" ref="AU112:AU117" si="174">O112+AE112</f>
        <v>31500</v>
      </c>
      <c r="AV112" s="501">
        <f t="shared" ref="AV112:AV117" si="175">P112+AN112</f>
        <v>5.3517999999999999</v>
      </c>
      <c r="AW112" s="501">
        <f t="shared" ref="AW112:AX117" si="176">Q112+AL112</f>
        <v>4.33</v>
      </c>
      <c r="AX112" s="502">
        <f t="shared" si="176"/>
        <v>1.0218</v>
      </c>
    </row>
    <row r="113" spans="1:50" s="695" customFormat="1" x14ac:dyDescent="0.2">
      <c r="A113" s="720">
        <v>21</v>
      </c>
      <c r="B113" s="721">
        <v>4435</v>
      </c>
      <c r="C113" s="721">
        <v>650034295</v>
      </c>
      <c r="D113" s="721">
        <v>72744669</v>
      </c>
      <c r="E113" s="722" t="s">
        <v>189</v>
      </c>
      <c r="F113" s="721">
        <v>3117</v>
      </c>
      <c r="G113" s="531" t="s">
        <v>320</v>
      </c>
      <c r="H113" s="767" t="s">
        <v>283</v>
      </c>
      <c r="I113" s="495">
        <v>5965047</v>
      </c>
      <c r="J113" s="496">
        <v>4225856</v>
      </c>
      <c r="K113" s="496">
        <v>43885</v>
      </c>
      <c r="L113" s="496">
        <v>18885</v>
      </c>
      <c r="M113" s="496">
        <v>1436789</v>
      </c>
      <c r="N113" s="496">
        <v>84517</v>
      </c>
      <c r="O113" s="496">
        <v>174000</v>
      </c>
      <c r="P113" s="497">
        <v>8.7175999999999991</v>
      </c>
      <c r="Q113" s="412">
        <v>5.4089999999999998</v>
      </c>
      <c r="R113" s="764">
        <v>3.3085999999999993</v>
      </c>
      <c r="S113" s="530">
        <f t="shared" si="161"/>
        <v>0</v>
      </c>
      <c r="T113" s="486">
        <v>0</v>
      </c>
      <c r="U113" s="486">
        <v>0</v>
      </c>
      <c r="V113" s="486">
        <f t="shared" si="162"/>
        <v>0</v>
      </c>
      <c r="W113" s="486">
        <v>0</v>
      </c>
      <c r="X113" s="486">
        <v>0</v>
      </c>
      <c r="Y113" s="486">
        <f t="shared" si="163"/>
        <v>0</v>
      </c>
      <c r="Z113" s="486">
        <f t="shared" si="164"/>
        <v>0</v>
      </c>
      <c r="AA113" s="319">
        <f t="shared" si="165"/>
        <v>0</v>
      </c>
      <c r="AB113" s="178">
        <f t="shared" si="166"/>
        <v>0</v>
      </c>
      <c r="AC113" s="486">
        <v>0</v>
      </c>
      <c r="AD113" s="486">
        <v>0</v>
      </c>
      <c r="AE113" s="486">
        <f t="shared" si="121"/>
        <v>0</v>
      </c>
      <c r="AF113" s="486">
        <f t="shared" si="122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si="167"/>
        <v>0</v>
      </c>
      <c r="AM113" s="501">
        <f t="shared" si="168"/>
        <v>0</v>
      </c>
      <c r="AN113" s="502">
        <f t="shared" si="123"/>
        <v>0</v>
      </c>
      <c r="AO113" s="499">
        <f t="shared" si="169"/>
        <v>5965047</v>
      </c>
      <c r="AP113" s="486">
        <f t="shared" si="170"/>
        <v>4225856</v>
      </c>
      <c r="AQ113" s="486">
        <f t="shared" si="171"/>
        <v>43885</v>
      </c>
      <c r="AR113" s="486">
        <f t="shared" si="172"/>
        <v>18885</v>
      </c>
      <c r="AS113" s="486">
        <f t="shared" si="173"/>
        <v>1436789</v>
      </c>
      <c r="AT113" s="486">
        <f t="shared" si="173"/>
        <v>84517</v>
      </c>
      <c r="AU113" s="486">
        <f t="shared" si="174"/>
        <v>174000</v>
      </c>
      <c r="AV113" s="501">
        <f t="shared" si="175"/>
        <v>8.7175999999999991</v>
      </c>
      <c r="AW113" s="501">
        <f t="shared" si="176"/>
        <v>5.4089999999999998</v>
      </c>
      <c r="AX113" s="502">
        <f t="shared" si="176"/>
        <v>3.3085999999999993</v>
      </c>
    </row>
    <row r="114" spans="1:50" s="695" customFormat="1" x14ac:dyDescent="0.2">
      <c r="A114" s="720">
        <v>21</v>
      </c>
      <c r="B114" s="721">
        <v>4435</v>
      </c>
      <c r="C114" s="721">
        <v>650034295</v>
      </c>
      <c r="D114" s="721">
        <v>72744669</v>
      </c>
      <c r="E114" s="722" t="s">
        <v>189</v>
      </c>
      <c r="F114" s="721">
        <v>3117</v>
      </c>
      <c r="G114" s="531" t="s">
        <v>318</v>
      </c>
      <c r="H114" s="767" t="s">
        <v>284</v>
      </c>
      <c r="I114" s="495">
        <v>298214</v>
      </c>
      <c r="J114" s="496">
        <v>218862</v>
      </c>
      <c r="K114" s="475">
        <v>0</v>
      </c>
      <c r="L114" s="475">
        <v>0</v>
      </c>
      <c r="M114" s="319">
        <v>73975</v>
      </c>
      <c r="N114" s="319">
        <v>4377</v>
      </c>
      <c r="O114" s="496">
        <v>1000</v>
      </c>
      <c r="P114" s="497">
        <v>0.64</v>
      </c>
      <c r="Q114" s="412">
        <v>0.64</v>
      </c>
      <c r="R114" s="764">
        <v>0</v>
      </c>
      <c r="S114" s="530">
        <f t="shared" si="161"/>
        <v>0</v>
      </c>
      <c r="T114" s="486">
        <v>0</v>
      </c>
      <c r="U114" s="486">
        <v>0</v>
      </c>
      <c r="V114" s="486">
        <f t="shared" si="162"/>
        <v>0</v>
      </c>
      <c r="W114" s="486">
        <v>0</v>
      </c>
      <c r="X114" s="486">
        <v>0</v>
      </c>
      <c r="Y114" s="486">
        <f t="shared" si="163"/>
        <v>0</v>
      </c>
      <c r="Z114" s="486">
        <f t="shared" si="164"/>
        <v>0</v>
      </c>
      <c r="AA114" s="319">
        <f t="shared" si="165"/>
        <v>0</v>
      </c>
      <c r="AB114" s="178">
        <f t="shared" si="166"/>
        <v>0</v>
      </c>
      <c r="AC114" s="486">
        <v>0</v>
      </c>
      <c r="AD114" s="486">
        <v>0</v>
      </c>
      <c r="AE114" s="486">
        <f t="shared" si="121"/>
        <v>0</v>
      </c>
      <c r="AF114" s="486">
        <f t="shared" si="122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si="167"/>
        <v>0</v>
      </c>
      <c r="AM114" s="501">
        <f t="shared" si="168"/>
        <v>0</v>
      </c>
      <c r="AN114" s="502">
        <f t="shared" si="123"/>
        <v>0</v>
      </c>
      <c r="AO114" s="499">
        <f t="shared" si="169"/>
        <v>298214</v>
      </c>
      <c r="AP114" s="486">
        <f t="shared" si="170"/>
        <v>218862</v>
      </c>
      <c r="AQ114" s="486">
        <f t="shared" si="171"/>
        <v>0</v>
      </c>
      <c r="AR114" s="486">
        <f t="shared" si="172"/>
        <v>0</v>
      </c>
      <c r="AS114" s="486">
        <f t="shared" si="173"/>
        <v>73975</v>
      </c>
      <c r="AT114" s="486">
        <f t="shared" si="173"/>
        <v>4377</v>
      </c>
      <c r="AU114" s="486">
        <f t="shared" si="174"/>
        <v>1000</v>
      </c>
      <c r="AV114" s="501">
        <f t="shared" si="175"/>
        <v>0.64</v>
      </c>
      <c r="AW114" s="501">
        <f t="shared" si="176"/>
        <v>0.64</v>
      </c>
      <c r="AX114" s="502">
        <f t="shared" si="176"/>
        <v>0</v>
      </c>
    </row>
    <row r="115" spans="1:50" s="695" customFormat="1" x14ac:dyDescent="0.2">
      <c r="A115" s="720">
        <v>21</v>
      </c>
      <c r="B115" s="721">
        <v>4435</v>
      </c>
      <c r="C115" s="721">
        <v>650034295</v>
      </c>
      <c r="D115" s="721">
        <v>72744669</v>
      </c>
      <c r="E115" s="712" t="s">
        <v>189</v>
      </c>
      <c r="F115" s="721">
        <v>3141</v>
      </c>
      <c r="G115" s="531" t="s">
        <v>321</v>
      </c>
      <c r="H115" s="767" t="s">
        <v>284</v>
      </c>
      <c r="I115" s="495">
        <v>1064450</v>
      </c>
      <c r="J115" s="496">
        <v>769488</v>
      </c>
      <c r="K115" s="475">
        <v>10000</v>
      </c>
      <c r="L115" s="475">
        <v>0</v>
      </c>
      <c r="M115" s="319">
        <v>263466</v>
      </c>
      <c r="N115" s="319">
        <v>15390</v>
      </c>
      <c r="O115" s="496">
        <v>6106</v>
      </c>
      <c r="P115" s="497">
        <v>2.65</v>
      </c>
      <c r="Q115" s="412">
        <v>0</v>
      </c>
      <c r="R115" s="764">
        <v>2.65</v>
      </c>
      <c r="S115" s="530">
        <f t="shared" si="161"/>
        <v>0</v>
      </c>
      <c r="T115" s="486">
        <v>0</v>
      </c>
      <c r="U115" s="486">
        <v>0</v>
      </c>
      <c r="V115" s="486">
        <f t="shared" si="162"/>
        <v>0</v>
      </c>
      <c r="W115" s="486">
        <v>0</v>
      </c>
      <c r="X115" s="486">
        <v>0</v>
      </c>
      <c r="Y115" s="486">
        <f t="shared" si="163"/>
        <v>0</v>
      </c>
      <c r="Z115" s="486">
        <f t="shared" si="164"/>
        <v>0</v>
      </c>
      <c r="AA115" s="319">
        <f t="shared" si="165"/>
        <v>0</v>
      </c>
      <c r="AB115" s="178">
        <f t="shared" si="166"/>
        <v>0</v>
      </c>
      <c r="AC115" s="486">
        <v>0</v>
      </c>
      <c r="AD115" s="486">
        <v>0</v>
      </c>
      <c r="AE115" s="486">
        <f t="shared" si="121"/>
        <v>0</v>
      </c>
      <c r="AF115" s="486">
        <f t="shared" si="122"/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si="167"/>
        <v>0</v>
      </c>
      <c r="AM115" s="501">
        <f t="shared" si="168"/>
        <v>0</v>
      </c>
      <c r="AN115" s="502">
        <f t="shared" si="123"/>
        <v>0</v>
      </c>
      <c r="AO115" s="499">
        <f t="shared" si="169"/>
        <v>1064450</v>
      </c>
      <c r="AP115" s="486">
        <f t="shared" si="170"/>
        <v>769488</v>
      </c>
      <c r="AQ115" s="486">
        <f t="shared" si="171"/>
        <v>10000</v>
      </c>
      <c r="AR115" s="486">
        <f t="shared" si="172"/>
        <v>0</v>
      </c>
      <c r="AS115" s="486">
        <f t="shared" si="173"/>
        <v>263466</v>
      </c>
      <c r="AT115" s="486">
        <f t="shared" si="173"/>
        <v>15390</v>
      </c>
      <c r="AU115" s="486">
        <f t="shared" si="174"/>
        <v>6106</v>
      </c>
      <c r="AV115" s="501">
        <f t="shared" si="175"/>
        <v>2.65</v>
      </c>
      <c r="AW115" s="501">
        <f t="shared" si="176"/>
        <v>0</v>
      </c>
      <c r="AX115" s="502">
        <f t="shared" si="176"/>
        <v>2.65</v>
      </c>
    </row>
    <row r="116" spans="1:50" s="695" customFormat="1" x14ac:dyDescent="0.2">
      <c r="A116" s="720">
        <v>21</v>
      </c>
      <c r="B116" s="721">
        <v>4435</v>
      </c>
      <c r="C116" s="721">
        <v>650034295</v>
      </c>
      <c r="D116" s="721">
        <v>72744669</v>
      </c>
      <c r="E116" s="722" t="s">
        <v>189</v>
      </c>
      <c r="F116" s="721">
        <v>3143</v>
      </c>
      <c r="G116" s="531" t="s">
        <v>634</v>
      </c>
      <c r="H116" s="701" t="s">
        <v>283</v>
      </c>
      <c r="I116" s="495">
        <v>537021</v>
      </c>
      <c r="J116" s="496">
        <v>390524</v>
      </c>
      <c r="K116" s="475">
        <v>5000</v>
      </c>
      <c r="L116" s="475">
        <v>0</v>
      </c>
      <c r="M116" s="319">
        <v>133687</v>
      </c>
      <c r="N116" s="319">
        <v>7810</v>
      </c>
      <c r="O116" s="496">
        <v>0</v>
      </c>
      <c r="P116" s="497">
        <v>0.84819999999999995</v>
      </c>
      <c r="Q116" s="412">
        <v>0.84819999999999995</v>
      </c>
      <c r="R116" s="764">
        <v>0</v>
      </c>
      <c r="S116" s="530">
        <f t="shared" si="161"/>
        <v>0</v>
      </c>
      <c r="T116" s="486">
        <v>0</v>
      </c>
      <c r="U116" s="486">
        <v>0</v>
      </c>
      <c r="V116" s="486">
        <f t="shared" si="162"/>
        <v>0</v>
      </c>
      <c r="W116" s="486">
        <v>0</v>
      </c>
      <c r="X116" s="486">
        <v>0</v>
      </c>
      <c r="Y116" s="486">
        <f t="shared" si="163"/>
        <v>0</v>
      </c>
      <c r="Z116" s="486">
        <f t="shared" si="164"/>
        <v>0</v>
      </c>
      <c r="AA116" s="319">
        <f t="shared" si="165"/>
        <v>0</v>
      </c>
      <c r="AB116" s="178">
        <f t="shared" si="166"/>
        <v>0</v>
      </c>
      <c r="AC116" s="486">
        <v>0</v>
      </c>
      <c r="AD116" s="486">
        <v>0</v>
      </c>
      <c r="AE116" s="486">
        <f t="shared" si="121"/>
        <v>0</v>
      </c>
      <c r="AF116" s="486">
        <f t="shared" si="122"/>
        <v>0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si="167"/>
        <v>0</v>
      </c>
      <c r="AM116" s="501">
        <f t="shared" si="168"/>
        <v>0</v>
      </c>
      <c r="AN116" s="502">
        <f t="shared" si="123"/>
        <v>0</v>
      </c>
      <c r="AO116" s="499">
        <f t="shared" si="169"/>
        <v>537021</v>
      </c>
      <c r="AP116" s="486">
        <f t="shared" si="170"/>
        <v>390524</v>
      </c>
      <c r="AQ116" s="486">
        <f t="shared" si="171"/>
        <v>5000</v>
      </c>
      <c r="AR116" s="486">
        <f t="shared" si="172"/>
        <v>0</v>
      </c>
      <c r="AS116" s="486">
        <f t="shared" si="173"/>
        <v>133687</v>
      </c>
      <c r="AT116" s="486">
        <f t="shared" si="173"/>
        <v>7810</v>
      </c>
      <c r="AU116" s="486">
        <f t="shared" si="174"/>
        <v>0</v>
      </c>
      <c r="AV116" s="501">
        <f t="shared" si="175"/>
        <v>0.84819999999999995</v>
      </c>
      <c r="AW116" s="501">
        <f t="shared" si="176"/>
        <v>0.84819999999999995</v>
      </c>
      <c r="AX116" s="502">
        <f t="shared" si="176"/>
        <v>0</v>
      </c>
    </row>
    <row r="117" spans="1:50" s="695" customFormat="1" x14ac:dyDescent="0.2">
      <c r="A117" s="720">
        <v>21</v>
      </c>
      <c r="B117" s="721">
        <v>4435</v>
      </c>
      <c r="C117" s="721">
        <v>650034295</v>
      </c>
      <c r="D117" s="721">
        <v>72744669</v>
      </c>
      <c r="E117" s="722" t="s">
        <v>189</v>
      </c>
      <c r="F117" s="721">
        <v>3143</v>
      </c>
      <c r="G117" s="531" t="s">
        <v>635</v>
      </c>
      <c r="H117" s="701" t="s">
        <v>284</v>
      </c>
      <c r="I117" s="495">
        <v>20364</v>
      </c>
      <c r="J117" s="496">
        <v>14355</v>
      </c>
      <c r="K117" s="475">
        <v>0</v>
      </c>
      <c r="L117" s="475">
        <v>0</v>
      </c>
      <c r="M117" s="319">
        <v>4852</v>
      </c>
      <c r="N117" s="319">
        <v>287</v>
      </c>
      <c r="O117" s="496">
        <v>870</v>
      </c>
      <c r="P117" s="497">
        <v>0.06</v>
      </c>
      <c r="Q117" s="412">
        <v>0</v>
      </c>
      <c r="R117" s="764">
        <v>0.06</v>
      </c>
      <c r="S117" s="530">
        <f t="shared" si="161"/>
        <v>0</v>
      </c>
      <c r="T117" s="486">
        <v>0</v>
      </c>
      <c r="U117" s="486">
        <v>0</v>
      </c>
      <c r="V117" s="486">
        <f t="shared" si="162"/>
        <v>0</v>
      </c>
      <c r="W117" s="486">
        <v>0</v>
      </c>
      <c r="X117" s="486">
        <v>0</v>
      </c>
      <c r="Y117" s="486">
        <f t="shared" si="163"/>
        <v>0</v>
      </c>
      <c r="Z117" s="486">
        <f t="shared" si="164"/>
        <v>0</v>
      </c>
      <c r="AA117" s="319">
        <f t="shared" si="165"/>
        <v>0</v>
      </c>
      <c r="AB117" s="178">
        <f t="shared" si="166"/>
        <v>0</v>
      </c>
      <c r="AC117" s="486">
        <v>0</v>
      </c>
      <c r="AD117" s="486">
        <v>0</v>
      </c>
      <c r="AE117" s="486">
        <f t="shared" si="121"/>
        <v>0</v>
      </c>
      <c r="AF117" s="486">
        <f t="shared" si="122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si="167"/>
        <v>0</v>
      </c>
      <c r="AM117" s="501">
        <f t="shared" si="168"/>
        <v>0</v>
      </c>
      <c r="AN117" s="502">
        <f t="shared" si="123"/>
        <v>0</v>
      </c>
      <c r="AO117" s="499">
        <f t="shared" si="169"/>
        <v>20364</v>
      </c>
      <c r="AP117" s="486">
        <f t="shared" si="170"/>
        <v>14355</v>
      </c>
      <c r="AQ117" s="486">
        <f t="shared" si="171"/>
        <v>0</v>
      </c>
      <c r="AR117" s="486">
        <f t="shared" si="172"/>
        <v>0</v>
      </c>
      <c r="AS117" s="486">
        <f t="shared" si="173"/>
        <v>4852</v>
      </c>
      <c r="AT117" s="486">
        <f t="shared" si="173"/>
        <v>287</v>
      </c>
      <c r="AU117" s="486">
        <f t="shared" si="174"/>
        <v>870</v>
      </c>
      <c r="AV117" s="501">
        <f t="shared" si="175"/>
        <v>0.06</v>
      </c>
      <c r="AW117" s="501">
        <f t="shared" si="176"/>
        <v>0</v>
      </c>
      <c r="AX117" s="502">
        <f t="shared" si="176"/>
        <v>0.06</v>
      </c>
    </row>
    <row r="118" spans="1:50" s="695" customFormat="1" x14ac:dyDescent="0.2">
      <c r="A118" s="282">
        <v>21</v>
      </c>
      <c r="B118" s="27">
        <v>4435</v>
      </c>
      <c r="C118" s="27">
        <v>650034295</v>
      </c>
      <c r="D118" s="27">
        <v>72744669</v>
      </c>
      <c r="E118" s="292" t="s">
        <v>190</v>
      </c>
      <c r="F118" s="27"/>
      <c r="G118" s="281"/>
      <c r="H118" s="377"/>
      <c r="I118" s="5">
        <v>11122385</v>
      </c>
      <c r="J118" s="8">
        <v>7960048</v>
      </c>
      <c r="K118" s="8">
        <v>78885</v>
      </c>
      <c r="L118" s="8">
        <v>18885</v>
      </c>
      <c r="M118" s="8">
        <v>2710775</v>
      </c>
      <c r="N118" s="8">
        <v>159201</v>
      </c>
      <c r="O118" s="8">
        <v>213476</v>
      </c>
      <c r="P118" s="9">
        <v>18.267599999999995</v>
      </c>
      <c r="Q118" s="9">
        <v>11.227200000000002</v>
      </c>
      <c r="R118" s="33">
        <v>7.0403999999999991</v>
      </c>
      <c r="S118" s="5">
        <f t="shared" ref="S118:AX118" si="177">SUM(S112:S117)</f>
        <v>0</v>
      </c>
      <c r="T118" s="8">
        <f t="shared" si="177"/>
        <v>0</v>
      </c>
      <c r="U118" s="8">
        <f t="shared" si="177"/>
        <v>0</v>
      </c>
      <c r="V118" s="8">
        <f t="shared" si="177"/>
        <v>0</v>
      </c>
      <c r="W118" s="8">
        <f t="shared" si="177"/>
        <v>0</v>
      </c>
      <c r="X118" s="8">
        <f t="shared" si="177"/>
        <v>0</v>
      </c>
      <c r="Y118" s="8">
        <f t="shared" si="177"/>
        <v>0</v>
      </c>
      <c r="Z118" s="8">
        <f t="shared" si="177"/>
        <v>0</v>
      </c>
      <c r="AA118" s="8">
        <f t="shared" si="177"/>
        <v>0</v>
      </c>
      <c r="AB118" s="8">
        <f t="shared" si="177"/>
        <v>0</v>
      </c>
      <c r="AC118" s="8">
        <f t="shared" si="177"/>
        <v>0</v>
      </c>
      <c r="AD118" s="8">
        <f t="shared" si="177"/>
        <v>0</v>
      </c>
      <c r="AE118" s="8">
        <f t="shared" si="177"/>
        <v>0</v>
      </c>
      <c r="AF118" s="8">
        <f t="shared" si="177"/>
        <v>0</v>
      </c>
      <c r="AG118" s="9">
        <f t="shared" si="177"/>
        <v>0</v>
      </c>
      <c r="AH118" s="9">
        <f t="shared" si="177"/>
        <v>0</v>
      </c>
      <c r="AI118" s="9">
        <f t="shared" si="177"/>
        <v>0</v>
      </c>
      <c r="AJ118" s="9">
        <f t="shared" si="177"/>
        <v>0</v>
      </c>
      <c r="AK118" s="9">
        <f t="shared" si="177"/>
        <v>0</v>
      </c>
      <c r="AL118" s="9">
        <f t="shared" si="177"/>
        <v>0</v>
      </c>
      <c r="AM118" s="9">
        <f t="shared" si="177"/>
        <v>0</v>
      </c>
      <c r="AN118" s="74">
        <f t="shared" si="177"/>
        <v>0</v>
      </c>
      <c r="AO118" s="270">
        <f t="shared" si="177"/>
        <v>11122385</v>
      </c>
      <c r="AP118" s="8">
        <f t="shared" si="177"/>
        <v>7960048</v>
      </c>
      <c r="AQ118" s="38">
        <f t="shared" si="177"/>
        <v>78885</v>
      </c>
      <c r="AR118" s="38">
        <f t="shared" si="177"/>
        <v>18885</v>
      </c>
      <c r="AS118" s="8">
        <f t="shared" si="177"/>
        <v>2710775</v>
      </c>
      <c r="AT118" s="8">
        <f t="shared" si="177"/>
        <v>159201</v>
      </c>
      <c r="AU118" s="8">
        <f t="shared" si="177"/>
        <v>213476</v>
      </c>
      <c r="AV118" s="9">
        <f t="shared" si="177"/>
        <v>18.267599999999995</v>
      </c>
      <c r="AW118" s="9">
        <f t="shared" si="177"/>
        <v>11.227200000000002</v>
      </c>
      <c r="AX118" s="74">
        <f t="shared" si="177"/>
        <v>7.0403999999999991</v>
      </c>
    </row>
    <row r="119" spans="1:50" s="695" customFormat="1" x14ac:dyDescent="0.2">
      <c r="A119" s="720">
        <v>22</v>
      </c>
      <c r="B119" s="721">
        <v>4412</v>
      </c>
      <c r="C119" s="721">
        <v>600074447</v>
      </c>
      <c r="D119" s="721">
        <v>70698554</v>
      </c>
      <c r="E119" s="722" t="s">
        <v>191</v>
      </c>
      <c r="F119" s="721">
        <v>3111</v>
      </c>
      <c r="G119" s="531" t="s">
        <v>317</v>
      </c>
      <c r="H119" s="767" t="s">
        <v>283</v>
      </c>
      <c r="I119" s="495">
        <v>3450607</v>
      </c>
      <c r="J119" s="496">
        <v>2512597</v>
      </c>
      <c r="K119" s="496">
        <v>0</v>
      </c>
      <c r="L119" s="496">
        <v>0</v>
      </c>
      <c r="M119" s="496">
        <v>849258</v>
      </c>
      <c r="N119" s="496">
        <v>50252</v>
      </c>
      <c r="O119" s="496">
        <v>38500</v>
      </c>
      <c r="P119" s="497">
        <v>5.6150000000000002</v>
      </c>
      <c r="Q119" s="412">
        <v>4.1252000000000004</v>
      </c>
      <c r="R119" s="764">
        <v>1.4897999999999998</v>
      </c>
      <c r="S119" s="530">
        <f t="shared" ref="S119:S121" si="178">W119*-1</f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486">
        <v>0</v>
      </c>
      <c r="Y119" s="486">
        <f>SUM(W119:X119)</f>
        <v>0</v>
      </c>
      <c r="Z119" s="486">
        <f>V119+Y119</f>
        <v>0</v>
      </c>
      <c r="AA119" s="319">
        <f>ROUND((V119+W119)*33.8%,0)</f>
        <v>0</v>
      </c>
      <c r="AB119" s="178">
        <f>ROUND(V119*2%,0)</f>
        <v>0</v>
      </c>
      <c r="AC119" s="486">
        <v>0</v>
      </c>
      <c r="AD119" s="486">
        <v>0</v>
      </c>
      <c r="AE119" s="486">
        <f t="shared" si="121"/>
        <v>0</v>
      </c>
      <c r="AF119" s="486">
        <f t="shared" si="122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ref="AL119:AL121" si="179">AG119+AI119+AJ119</f>
        <v>0</v>
      </c>
      <c r="AM119" s="501">
        <f t="shared" ref="AM119:AM121" si="180">AH119+AK119</f>
        <v>0</v>
      </c>
      <c r="AN119" s="502">
        <f t="shared" si="123"/>
        <v>0</v>
      </c>
      <c r="AO119" s="499">
        <f>I119+AF119</f>
        <v>3450607</v>
      </c>
      <c r="AP119" s="486">
        <f>J119+V119</f>
        <v>2512597</v>
      </c>
      <c r="AQ119" s="486">
        <f>K119+Y119</f>
        <v>0</v>
      </c>
      <c r="AR119" s="486">
        <f>L119</f>
        <v>0</v>
      </c>
      <c r="AS119" s="486">
        <f t="shared" ref="AS119:AT121" si="181">M119+AA119</f>
        <v>849258</v>
      </c>
      <c r="AT119" s="486">
        <f t="shared" si="181"/>
        <v>50252</v>
      </c>
      <c r="AU119" s="486">
        <f>O119+AE119</f>
        <v>38500</v>
      </c>
      <c r="AV119" s="501">
        <f>P119+AN119</f>
        <v>5.6150000000000002</v>
      </c>
      <c r="AW119" s="501">
        <f t="shared" ref="AW119:AX121" si="182">Q119+AL119</f>
        <v>4.1252000000000004</v>
      </c>
      <c r="AX119" s="502">
        <f t="shared" si="182"/>
        <v>1.4897999999999998</v>
      </c>
    </row>
    <row r="120" spans="1:50" s="695" customFormat="1" x14ac:dyDescent="0.2">
      <c r="A120" s="720">
        <v>22</v>
      </c>
      <c r="B120" s="721">
        <v>4412</v>
      </c>
      <c r="C120" s="721">
        <v>600074447</v>
      </c>
      <c r="D120" s="721">
        <v>70698554</v>
      </c>
      <c r="E120" s="722" t="s">
        <v>191</v>
      </c>
      <c r="F120" s="721">
        <v>3111</v>
      </c>
      <c r="G120" s="531" t="s">
        <v>318</v>
      </c>
      <c r="H120" s="767" t="s">
        <v>284</v>
      </c>
      <c r="I120" s="495">
        <v>169075</v>
      </c>
      <c r="J120" s="496">
        <v>124503</v>
      </c>
      <c r="K120" s="475">
        <v>0</v>
      </c>
      <c r="L120" s="475">
        <v>0</v>
      </c>
      <c r="M120" s="319">
        <v>42082</v>
      </c>
      <c r="N120" s="319">
        <v>2490</v>
      </c>
      <c r="O120" s="496">
        <v>0</v>
      </c>
      <c r="P120" s="497">
        <v>0.5</v>
      </c>
      <c r="Q120" s="412">
        <v>0.5</v>
      </c>
      <c r="R120" s="764">
        <v>0</v>
      </c>
      <c r="S120" s="530">
        <f t="shared" si="178"/>
        <v>0</v>
      </c>
      <c r="T120" s="486">
        <v>0</v>
      </c>
      <c r="U120" s="486">
        <v>0</v>
      </c>
      <c r="V120" s="486">
        <f>SUM(S120:U120)</f>
        <v>0</v>
      </c>
      <c r="W120" s="486">
        <v>0</v>
      </c>
      <c r="X120" s="486">
        <v>0</v>
      </c>
      <c r="Y120" s="486">
        <f>SUM(W120:X120)</f>
        <v>0</v>
      </c>
      <c r="Z120" s="486">
        <f>V120+Y120</f>
        <v>0</v>
      </c>
      <c r="AA120" s="319">
        <f>ROUND((V120+W120)*33.8%,0)</f>
        <v>0</v>
      </c>
      <c r="AB120" s="178">
        <f>ROUND(V120*2%,0)</f>
        <v>0</v>
      </c>
      <c r="AC120" s="486">
        <v>0</v>
      </c>
      <c r="AD120" s="486">
        <v>0</v>
      </c>
      <c r="AE120" s="486">
        <f t="shared" si="121"/>
        <v>0</v>
      </c>
      <c r="AF120" s="486">
        <f t="shared" si="122"/>
        <v>0</v>
      </c>
      <c r="AG120" s="501">
        <v>0</v>
      </c>
      <c r="AH120" s="501">
        <v>0</v>
      </c>
      <c r="AI120" s="501">
        <v>0</v>
      </c>
      <c r="AJ120" s="501">
        <v>0</v>
      </c>
      <c r="AK120" s="501">
        <v>0</v>
      </c>
      <c r="AL120" s="501">
        <f t="shared" si="179"/>
        <v>0</v>
      </c>
      <c r="AM120" s="501">
        <f t="shared" si="180"/>
        <v>0</v>
      </c>
      <c r="AN120" s="502">
        <f t="shared" si="123"/>
        <v>0</v>
      </c>
      <c r="AO120" s="499">
        <f>I120+AF120</f>
        <v>169075</v>
      </c>
      <c r="AP120" s="486">
        <f>J120+V120</f>
        <v>124503</v>
      </c>
      <c r="AQ120" s="486">
        <f>K120+Y120</f>
        <v>0</v>
      </c>
      <c r="AR120" s="486">
        <f>L120</f>
        <v>0</v>
      </c>
      <c r="AS120" s="486">
        <f t="shared" si="181"/>
        <v>42082</v>
      </c>
      <c r="AT120" s="486">
        <f t="shared" si="181"/>
        <v>2490</v>
      </c>
      <c r="AU120" s="486">
        <f>O120+AE120</f>
        <v>0</v>
      </c>
      <c r="AV120" s="501">
        <f>P120+AN120</f>
        <v>0.5</v>
      </c>
      <c r="AW120" s="501">
        <f t="shared" si="182"/>
        <v>0.5</v>
      </c>
      <c r="AX120" s="502">
        <f t="shared" si="182"/>
        <v>0</v>
      </c>
    </row>
    <row r="121" spans="1:50" s="695" customFormat="1" x14ac:dyDescent="0.2">
      <c r="A121" s="720">
        <v>22</v>
      </c>
      <c r="B121" s="721">
        <v>4412</v>
      </c>
      <c r="C121" s="721">
        <v>600074447</v>
      </c>
      <c r="D121" s="721">
        <v>70698554</v>
      </c>
      <c r="E121" s="712" t="s">
        <v>191</v>
      </c>
      <c r="F121" s="721">
        <v>3141</v>
      </c>
      <c r="G121" s="531" t="s">
        <v>321</v>
      </c>
      <c r="H121" s="767" t="s">
        <v>284</v>
      </c>
      <c r="I121" s="495">
        <v>641608</v>
      </c>
      <c r="J121" s="496">
        <v>470116</v>
      </c>
      <c r="K121" s="475">
        <v>0</v>
      </c>
      <c r="L121" s="475">
        <v>0</v>
      </c>
      <c r="M121" s="319">
        <v>158900</v>
      </c>
      <c r="N121" s="319">
        <v>9402</v>
      </c>
      <c r="O121" s="496">
        <v>3190</v>
      </c>
      <c r="P121" s="497">
        <v>1.5999999999999999</v>
      </c>
      <c r="Q121" s="412">
        <v>0</v>
      </c>
      <c r="R121" s="764">
        <v>1.5999999999999999</v>
      </c>
      <c r="S121" s="530">
        <f t="shared" si="178"/>
        <v>0</v>
      </c>
      <c r="T121" s="486">
        <v>0</v>
      </c>
      <c r="U121" s="486">
        <v>0</v>
      </c>
      <c r="V121" s="486">
        <f>SUM(S121:U121)</f>
        <v>0</v>
      </c>
      <c r="W121" s="486">
        <v>0</v>
      </c>
      <c r="X121" s="486">
        <v>0</v>
      </c>
      <c r="Y121" s="486">
        <f>SUM(W121:X121)</f>
        <v>0</v>
      </c>
      <c r="Z121" s="486">
        <f>V121+Y121</f>
        <v>0</v>
      </c>
      <c r="AA121" s="319">
        <f>ROUND((V121+W121)*33.8%,0)</f>
        <v>0</v>
      </c>
      <c r="AB121" s="178">
        <f>ROUND(V121*2%,0)</f>
        <v>0</v>
      </c>
      <c r="AC121" s="486">
        <v>0</v>
      </c>
      <c r="AD121" s="486">
        <v>0</v>
      </c>
      <c r="AE121" s="486">
        <f t="shared" si="121"/>
        <v>0</v>
      </c>
      <c r="AF121" s="486">
        <f t="shared" si="122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si="179"/>
        <v>0</v>
      </c>
      <c r="AM121" s="501">
        <f t="shared" si="180"/>
        <v>0</v>
      </c>
      <c r="AN121" s="502">
        <f t="shared" si="123"/>
        <v>0</v>
      </c>
      <c r="AO121" s="499">
        <f>I121+AF121</f>
        <v>641608</v>
      </c>
      <c r="AP121" s="486">
        <f>J121+V121</f>
        <v>470116</v>
      </c>
      <c r="AQ121" s="486">
        <f>K121+Y121</f>
        <v>0</v>
      </c>
      <c r="AR121" s="486">
        <f>L121</f>
        <v>0</v>
      </c>
      <c r="AS121" s="486">
        <f t="shared" si="181"/>
        <v>158900</v>
      </c>
      <c r="AT121" s="486">
        <f t="shared" si="181"/>
        <v>9402</v>
      </c>
      <c r="AU121" s="486">
        <f>O121+AE121</f>
        <v>3190</v>
      </c>
      <c r="AV121" s="501">
        <f>P121+AN121</f>
        <v>1.5999999999999999</v>
      </c>
      <c r="AW121" s="501">
        <f t="shared" si="182"/>
        <v>0</v>
      </c>
      <c r="AX121" s="502">
        <f t="shared" si="182"/>
        <v>1.5999999999999999</v>
      </c>
    </row>
    <row r="122" spans="1:50" s="695" customFormat="1" x14ac:dyDescent="0.2">
      <c r="A122" s="282">
        <v>22</v>
      </c>
      <c r="B122" s="27">
        <v>4412</v>
      </c>
      <c r="C122" s="27">
        <v>600074447</v>
      </c>
      <c r="D122" s="27">
        <v>70698554</v>
      </c>
      <c r="E122" s="292" t="s">
        <v>192</v>
      </c>
      <c r="F122" s="27"/>
      <c r="G122" s="281"/>
      <c r="H122" s="377"/>
      <c r="I122" s="5">
        <v>4261290</v>
      </c>
      <c r="J122" s="8">
        <v>3107216</v>
      </c>
      <c r="K122" s="8">
        <v>0</v>
      </c>
      <c r="L122" s="8">
        <v>0</v>
      </c>
      <c r="M122" s="8">
        <v>1050240</v>
      </c>
      <c r="N122" s="8">
        <v>62144</v>
      </c>
      <c r="O122" s="8">
        <v>41690</v>
      </c>
      <c r="P122" s="9">
        <v>7.7149999999999999</v>
      </c>
      <c r="Q122" s="9">
        <v>4.6252000000000004</v>
      </c>
      <c r="R122" s="33">
        <v>3.0897999999999994</v>
      </c>
      <c r="S122" s="5">
        <f t="shared" ref="S122:AX122" si="183">SUM(S119:S121)</f>
        <v>0</v>
      </c>
      <c r="T122" s="8">
        <f t="shared" si="183"/>
        <v>0</v>
      </c>
      <c r="U122" s="8">
        <f t="shared" si="183"/>
        <v>0</v>
      </c>
      <c r="V122" s="8">
        <f t="shared" si="183"/>
        <v>0</v>
      </c>
      <c r="W122" s="8">
        <f t="shared" si="183"/>
        <v>0</v>
      </c>
      <c r="X122" s="8">
        <f t="shared" si="183"/>
        <v>0</v>
      </c>
      <c r="Y122" s="8">
        <f t="shared" si="183"/>
        <v>0</v>
      </c>
      <c r="Z122" s="8">
        <f t="shared" si="183"/>
        <v>0</v>
      </c>
      <c r="AA122" s="8">
        <f t="shared" si="183"/>
        <v>0</v>
      </c>
      <c r="AB122" s="8">
        <f t="shared" si="183"/>
        <v>0</v>
      </c>
      <c r="AC122" s="8">
        <f t="shared" si="183"/>
        <v>0</v>
      </c>
      <c r="AD122" s="8">
        <f t="shared" si="183"/>
        <v>0</v>
      </c>
      <c r="AE122" s="8">
        <f t="shared" si="183"/>
        <v>0</v>
      </c>
      <c r="AF122" s="8">
        <f t="shared" si="183"/>
        <v>0</v>
      </c>
      <c r="AG122" s="9">
        <f t="shared" si="183"/>
        <v>0</v>
      </c>
      <c r="AH122" s="9">
        <f t="shared" si="183"/>
        <v>0</v>
      </c>
      <c r="AI122" s="9">
        <f t="shared" si="183"/>
        <v>0</v>
      </c>
      <c r="AJ122" s="9">
        <f t="shared" si="183"/>
        <v>0</v>
      </c>
      <c r="AK122" s="9">
        <f t="shared" si="183"/>
        <v>0</v>
      </c>
      <c r="AL122" s="9">
        <f t="shared" si="183"/>
        <v>0</v>
      </c>
      <c r="AM122" s="9">
        <f t="shared" si="183"/>
        <v>0</v>
      </c>
      <c r="AN122" s="74">
        <f t="shared" si="183"/>
        <v>0</v>
      </c>
      <c r="AO122" s="270">
        <f t="shared" si="183"/>
        <v>4261290</v>
      </c>
      <c r="AP122" s="8">
        <f t="shared" si="183"/>
        <v>3107216</v>
      </c>
      <c r="AQ122" s="38">
        <f t="shared" si="183"/>
        <v>0</v>
      </c>
      <c r="AR122" s="38">
        <f t="shared" si="183"/>
        <v>0</v>
      </c>
      <c r="AS122" s="8">
        <f t="shared" si="183"/>
        <v>1050240</v>
      </c>
      <c r="AT122" s="8">
        <f t="shared" si="183"/>
        <v>62144</v>
      </c>
      <c r="AU122" s="8">
        <f t="shared" si="183"/>
        <v>41690</v>
      </c>
      <c r="AV122" s="9">
        <f t="shared" si="183"/>
        <v>7.7149999999999999</v>
      </c>
      <c r="AW122" s="9">
        <f t="shared" si="183"/>
        <v>4.6252000000000004</v>
      </c>
      <c r="AX122" s="74">
        <f t="shared" si="183"/>
        <v>3.0897999999999994</v>
      </c>
    </row>
    <row r="123" spans="1:50" s="695" customFormat="1" x14ac:dyDescent="0.2">
      <c r="A123" s="720">
        <v>23</v>
      </c>
      <c r="B123" s="721">
        <v>4413</v>
      </c>
      <c r="C123" s="721">
        <v>600074455</v>
      </c>
      <c r="D123" s="721">
        <v>70695369</v>
      </c>
      <c r="E123" s="722" t="s">
        <v>193</v>
      </c>
      <c r="F123" s="721">
        <v>3111</v>
      </c>
      <c r="G123" s="531" t="s">
        <v>317</v>
      </c>
      <c r="H123" s="767" t="s">
        <v>283</v>
      </c>
      <c r="I123" s="495">
        <v>7490313</v>
      </c>
      <c r="J123" s="496">
        <v>5464663</v>
      </c>
      <c r="K123" s="496">
        <v>0</v>
      </c>
      <c r="L123" s="496">
        <v>0</v>
      </c>
      <c r="M123" s="496">
        <v>1847056</v>
      </c>
      <c r="N123" s="496">
        <v>109294</v>
      </c>
      <c r="O123" s="496">
        <v>69300</v>
      </c>
      <c r="P123" s="497">
        <v>12.5382</v>
      </c>
      <c r="Q123" s="412">
        <v>9.67</v>
      </c>
      <c r="R123" s="764">
        <v>2.8681999999999999</v>
      </c>
      <c r="S123" s="530">
        <f t="shared" ref="S123:S127" si="184">W123*-1</f>
        <v>0</v>
      </c>
      <c r="T123" s="486">
        <v>0</v>
      </c>
      <c r="U123" s="486">
        <v>0</v>
      </c>
      <c r="V123" s="486">
        <f>SUM(S123:U123)</f>
        <v>0</v>
      </c>
      <c r="W123" s="486">
        <v>0</v>
      </c>
      <c r="X123" s="486">
        <v>0</v>
      </c>
      <c r="Y123" s="486">
        <f>SUM(W123:X123)</f>
        <v>0</v>
      </c>
      <c r="Z123" s="486">
        <f>V123+Y123</f>
        <v>0</v>
      </c>
      <c r="AA123" s="319">
        <f>ROUND((V123+W123)*33.8%,0)</f>
        <v>0</v>
      </c>
      <c r="AB123" s="178">
        <f>ROUND(V123*2%,0)</f>
        <v>0</v>
      </c>
      <c r="AC123" s="486">
        <v>0</v>
      </c>
      <c r="AD123" s="486">
        <v>0</v>
      </c>
      <c r="AE123" s="486">
        <f t="shared" si="121"/>
        <v>0</v>
      </c>
      <c r="AF123" s="486">
        <f t="shared" si="122"/>
        <v>0</v>
      </c>
      <c r="AG123" s="501">
        <v>0</v>
      </c>
      <c r="AH123" s="501">
        <v>0</v>
      </c>
      <c r="AI123" s="501">
        <v>0</v>
      </c>
      <c r="AJ123" s="501">
        <v>0</v>
      </c>
      <c r="AK123" s="501">
        <v>0</v>
      </c>
      <c r="AL123" s="501">
        <f t="shared" ref="AL123:AL127" si="185">AG123+AI123+AJ123</f>
        <v>0</v>
      </c>
      <c r="AM123" s="501">
        <f t="shared" ref="AM123:AM127" si="186">AH123+AK123</f>
        <v>0</v>
      </c>
      <c r="AN123" s="502">
        <f t="shared" si="123"/>
        <v>0</v>
      </c>
      <c r="AO123" s="499">
        <f>I123+AF123</f>
        <v>7490313</v>
      </c>
      <c r="AP123" s="486">
        <f>J123+V123</f>
        <v>5464663</v>
      </c>
      <c r="AQ123" s="486">
        <f>K123+Y123</f>
        <v>0</v>
      </c>
      <c r="AR123" s="486">
        <f>L123</f>
        <v>0</v>
      </c>
      <c r="AS123" s="486">
        <f t="shared" ref="AS123:AT127" si="187">M123+AA123</f>
        <v>1847056</v>
      </c>
      <c r="AT123" s="486">
        <f t="shared" si="187"/>
        <v>109294</v>
      </c>
      <c r="AU123" s="486">
        <f>O123+AE123</f>
        <v>69300</v>
      </c>
      <c r="AV123" s="501">
        <f>P123+AN123</f>
        <v>12.5382</v>
      </c>
      <c r="AW123" s="501">
        <f t="shared" ref="AW123:AX127" si="188">Q123+AL123</f>
        <v>9.67</v>
      </c>
      <c r="AX123" s="502">
        <f t="shared" si="188"/>
        <v>2.8681999999999999</v>
      </c>
    </row>
    <row r="124" spans="1:50" s="695" customFormat="1" x14ac:dyDescent="0.2">
      <c r="A124" s="720">
        <v>23</v>
      </c>
      <c r="B124" s="721">
        <v>4413</v>
      </c>
      <c r="C124" s="721">
        <v>600074455</v>
      </c>
      <c r="D124" s="721">
        <v>70695369</v>
      </c>
      <c r="E124" s="722" t="s">
        <v>193</v>
      </c>
      <c r="F124" s="721">
        <v>3111</v>
      </c>
      <c r="G124" s="531" t="s">
        <v>318</v>
      </c>
      <c r="H124" s="767" t="s">
        <v>284</v>
      </c>
      <c r="I124" s="495">
        <v>1670084</v>
      </c>
      <c r="J124" s="496">
        <v>1228339</v>
      </c>
      <c r="K124" s="475">
        <v>0</v>
      </c>
      <c r="L124" s="475">
        <v>0</v>
      </c>
      <c r="M124" s="319">
        <v>415178</v>
      </c>
      <c r="N124" s="319">
        <v>24567</v>
      </c>
      <c r="O124" s="496">
        <v>2000</v>
      </c>
      <c r="P124" s="497">
        <v>3.65</v>
      </c>
      <c r="Q124" s="412">
        <v>3.65</v>
      </c>
      <c r="R124" s="764">
        <v>0</v>
      </c>
      <c r="S124" s="530">
        <f t="shared" si="184"/>
        <v>0</v>
      </c>
      <c r="T124" s="486">
        <v>0</v>
      </c>
      <c r="U124" s="486">
        <v>0</v>
      </c>
      <c r="V124" s="486">
        <f>SUM(S124:U124)</f>
        <v>0</v>
      </c>
      <c r="W124" s="486">
        <v>0</v>
      </c>
      <c r="X124" s="486">
        <v>0</v>
      </c>
      <c r="Y124" s="486">
        <f>SUM(W124:X124)</f>
        <v>0</v>
      </c>
      <c r="Z124" s="486">
        <f>V124+Y124</f>
        <v>0</v>
      </c>
      <c r="AA124" s="319">
        <f>ROUND((V124+W124)*33.8%,0)</f>
        <v>0</v>
      </c>
      <c r="AB124" s="178">
        <f>ROUND(V124*2%,0)</f>
        <v>0</v>
      </c>
      <c r="AC124" s="486">
        <v>0</v>
      </c>
      <c r="AD124" s="486">
        <v>0</v>
      </c>
      <c r="AE124" s="486">
        <f t="shared" si="121"/>
        <v>0</v>
      </c>
      <c r="AF124" s="486">
        <f t="shared" si="122"/>
        <v>0</v>
      </c>
      <c r="AG124" s="501">
        <v>0</v>
      </c>
      <c r="AH124" s="501">
        <v>0</v>
      </c>
      <c r="AI124" s="501">
        <v>0</v>
      </c>
      <c r="AJ124" s="501">
        <v>0</v>
      </c>
      <c r="AK124" s="501">
        <v>0</v>
      </c>
      <c r="AL124" s="501">
        <f t="shared" si="185"/>
        <v>0</v>
      </c>
      <c r="AM124" s="501">
        <f t="shared" si="186"/>
        <v>0</v>
      </c>
      <c r="AN124" s="502">
        <f t="shared" si="123"/>
        <v>0</v>
      </c>
      <c r="AO124" s="499">
        <f>I124+AF124</f>
        <v>1670084</v>
      </c>
      <c r="AP124" s="486">
        <f>J124+V124</f>
        <v>1228339</v>
      </c>
      <c r="AQ124" s="486">
        <f>K124+Y124</f>
        <v>0</v>
      </c>
      <c r="AR124" s="486">
        <f>L124</f>
        <v>0</v>
      </c>
      <c r="AS124" s="486">
        <f t="shared" si="187"/>
        <v>415178</v>
      </c>
      <c r="AT124" s="486">
        <f t="shared" si="187"/>
        <v>24567</v>
      </c>
      <c r="AU124" s="486">
        <f>O124+AE124</f>
        <v>2000</v>
      </c>
      <c r="AV124" s="501">
        <f>P124+AN124</f>
        <v>3.65</v>
      </c>
      <c r="AW124" s="501">
        <f t="shared" si="188"/>
        <v>3.65</v>
      </c>
      <c r="AX124" s="502">
        <f t="shared" si="188"/>
        <v>0</v>
      </c>
    </row>
    <row r="125" spans="1:50" s="695" customFormat="1" x14ac:dyDescent="0.2">
      <c r="A125" s="720">
        <v>23</v>
      </c>
      <c r="B125" s="721">
        <v>4413</v>
      </c>
      <c r="C125" s="721">
        <v>600074455</v>
      </c>
      <c r="D125" s="721">
        <v>70695369</v>
      </c>
      <c r="E125" s="722" t="s">
        <v>193</v>
      </c>
      <c r="F125" s="721">
        <v>3141</v>
      </c>
      <c r="G125" s="531" t="s">
        <v>321</v>
      </c>
      <c r="H125" s="767" t="s">
        <v>284</v>
      </c>
      <c r="I125" s="495">
        <v>1442401</v>
      </c>
      <c r="J125" s="496">
        <v>1056428</v>
      </c>
      <c r="K125" s="475">
        <v>0</v>
      </c>
      <c r="L125" s="475">
        <v>0</v>
      </c>
      <c r="M125" s="319">
        <v>357073</v>
      </c>
      <c r="N125" s="319">
        <v>21128</v>
      </c>
      <c r="O125" s="496">
        <v>7772</v>
      </c>
      <c r="P125" s="497">
        <v>3.5900000000000003</v>
      </c>
      <c r="Q125" s="412">
        <v>0</v>
      </c>
      <c r="R125" s="764">
        <v>3.5900000000000003</v>
      </c>
      <c r="S125" s="530">
        <f t="shared" si="184"/>
        <v>0</v>
      </c>
      <c r="T125" s="486">
        <v>0</v>
      </c>
      <c r="U125" s="486">
        <v>0</v>
      </c>
      <c r="V125" s="486">
        <f>SUM(S125:U125)</f>
        <v>0</v>
      </c>
      <c r="W125" s="486">
        <v>0</v>
      </c>
      <c r="X125" s="486">
        <v>0</v>
      </c>
      <c r="Y125" s="486">
        <f>SUM(W125:X125)</f>
        <v>0</v>
      </c>
      <c r="Z125" s="486">
        <f>V125+Y125</f>
        <v>0</v>
      </c>
      <c r="AA125" s="319">
        <f>ROUND((V125+W125)*33.8%,0)</f>
        <v>0</v>
      </c>
      <c r="AB125" s="178">
        <f>ROUND(V125*2%,0)</f>
        <v>0</v>
      </c>
      <c r="AC125" s="486">
        <v>0</v>
      </c>
      <c r="AD125" s="486">
        <v>0</v>
      </c>
      <c r="AE125" s="486">
        <f t="shared" si="121"/>
        <v>0</v>
      </c>
      <c r="AF125" s="486">
        <f t="shared" si="122"/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si="185"/>
        <v>0</v>
      </c>
      <c r="AM125" s="501">
        <f t="shared" si="186"/>
        <v>0</v>
      </c>
      <c r="AN125" s="502">
        <f t="shared" si="123"/>
        <v>0</v>
      </c>
      <c r="AO125" s="499">
        <f>I125+AF125</f>
        <v>1442401</v>
      </c>
      <c r="AP125" s="486">
        <f>J125+V125</f>
        <v>1056428</v>
      </c>
      <c r="AQ125" s="486">
        <f>K125+Y125</f>
        <v>0</v>
      </c>
      <c r="AR125" s="486">
        <f>L125</f>
        <v>0</v>
      </c>
      <c r="AS125" s="486">
        <f t="shared" si="187"/>
        <v>357073</v>
      </c>
      <c r="AT125" s="486">
        <f t="shared" si="187"/>
        <v>21128</v>
      </c>
      <c r="AU125" s="486">
        <f>O125+AE125</f>
        <v>7772</v>
      </c>
      <c r="AV125" s="501">
        <f>P125+AN125</f>
        <v>3.5900000000000003</v>
      </c>
      <c r="AW125" s="501">
        <f t="shared" si="188"/>
        <v>0</v>
      </c>
      <c r="AX125" s="502">
        <f t="shared" si="188"/>
        <v>3.5900000000000003</v>
      </c>
    </row>
    <row r="126" spans="1:50" s="695" customFormat="1" x14ac:dyDescent="0.2">
      <c r="A126" s="720">
        <v>23</v>
      </c>
      <c r="B126" s="721">
        <v>4413</v>
      </c>
      <c r="C126" s="721">
        <v>600074455</v>
      </c>
      <c r="D126" s="721">
        <v>70695369</v>
      </c>
      <c r="E126" s="722" t="s">
        <v>193</v>
      </c>
      <c r="F126" s="721">
        <v>3143</v>
      </c>
      <c r="G126" s="531" t="s">
        <v>634</v>
      </c>
      <c r="H126" s="701" t="s">
        <v>283</v>
      </c>
      <c r="I126" s="495">
        <v>1129643</v>
      </c>
      <c r="J126" s="496">
        <v>831843</v>
      </c>
      <c r="K126" s="475">
        <v>0</v>
      </c>
      <c r="L126" s="475">
        <v>0</v>
      </c>
      <c r="M126" s="319">
        <v>281163</v>
      </c>
      <c r="N126" s="319">
        <v>16637</v>
      </c>
      <c r="O126" s="496">
        <v>0</v>
      </c>
      <c r="P126" s="497">
        <v>2</v>
      </c>
      <c r="Q126" s="412">
        <v>2</v>
      </c>
      <c r="R126" s="764">
        <v>0</v>
      </c>
      <c r="S126" s="530">
        <f t="shared" si="184"/>
        <v>0</v>
      </c>
      <c r="T126" s="486">
        <v>0</v>
      </c>
      <c r="U126" s="486">
        <v>0</v>
      </c>
      <c r="V126" s="486">
        <f>SUM(S126:U126)</f>
        <v>0</v>
      </c>
      <c r="W126" s="486">
        <v>0</v>
      </c>
      <c r="X126" s="486">
        <v>0</v>
      </c>
      <c r="Y126" s="486">
        <f>SUM(W126:X126)</f>
        <v>0</v>
      </c>
      <c r="Z126" s="486">
        <f>V126+Y126</f>
        <v>0</v>
      </c>
      <c r="AA126" s="319">
        <f>ROUND((V126+W126)*33.8%,0)</f>
        <v>0</v>
      </c>
      <c r="AB126" s="178">
        <f>ROUND(V126*2%,0)</f>
        <v>0</v>
      </c>
      <c r="AC126" s="486">
        <v>0</v>
      </c>
      <c r="AD126" s="486">
        <v>0</v>
      </c>
      <c r="AE126" s="486">
        <f t="shared" si="121"/>
        <v>0</v>
      </c>
      <c r="AF126" s="486">
        <f t="shared" si="122"/>
        <v>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si="185"/>
        <v>0</v>
      </c>
      <c r="AM126" s="501">
        <f t="shared" si="186"/>
        <v>0</v>
      </c>
      <c r="AN126" s="502">
        <f t="shared" si="123"/>
        <v>0</v>
      </c>
      <c r="AO126" s="499">
        <f>I126+AF126</f>
        <v>1129643</v>
      </c>
      <c r="AP126" s="486">
        <f>J126+V126</f>
        <v>831843</v>
      </c>
      <c r="AQ126" s="486">
        <f>K126+Y126</f>
        <v>0</v>
      </c>
      <c r="AR126" s="486">
        <f>L126</f>
        <v>0</v>
      </c>
      <c r="AS126" s="486">
        <f t="shared" si="187"/>
        <v>281163</v>
      </c>
      <c r="AT126" s="486">
        <f t="shared" si="187"/>
        <v>16637</v>
      </c>
      <c r="AU126" s="486">
        <f>O126+AE126</f>
        <v>0</v>
      </c>
      <c r="AV126" s="501">
        <f>P126+AN126</f>
        <v>2</v>
      </c>
      <c r="AW126" s="501">
        <f t="shared" si="188"/>
        <v>2</v>
      </c>
      <c r="AX126" s="502">
        <f t="shared" si="188"/>
        <v>0</v>
      </c>
    </row>
    <row r="127" spans="1:50" s="695" customFormat="1" x14ac:dyDescent="0.2">
      <c r="A127" s="720">
        <v>23</v>
      </c>
      <c r="B127" s="721">
        <v>4413</v>
      </c>
      <c r="C127" s="721">
        <v>600074455</v>
      </c>
      <c r="D127" s="721">
        <v>70695369</v>
      </c>
      <c r="E127" s="722" t="s">
        <v>193</v>
      </c>
      <c r="F127" s="721">
        <v>3143</v>
      </c>
      <c r="G127" s="531" t="s">
        <v>635</v>
      </c>
      <c r="H127" s="701" t="s">
        <v>284</v>
      </c>
      <c r="I127" s="495">
        <v>24578</v>
      </c>
      <c r="J127" s="496">
        <v>17325</v>
      </c>
      <c r="K127" s="475">
        <v>0</v>
      </c>
      <c r="L127" s="475">
        <v>0</v>
      </c>
      <c r="M127" s="319">
        <v>5856</v>
      </c>
      <c r="N127" s="319">
        <v>347</v>
      </c>
      <c r="O127" s="496">
        <v>1050</v>
      </c>
      <c r="P127" s="497">
        <v>7.0000000000000007E-2</v>
      </c>
      <c r="Q127" s="412">
        <v>0</v>
      </c>
      <c r="R127" s="764">
        <v>7.0000000000000007E-2</v>
      </c>
      <c r="S127" s="530">
        <f t="shared" si="184"/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319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 t="shared" si="121"/>
        <v>0</v>
      </c>
      <c r="AF127" s="486">
        <f t="shared" si="122"/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si="185"/>
        <v>0</v>
      </c>
      <c r="AM127" s="501">
        <f t="shared" si="186"/>
        <v>0</v>
      </c>
      <c r="AN127" s="502">
        <f t="shared" si="123"/>
        <v>0</v>
      </c>
      <c r="AO127" s="499">
        <f>I127+AF127</f>
        <v>24578</v>
      </c>
      <c r="AP127" s="486">
        <f>J127+V127</f>
        <v>17325</v>
      </c>
      <c r="AQ127" s="486">
        <f>K127+Y127</f>
        <v>0</v>
      </c>
      <c r="AR127" s="486">
        <f>L127</f>
        <v>0</v>
      </c>
      <c r="AS127" s="486">
        <f t="shared" si="187"/>
        <v>5856</v>
      </c>
      <c r="AT127" s="486">
        <f t="shared" si="187"/>
        <v>347</v>
      </c>
      <c r="AU127" s="486">
        <f>O127+AE127</f>
        <v>1050</v>
      </c>
      <c r="AV127" s="501">
        <f>P127+AN127</f>
        <v>7.0000000000000007E-2</v>
      </c>
      <c r="AW127" s="501">
        <f t="shared" si="188"/>
        <v>0</v>
      </c>
      <c r="AX127" s="502">
        <f t="shared" si="188"/>
        <v>7.0000000000000007E-2</v>
      </c>
    </row>
    <row r="128" spans="1:50" s="695" customFormat="1" x14ac:dyDescent="0.2">
      <c r="A128" s="282">
        <v>23</v>
      </c>
      <c r="B128" s="27">
        <v>4413</v>
      </c>
      <c r="C128" s="27">
        <v>600074455</v>
      </c>
      <c r="D128" s="27">
        <v>70695369</v>
      </c>
      <c r="E128" s="292" t="s">
        <v>194</v>
      </c>
      <c r="F128" s="27"/>
      <c r="G128" s="281"/>
      <c r="H128" s="377"/>
      <c r="I128" s="5">
        <v>11757019</v>
      </c>
      <c r="J128" s="8">
        <v>8598598</v>
      </c>
      <c r="K128" s="8">
        <v>0</v>
      </c>
      <c r="L128" s="8">
        <v>0</v>
      </c>
      <c r="M128" s="8">
        <v>2906326</v>
      </c>
      <c r="N128" s="8">
        <v>171973</v>
      </c>
      <c r="O128" s="8">
        <v>80122</v>
      </c>
      <c r="P128" s="9">
        <v>21.848199999999999</v>
      </c>
      <c r="Q128" s="9">
        <v>15.32</v>
      </c>
      <c r="R128" s="33">
        <v>6.5282</v>
      </c>
      <c r="S128" s="5">
        <f t="shared" ref="S128:AX128" si="189">SUM(S123:S127)</f>
        <v>0</v>
      </c>
      <c r="T128" s="8">
        <f t="shared" si="189"/>
        <v>0</v>
      </c>
      <c r="U128" s="8">
        <f t="shared" si="189"/>
        <v>0</v>
      </c>
      <c r="V128" s="8">
        <f t="shared" si="189"/>
        <v>0</v>
      </c>
      <c r="W128" s="8">
        <f t="shared" si="189"/>
        <v>0</v>
      </c>
      <c r="X128" s="8">
        <f t="shared" si="189"/>
        <v>0</v>
      </c>
      <c r="Y128" s="8">
        <f t="shared" si="189"/>
        <v>0</v>
      </c>
      <c r="Z128" s="8">
        <f t="shared" si="189"/>
        <v>0</v>
      </c>
      <c r="AA128" s="8">
        <f t="shared" si="189"/>
        <v>0</v>
      </c>
      <c r="AB128" s="8">
        <f t="shared" si="189"/>
        <v>0</v>
      </c>
      <c r="AC128" s="8">
        <f t="shared" si="189"/>
        <v>0</v>
      </c>
      <c r="AD128" s="8">
        <f t="shared" si="189"/>
        <v>0</v>
      </c>
      <c r="AE128" s="8">
        <f t="shared" si="189"/>
        <v>0</v>
      </c>
      <c r="AF128" s="8">
        <f t="shared" si="189"/>
        <v>0</v>
      </c>
      <c r="AG128" s="9">
        <f t="shared" si="189"/>
        <v>0</v>
      </c>
      <c r="AH128" s="9">
        <f t="shared" si="189"/>
        <v>0</v>
      </c>
      <c r="AI128" s="9">
        <f t="shared" si="189"/>
        <v>0</v>
      </c>
      <c r="AJ128" s="9">
        <f t="shared" si="189"/>
        <v>0</v>
      </c>
      <c r="AK128" s="9">
        <f t="shared" si="189"/>
        <v>0</v>
      </c>
      <c r="AL128" s="9">
        <f t="shared" si="189"/>
        <v>0</v>
      </c>
      <c r="AM128" s="9">
        <f t="shared" si="189"/>
        <v>0</v>
      </c>
      <c r="AN128" s="74">
        <f t="shared" si="189"/>
        <v>0</v>
      </c>
      <c r="AO128" s="270">
        <f t="shared" si="189"/>
        <v>11757019</v>
      </c>
      <c r="AP128" s="8">
        <f t="shared" si="189"/>
        <v>8598598</v>
      </c>
      <c r="AQ128" s="38">
        <f t="shared" si="189"/>
        <v>0</v>
      </c>
      <c r="AR128" s="38">
        <f t="shared" si="189"/>
        <v>0</v>
      </c>
      <c r="AS128" s="8">
        <f t="shared" si="189"/>
        <v>2906326</v>
      </c>
      <c r="AT128" s="8">
        <f t="shared" si="189"/>
        <v>171973</v>
      </c>
      <c r="AU128" s="8">
        <f t="shared" si="189"/>
        <v>80122</v>
      </c>
      <c r="AV128" s="9">
        <f t="shared" si="189"/>
        <v>21.848199999999999</v>
      </c>
      <c r="AW128" s="9">
        <f t="shared" si="189"/>
        <v>15.32</v>
      </c>
      <c r="AX128" s="74">
        <f t="shared" si="189"/>
        <v>6.5282</v>
      </c>
    </row>
    <row r="129" spans="1:50" s="695" customFormat="1" x14ac:dyDescent="0.2">
      <c r="A129" s="720">
        <v>24</v>
      </c>
      <c r="B129" s="721">
        <v>4429</v>
      </c>
      <c r="C129" s="721">
        <v>600074595</v>
      </c>
      <c r="D129" s="721">
        <v>70698520</v>
      </c>
      <c r="E129" s="722" t="s">
        <v>195</v>
      </c>
      <c r="F129" s="721">
        <v>3111</v>
      </c>
      <c r="G129" s="531" t="s">
        <v>317</v>
      </c>
      <c r="H129" s="767" t="s">
        <v>283</v>
      </c>
      <c r="I129" s="495">
        <v>1369854</v>
      </c>
      <c r="J129" s="496">
        <v>999451</v>
      </c>
      <c r="K129" s="475">
        <v>0</v>
      </c>
      <c r="L129" s="475">
        <v>0</v>
      </c>
      <c r="M129" s="319">
        <v>337814</v>
      </c>
      <c r="N129" s="319">
        <v>19989</v>
      </c>
      <c r="O129" s="496">
        <v>12600</v>
      </c>
      <c r="P129" s="497">
        <v>2.4609000000000001</v>
      </c>
      <c r="Q129" s="412">
        <v>2</v>
      </c>
      <c r="R129" s="764">
        <v>0.46089999999999998</v>
      </c>
      <c r="S129" s="530">
        <f t="shared" ref="S129:S134" si="190">W129*-1</f>
        <v>0</v>
      </c>
      <c r="T129" s="486">
        <v>0</v>
      </c>
      <c r="U129" s="486">
        <v>0</v>
      </c>
      <c r="V129" s="486">
        <f t="shared" ref="V129:V134" si="191">SUM(S129:U129)</f>
        <v>0</v>
      </c>
      <c r="W129" s="486">
        <v>0</v>
      </c>
      <c r="X129" s="486">
        <v>0</v>
      </c>
      <c r="Y129" s="486">
        <f t="shared" ref="Y129:Y134" si="192">SUM(W129:X129)</f>
        <v>0</v>
      </c>
      <c r="Z129" s="486">
        <f t="shared" ref="Z129:Z134" si="193">V129+Y129</f>
        <v>0</v>
      </c>
      <c r="AA129" s="319">
        <f t="shared" ref="AA129:AA134" si="194">ROUND((V129+W129)*33.8%,0)</f>
        <v>0</v>
      </c>
      <c r="AB129" s="178">
        <f t="shared" ref="AB129:AB134" si="195">ROUND(V129*2%,0)</f>
        <v>0</v>
      </c>
      <c r="AC129" s="486">
        <v>0</v>
      </c>
      <c r="AD129" s="486">
        <v>0</v>
      </c>
      <c r="AE129" s="486">
        <f t="shared" si="121"/>
        <v>0</v>
      </c>
      <c r="AF129" s="486">
        <f t="shared" si="122"/>
        <v>0</v>
      </c>
      <c r="AG129" s="501">
        <v>0</v>
      </c>
      <c r="AH129" s="501">
        <v>0</v>
      </c>
      <c r="AI129" s="501">
        <v>0</v>
      </c>
      <c r="AJ129" s="501">
        <v>0</v>
      </c>
      <c r="AK129" s="501">
        <v>0</v>
      </c>
      <c r="AL129" s="501">
        <f t="shared" ref="AL129:AL134" si="196">AG129+AI129+AJ129</f>
        <v>0</v>
      </c>
      <c r="AM129" s="501">
        <f t="shared" ref="AM129:AM134" si="197">AH129+AK129</f>
        <v>0</v>
      </c>
      <c r="AN129" s="502">
        <f t="shared" si="123"/>
        <v>0</v>
      </c>
      <c r="AO129" s="499">
        <f t="shared" ref="AO129:AO134" si="198">I129+AF129</f>
        <v>1369854</v>
      </c>
      <c r="AP129" s="486">
        <f t="shared" ref="AP129:AP134" si="199">J129+V129</f>
        <v>999451</v>
      </c>
      <c r="AQ129" s="486">
        <f t="shared" ref="AQ129:AQ134" si="200">K129+Y129</f>
        <v>0</v>
      </c>
      <c r="AR129" s="486">
        <f t="shared" ref="AR129:AR134" si="201">L129</f>
        <v>0</v>
      </c>
      <c r="AS129" s="486">
        <f t="shared" ref="AS129:AT134" si="202">M129+AA129</f>
        <v>337814</v>
      </c>
      <c r="AT129" s="486">
        <f t="shared" si="202"/>
        <v>19989</v>
      </c>
      <c r="AU129" s="486">
        <f t="shared" ref="AU129:AU134" si="203">O129+AE129</f>
        <v>12600</v>
      </c>
      <c r="AV129" s="501">
        <f t="shared" ref="AV129:AV134" si="204">P129+AN129</f>
        <v>2.4609000000000001</v>
      </c>
      <c r="AW129" s="501">
        <f t="shared" ref="AW129:AX134" si="205">Q129+AL129</f>
        <v>2</v>
      </c>
      <c r="AX129" s="502">
        <f t="shared" si="205"/>
        <v>0.46089999999999998</v>
      </c>
    </row>
    <row r="130" spans="1:50" s="695" customFormat="1" x14ac:dyDescent="0.2">
      <c r="A130" s="720">
        <v>24</v>
      </c>
      <c r="B130" s="721">
        <v>4429</v>
      </c>
      <c r="C130" s="721">
        <v>600074595</v>
      </c>
      <c r="D130" s="721">
        <v>70698520</v>
      </c>
      <c r="E130" s="722" t="s">
        <v>195</v>
      </c>
      <c r="F130" s="721">
        <v>3117</v>
      </c>
      <c r="G130" s="531" t="s">
        <v>320</v>
      </c>
      <c r="H130" s="767" t="s">
        <v>283</v>
      </c>
      <c r="I130" s="495">
        <v>3446458</v>
      </c>
      <c r="J130" s="496">
        <v>2423357</v>
      </c>
      <c r="K130" s="496">
        <v>40779</v>
      </c>
      <c r="L130" s="496">
        <v>20779</v>
      </c>
      <c r="M130" s="496">
        <v>825855</v>
      </c>
      <c r="N130" s="496">
        <v>48467</v>
      </c>
      <c r="O130" s="496">
        <v>108000</v>
      </c>
      <c r="P130" s="497">
        <v>5.1533999999999995</v>
      </c>
      <c r="Q130" s="412">
        <v>3.5508999999999999</v>
      </c>
      <c r="R130" s="764">
        <v>1.6024999999999996</v>
      </c>
      <c r="S130" s="530">
        <f t="shared" si="190"/>
        <v>14000</v>
      </c>
      <c r="T130" s="486">
        <v>0</v>
      </c>
      <c r="U130" s="486">
        <v>0</v>
      </c>
      <c r="V130" s="486">
        <f t="shared" si="191"/>
        <v>14000</v>
      </c>
      <c r="W130" s="486">
        <v>-14000</v>
      </c>
      <c r="X130" s="486">
        <v>0</v>
      </c>
      <c r="Y130" s="486">
        <f t="shared" si="192"/>
        <v>-14000</v>
      </c>
      <c r="Z130" s="486">
        <f t="shared" si="193"/>
        <v>0</v>
      </c>
      <c r="AA130" s="319">
        <f t="shared" si="194"/>
        <v>0</v>
      </c>
      <c r="AB130" s="178">
        <f t="shared" si="195"/>
        <v>280</v>
      </c>
      <c r="AC130" s="486">
        <v>0</v>
      </c>
      <c r="AD130" s="486">
        <v>0</v>
      </c>
      <c r="AE130" s="486">
        <f t="shared" si="121"/>
        <v>0</v>
      </c>
      <c r="AF130" s="486">
        <f t="shared" si="122"/>
        <v>280</v>
      </c>
      <c r="AG130" s="501">
        <v>0.03</v>
      </c>
      <c r="AH130" s="501">
        <v>0</v>
      </c>
      <c r="AI130" s="501">
        <v>0</v>
      </c>
      <c r="AJ130" s="501">
        <v>0</v>
      </c>
      <c r="AK130" s="501">
        <v>0</v>
      </c>
      <c r="AL130" s="501">
        <f t="shared" si="196"/>
        <v>0.03</v>
      </c>
      <c r="AM130" s="501">
        <f t="shared" si="197"/>
        <v>0</v>
      </c>
      <c r="AN130" s="502">
        <f t="shared" si="123"/>
        <v>0.03</v>
      </c>
      <c r="AO130" s="499">
        <f t="shared" si="198"/>
        <v>3446738</v>
      </c>
      <c r="AP130" s="486">
        <f t="shared" si="199"/>
        <v>2437357</v>
      </c>
      <c r="AQ130" s="486">
        <f t="shared" si="200"/>
        <v>26779</v>
      </c>
      <c r="AR130" s="486">
        <f t="shared" si="201"/>
        <v>20779</v>
      </c>
      <c r="AS130" s="486">
        <f t="shared" si="202"/>
        <v>825855</v>
      </c>
      <c r="AT130" s="486">
        <f t="shared" si="202"/>
        <v>48747</v>
      </c>
      <c r="AU130" s="486">
        <f t="shared" si="203"/>
        <v>108000</v>
      </c>
      <c r="AV130" s="501">
        <f t="shared" si="204"/>
        <v>5.1833999999999998</v>
      </c>
      <c r="AW130" s="501">
        <f t="shared" si="205"/>
        <v>3.5808999999999997</v>
      </c>
      <c r="AX130" s="502">
        <f t="shared" si="205"/>
        <v>1.6024999999999996</v>
      </c>
    </row>
    <row r="131" spans="1:50" s="695" customFormat="1" x14ac:dyDescent="0.2">
      <c r="A131" s="720">
        <v>24</v>
      </c>
      <c r="B131" s="721">
        <v>4429</v>
      </c>
      <c r="C131" s="721">
        <v>600074595</v>
      </c>
      <c r="D131" s="721">
        <v>70698520</v>
      </c>
      <c r="E131" s="722" t="s">
        <v>195</v>
      </c>
      <c r="F131" s="721">
        <v>3117</v>
      </c>
      <c r="G131" s="531" t="s">
        <v>318</v>
      </c>
      <c r="H131" s="767" t="s">
        <v>284</v>
      </c>
      <c r="I131" s="495">
        <v>1020162</v>
      </c>
      <c r="J131" s="496">
        <v>751224</v>
      </c>
      <c r="K131" s="475">
        <v>0</v>
      </c>
      <c r="L131" s="475">
        <v>0</v>
      </c>
      <c r="M131" s="319">
        <v>253913</v>
      </c>
      <c r="N131" s="319">
        <v>15025</v>
      </c>
      <c r="O131" s="496">
        <v>0</v>
      </c>
      <c r="P131" s="497">
        <v>2.08</v>
      </c>
      <c r="Q131" s="412">
        <v>2.08</v>
      </c>
      <c r="R131" s="764">
        <v>0</v>
      </c>
      <c r="S131" s="530">
        <f t="shared" si="190"/>
        <v>0</v>
      </c>
      <c r="T131" s="486">
        <v>0</v>
      </c>
      <c r="U131" s="486">
        <v>0</v>
      </c>
      <c r="V131" s="486">
        <f t="shared" si="191"/>
        <v>0</v>
      </c>
      <c r="W131" s="486">
        <v>0</v>
      </c>
      <c r="X131" s="486">
        <v>0</v>
      </c>
      <c r="Y131" s="486">
        <f t="shared" si="192"/>
        <v>0</v>
      </c>
      <c r="Z131" s="486">
        <f t="shared" si="193"/>
        <v>0</v>
      </c>
      <c r="AA131" s="319">
        <f t="shared" si="194"/>
        <v>0</v>
      </c>
      <c r="AB131" s="178">
        <f t="shared" si="195"/>
        <v>0</v>
      </c>
      <c r="AC131" s="486">
        <v>0</v>
      </c>
      <c r="AD131" s="486">
        <v>0</v>
      </c>
      <c r="AE131" s="486">
        <f t="shared" si="121"/>
        <v>0</v>
      </c>
      <c r="AF131" s="486">
        <f t="shared" si="122"/>
        <v>0</v>
      </c>
      <c r="AG131" s="501">
        <v>0</v>
      </c>
      <c r="AH131" s="501">
        <v>0</v>
      </c>
      <c r="AI131" s="501">
        <v>0</v>
      </c>
      <c r="AJ131" s="501">
        <v>0</v>
      </c>
      <c r="AK131" s="501">
        <v>0</v>
      </c>
      <c r="AL131" s="501">
        <f t="shared" si="196"/>
        <v>0</v>
      </c>
      <c r="AM131" s="501">
        <f t="shared" si="197"/>
        <v>0</v>
      </c>
      <c r="AN131" s="502">
        <f t="shared" si="123"/>
        <v>0</v>
      </c>
      <c r="AO131" s="499">
        <f t="shared" si="198"/>
        <v>1020162</v>
      </c>
      <c r="AP131" s="486">
        <f t="shared" si="199"/>
        <v>751224</v>
      </c>
      <c r="AQ131" s="486">
        <f t="shared" si="200"/>
        <v>0</v>
      </c>
      <c r="AR131" s="486">
        <f t="shared" si="201"/>
        <v>0</v>
      </c>
      <c r="AS131" s="486">
        <f t="shared" si="202"/>
        <v>253913</v>
      </c>
      <c r="AT131" s="486">
        <f t="shared" si="202"/>
        <v>15025</v>
      </c>
      <c r="AU131" s="486">
        <f t="shared" si="203"/>
        <v>0</v>
      </c>
      <c r="AV131" s="501">
        <f t="shared" si="204"/>
        <v>2.08</v>
      </c>
      <c r="AW131" s="501">
        <f t="shared" si="205"/>
        <v>2.08</v>
      </c>
      <c r="AX131" s="502">
        <f t="shared" si="205"/>
        <v>0</v>
      </c>
    </row>
    <row r="132" spans="1:50" s="695" customFormat="1" x14ac:dyDescent="0.2">
      <c r="A132" s="720">
        <v>24</v>
      </c>
      <c r="B132" s="721">
        <v>4429</v>
      </c>
      <c r="C132" s="721">
        <v>600074595</v>
      </c>
      <c r="D132" s="721">
        <v>70698520</v>
      </c>
      <c r="E132" s="722" t="s">
        <v>195</v>
      </c>
      <c r="F132" s="721">
        <v>3141</v>
      </c>
      <c r="G132" s="531" t="s">
        <v>321</v>
      </c>
      <c r="H132" s="767" t="s">
        <v>284</v>
      </c>
      <c r="I132" s="495">
        <v>650384</v>
      </c>
      <c r="J132" s="496">
        <v>476622</v>
      </c>
      <c r="K132" s="475">
        <v>0</v>
      </c>
      <c r="L132" s="475">
        <v>0</v>
      </c>
      <c r="M132" s="319">
        <v>161098</v>
      </c>
      <c r="N132" s="319">
        <v>9532</v>
      </c>
      <c r="O132" s="496">
        <v>3132</v>
      </c>
      <c r="P132" s="497">
        <v>1.6199999999999999</v>
      </c>
      <c r="Q132" s="412">
        <v>0</v>
      </c>
      <c r="R132" s="764">
        <v>1.6199999999999999</v>
      </c>
      <c r="S132" s="530">
        <f t="shared" si="190"/>
        <v>0</v>
      </c>
      <c r="T132" s="486">
        <v>0</v>
      </c>
      <c r="U132" s="486">
        <v>0</v>
      </c>
      <c r="V132" s="486">
        <f t="shared" si="191"/>
        <v>0</v>
      </c>
      <c r="W132" s="486">
        <v>0</v>
      </c>
      <c r="X132" s="486">
        <v>0</v>
      </c>
      <c r="Y132" s="486">
        <f t="shared" si="192"/>
        <v>0</v>
      </c>
      <c r="Z132" s="486">
        <f t="shared" si="193"/>
        <v>0</v>
      </c>
      <c r="AA132" s="319">
        <f t="shared" si="194"/>
        <v>0</v>
      </c>
      <c r="AB132" s="178">
        <f t="shared" si="195"/>
        <v>0</v>
      </c>
      <c r="AC132" s="486">
        <v>0</v>
      </c>
      <c r="AD132" s="486">
        <v>0</v>
      </c>
      <c r="AE132" s="486">
        <f t="shared" si="121"/>
        <v>0</v>
      </c>
      <c r="AF132" s="486">
        <f t="shared" si="122"/>
        <v>0</v>
      </c>
      <c r="AG132" s="501">
        <v>0</v>
      </c>
      <c r="AH132" s="501">
        <v>0</v>
      </c>
      <c r="AI132" s="501">
        <v>0</v>
      </c>
      <c r="AJ132" s="501">
        <v>0</v>
      </c>
      <c r="AK132" s="501">
        <v>0</v>
      </c>
      <c r="AL132" s="501">
        <f t="shared" si="196"/>
        <v>0</v>
      </c>
      <c r="AM132" s="501">
        <f t="shared" si="197"/>
        <v>0</v>
      </c>
      <c r="AN132" s="502">
        <f t="shared" si="123"/>
        <v>0</v>
      </c>
      <c r="AO132" s="499">
        <f t="shared" si="198"/>
        <v>650384</v>
      </c>
      <c r="AP132" s="486">
        <f t="shared" si="199"/>
        <v>476622</v>
      </c>
      <c r="AQ132" s="486">
        <f t="shared" si="200"/>
        <v>0</v>
      </c>
      <c r="AR132" s="486">
        <f t="shared" si="201"/>
        <v>0</v>
      </c>
      <c r="AS132" s="486">
        <f t="shared" si="202"/>
        <v>161098</v>
      </c>
      <c r="AT132" s="486">
        <f t="shared" si="202"/>
        <v>9532</v>
      </c>
      <c r="AU132" s="486">
        <f t="shared" si="203"/>
        <v>3132</v>
      </c>
      <c r="AV132" s="501">
        <f t="shared" si="204"/>
        <v>1.6199999999999999</v>
      </c>
      <c r="AW132" s="501">
        <f t="shared" si="205"/>
        <v>0</v>
      </c>
      <c r="AX132" s="502">
        <f t="shared" si="205"/>
        <v>1.6199999999999999</v>
      </c>
    </row>
    <row r="133" spans="1:50" s="695" customFormat="1" x14ac:dyDescent="0.2">
      <c r="A133" s="720">
        <v>24</v>
      </c>
      <c r="B133" s="721">
        <v>4429</v>
      </c>
      <c r="C133" s="721">
        <v>600074595</v>
      </c>
      <c r="D133" s="721">
        <v>70698520</v>
      </c>
      <c r="E133" s="722" t="s">
        <v>195</v>
      </c>
      <c r="F133" s="721">
        <v>3143</v>
      </c>
      <c r="G133" s="531" t="s">
        <v>634</v>
      </c>
      <c r="H133" s="701" t="s">
        <v>283</v>
      </c>
      <c r="I133" s="495">
        <v>865865</v>
      </c>
      <c r="J133" s="496">
        <v>637603</v>
      </c>
      <c r="K133" s="475">
        <v>0</v>
      </c>
      <c r="L133" s="475">
        <v>0</v>
      </c>
      <c r="M133" s="319">
        <v>215510</v>
      </c>
      <c r="N133" s="319">
        <v>12752</v>
      </c>
      <c r="O133" s="496">
        <v>0</v>
      </c>
      <c r="P133" s="497">
        <v>1.4821</v>
      </c>
      <c r="Q133" s="412">
        <v>1.4821</v>
      </c>
      <c r="R133" s="764">
        <v>0</v>
      </c>
      <c r="S133" s="530">
        <f t="shared" si="190"/>
        <v>0</v>
      </c>
      <c r="T133" s="486">
        <v>0</v>
      </c>
      <c r="U133" s="486">
        <v>0</v>
      </c>
      <c r="V133" s="486">
        <f t="shared" si="191"/>
        <v>0</v>
      </c>
      <c r="W133" s="486">
        <v>0</v>
      </c>
      <c r="X133" s="486">
        <v>0</v>
      </c>
      <c r="Y133" s="486">
        <f t="shared" si="192"/>
        <v>0</v>
      </c>
      <c r="Z133" s="486">
        <f t="shared" si="193"/>
        <v>0</v>
      </c>
      <c r="AA133" s="319">
        <f t="shared" si="194"/>
        <v>0</v>
      </c>
      <c r="AB133" s="178">
        <f t="shared" si="195"/>
        <v>0</v>
      </c>
      <c r="AC133" s="486">
        <v>0</v>
      </c>
      <c r="AD133" s="486">
        <v>0</v>
      </c>
      <c r="AE133" s="486">
        <f t="shared" si="121"/>
        <v>0</v>
      </c>
      <c r="AF133" s="486">
        <f t="shared" si="122"/>
        <v>0</v>
      </c>
      <c r="AG133" s="501">
        <v>0</v>
      </c>
      <c r="AH133" s="501">
        <v>0</v>
      </c>
      <c r="AI133" s="501">
        <v>0</v>
      </c>
      <c r="AJ133" s="501">
        <v>0</v>
      </c>
      <c r="AK133" s="501">
        <v>0</v>
      </c>
      <c r="AL133" s="501">
        <f t="shared" si="196"/>
        <v>0</v>
      </c>
      <c r="AM133" s="501">
        <f t="shared" si="197"/>
        <v>0</v>
      </c>
      <c r="AN133" s="502">
        <f t="shared" si="123"/>
        <v>0</v>
      </c>
      <c r="AO133" s="499">
        <f t="shared" si="198"/>
        <v>865865</v>
      </c>
      <c r="AP133" s="486">
        <f t="shared" si="199"/>
        <v>637603</v>
      </c>
      <c r="AQ133" s="486">
        <f t="shared" si="200"/>
        <v>0</v>
      </c>
      <c r="AR133" s="486">
        <f t="shared" si="201"/>
        <v>0</v>
      </c>
      <c r="AS133" s="486">
        <f t="shared" si="202"/>
        <v>215510</v>
      </c>
      <c r="AT133" s="486">
        <f t="shared" si="202"/>
        <v>12752</v>
      </c>
      <c r="AU133" s="486">
        <f t="shared" si="203"/>
        <v>0</v>
      </c>
      <c r="AV133" s="501">
        <f t="shared" si="204"/>
        <v>1.4821</v>
      </c>
      <c r="AW133" s="501">
        <f t="shared" si="205"/>
        <v>1.4821</v>
      </c>
      <c r="AX133" s="502">
        <f t="shared" si="205"/>
        <v>0</v>
      </c>
    </row>
    <row r="134" spans="1:50" s="695" customFormat="1" x14ac:dyDescent="0.2">
      <c r="A134" s="720">
        <v>24</v>
      </c>
      <c r="B134" s="721">
        <v>4429</v>
      </c>
      <c r="C134" s="721">
        <v>600074595</v>
      </c>
      <c r="D134" s="721">
        <v>70698520</v>
      </c>
      <c r="E134" s="722" t="s">
        <v>195</v>
      </c>
      <c r="F134" s="721">
        <v>3143</v>
      </c>
      <c r="G134" s="531" t="s">
        <v>635</v>
      </c>
      <c r="H134" s="701" t="s">
        <v>284</v>
      </c>
      <c r="I134" s="495">
        <v>21066</v>
      </c>
      <c r="J134" s="496">
        <v>14850</v>
      </c>
      <c r="K134" s="475">
        <v>0</v>
      </c>
      <c r="L134" s="475">
        <v>0</v>
      </c>
      <c r="M134" s="319">
        <v>5019</v>
      </c>
      <c r="N134" s="319">
        <v>297</v>
      </c>
      <c r="O134" s="496">
        <v>900</v>
      </c>
      <c r="P134" s="497">
        <v>0.06</v>
      </c>
      <c r="Q134" s="412">
        <v>0</v>
      </c>
      <c r="R134" s="764">
        <v>0.06</v>
      </c>
      <c r="S134" s="530">
        <f t="shared" si="190"/>
        <v>0</v>
      </c>
      <c r="T134" s="486">
        <v>0</v>
      </c>
      <c r="U134" s="486">
        <v>0</v>
      </c>
      <c r="V134" s="486">
        <f t="shared" si="191"/>
        <v>0</v>
      </c>
      <c r="W134" s="486">
        <v>0</v>
      </c>
      <c r="X134" s="486">
        <v>0</v>
      </c>
      <c r="Y134" s="486">
        <f t="shared" si="192"/>
        <v>0</v>
      </c>
      <c r="Z134" s="486">
        <f t="shared" si="193"/>
        <v>0</v>
      </c>
      <c r="AA134" s="319">
        <f t="shared" si="194"/>
        <v>0</v>
      </c>
      <c r="AB134" s="178">
        <f t="shared" si="195"/>
        <v>0</v>
      </c>
      <c r="AC134" s="486">
        <v>0</v>
      </c>
      <c r="AD134" s="486">
        <v>0</v>
      </c>
      <c r="AE134" s="486">
        <f t="shared" si="121"/>
        <v>0</v>
      </c>
      <c r="AF134" s="486">
        <f t="shared" si="122"/>
        <v>0</v>
      </c>
      <c r="AG134" s="501">
        <v>0</v>
      </c>
      <c r="AH134" s="501">
        <v>0</v>
      </c>
      <c r="AI134" s="501">
        <v>0</v>
      </c>
      <c r="AJ134" s="501">
        <v>0</v>
      </c>
      <c r="AK134" s="501">
        <v>0</v>
      </c>
      <c r="AL134" s="501">
        <f t="shared" si="196"/>
        <v>0</v>
      </c>
      <c r="AM134" s="501">
        <f t="shared" si="197"/>
        <v>0</v>
      </c>
      <c r="AN134" s="502">
        <f t="shared" si="123"/>
        <v>0</v>
      </c>
      <c r="AO134" s="499">
        <f t="shared" si="198"/>
        <v>21066</v>
      </c>
      <c r="AP134" s="486">
        <f t="shared" si="199"/>
        <v>14850</v>
      </c>
      <c r="AQ134" s="486">
        <f t="shared" si="200"/>
        <v>0</v>
      </c>
      <c r="AR134" s="486">
        <f t="shared" si="201"/>
        <v>0</v>
      </c>
      <c r="AS134" s="486">
        <f t="shared" si="202"/>
        <v>5019</v>
      </c>
      <c r="AT134" s="486">
        <f t="shared" si="202"/>
        <v>297</v>
      </c>
      <c r="AU134" s="486">
        <f t="shared" si="203"/>
        <v>900</v>
      </c>
      <c r="AV134" s="501">
        <f t="shared" si="204"/>
        <v>0.06</v>
      </c>
      <c r="AW134" s="501">
        <f t="shared" si="205"/>
        <v>0</v>
      </c>
      <c r="AX134" s="502">
        <f t="shared" si="205"/>
        <v>0.06</v>
      </c>
    </row>
    <row r="135" spans="1:50" s="695" customFormat="1" x14ac:dyDescent="0.2">
      <c r="A135" s="282">
        <v>24</v>
      </c>
      <c r="B135" s="27">
        <v>4429</v>
      </c>
      <c r="C135" s="27">
        <v>600074595</v>
      </c>
      <c r="D135" s="27">
        <v>70698520</v>
      </c>
      <c r="E135" s="292" t="s">
        <v>196</v>
      </c>
      <c r="F135" s="27"/>
      <c r="G135" s="281"/>
      <c r="H135" s="377"/>
      <c r="I135" s="5">
        <v>7373789</v>
      </c>
      <c r="J135" s="8">
        <v>5303107</v>
      </c>
      <c r="K135" s="8">
        <v>40779</v>
      </c>
      <c r="L135" s="8">
        <v>20779</v>
      </c>
      <c r="M135" s="8">
        <v>1799209</v>
      </c>
      <c r="N135" s="8">
        <v>106062</v>
      </c>
      <c r="O135" s="8">
        <v>124632</v>
      </c>
      <c r="P135" s="9">
        <v>12.856399999999999</v>
      </c>
      <c r="Q135" s="9">
        <v>9.1129999999999995</v>
      </c>
      <c r="R135" s="33">
        <v>3.7433999999999998</v>
      </c>
      <c r="S135" s="5">
        <f t="shared" ref="S135:AX135" si="206">SUM(S129:S134)</f>
        <v>14000</v>
      </c>
      <c r="T135" s="8">
        <f t="shared" si="206"/>
        <v>0</v>
      </c>
      <c r="U135" s="8">
        <f t="shared" si="206"/>
        <v>0</v>
      </c>
      <c r="V135" s="8">
        <f t="shared" si="206"/>
        <v>14000</v>
      </c>
      <c r="W135" s="8">
        <f t="shared" si="206"/>
        <v>-14000</v>
      </c>
      <c r="X135" s="8">
        <f t="shared" si="206"/>
        <v>0</v>
      </c>
      <c r="Y135" s="8">
        <f t="shared" si="206"/>
        <v>-14000</v>
      </c>
      <c r="Z135" s="8">
        <f t="shared" si="206"/>
        <v>0</v>
      </c>
      <c r="AA135" s="8">
        <f t="shared" si="206"/>
        <v>0</v>
      </c>
      <c r="AB135" s="8">
        <f t="shared" si="206"/>
        <v>280</v>
      </c>
      <c r="AC135" s="8">
        <f t="shared" si="206"/>
        <v>0</v>
      </c>
      <c r="AD135" s="8">
        <f t="shared" si="206"/>
        <v>0</v>
      </c>
      <c r="AE135" s="8">
        <f t="shared" si="206"/>
        <v>0</v>
      </c>
      <c r="AF135" s="8">
        <f t="shared" si="206"/>
        <v>280</v>
      </c>
      <c r="AG135" s="9">
        <f t="shared" si="206"/>
        <v>0.03</v>
      </c>
      <c r="AH135" s="9">
        <f t="shared" si="206"/>
        <v>0</v>
      </c>
      <c r="AI135" s="9">
        <f t="shared" si="206"/>
        <v>0</v>
      </c>
      <c r="AJ135" s="9">
        <f t="shared" si="206"/>
        <v>0</v>
      </c>
      <c r="AK135" s="9">
        <f t="shared" si="206"/>
        <v>0</v>
      </c>
      <c r="AL135" s="9">
        <f t="shared" si="206"/>
        <v>0.03</v>
      </c>
      <c r="AM135" s="9">
        <f t="shared" si="206"/>
        <v>0</v>
      </c>
      <c r="AN135" s="74">
        <f t="shared" si="206"/>
        <v>0.03</v>
      </c>
      <c r="AO135" s="270">
        <f t="shared" si="206"/>
        <v>7374069</v>
      </c>
      <c r="AP135" s="8">
        <f t="shared" si="206"/>
        <v>5317107</v>
      </c>
      <c r="AQ135" s="38">
        <f t="shared" si="206"/>
        <v>26779</v>
      </c>
      <c r="AR135" s="38">
        <f t="shared" si="206"/>
        <v>20779</v>
      </c>
      <c r="AS135" s="8">
        <f t="shared" si="206"/>
        <v>1799209</v>
      </c>
      <c r="AT135" s="8">
        <f t="shared" si="206"/>
        <v>106342</v>
      </c>
      <c r="AU135" s="8">
        <f t="shared" si="206"/>
        <v>124632</v>
      </c>
      <c r="AV135" s="9">
        <f t="shared" si="206"/>
        <v>12.8864</v>
      </c>
      <c r="AW135" s="9">
        <f t="shared" si="206"/>
        <v>9.1430000000000007</v>
      </c>
      <c r="AX135" s="74">
        <f t="shared" si="206"/>
        <v>3.7433999999999998</v>
      </c>
    </row>
    <row r="136" spans="1:50" s="695" customFormat="1" x14ac:dyDescent="0.2">
      <c r="A136" s="720">
        <v>25</v>
      </c>
      <c r="B136" s="721">
        <v>4452</v>
      </c>
      <c r="C136" s="721">
        <v>600074919</v>
      </c>
      <c r="D136" s="721">
        <v>70698511</v>
      </c>
      <c r="E136" s="722" t="s">
        <v>197</v>
      </c>
      <c r="F136" s="721">
        <v>3113</v>
      </c>
      <c r="G136" s="531" t="s">
        <v>320</v>
      </c>
      <c r="H136" s="767" t="s">
        <v>283</v>
      </c>
      <c r="I136" s="495">
        <v>29902206</v>
      </c>
      <c r="J136" s="496">
        <v>21166458</v>
      </c>
      <c r="K136" s="496">
        <v>99116</v>
      </c>
      <c r="L136" s="496">
        <v>69116</v>
      </c>
      <c r="M136" s="496">
        <v>7164403</v>
      </c>
      <c r="N136" s="496">
        <v>423329</v>
      </c>
      <c r="O136" s="496">
        <v>1048900</v>
      </c>
      <c r="P136" s="497">
        <v>39.307899999999997</v>
      </c>
      <c r="Q136" s="412">
        <v>29.745300000000004</v>
      </c>
      <c r="R136" s="764">
        <v>9.5625999999999998</v>
      </c>
      <c r="S136" s="530">
        <f t="shared" ref="S136:S141" si="207">W136*-1</f>
        <v>0</v>
      </c>
      <c r="T136" s="486">
        <v>0</v>
      </c>
      <c r="U136" s="486">
        <v>0</v>
      </c>
      <c r="V136" s="486">
        <f t="shared" ref="V136:V141" si="208">SUM(S136:U136)</f>
        <v>0</v>
      </c>
      <c r="W136" s="486">
        <v>0</v>
      </c>
      <c r="X136" s="486">
        <v>0</v>
      </c>
      <c r="Y136" s="486">
        <f t="shared" ref="Y136:Y141" si="209">SUM(W136:X136)</f>
        <v>0</v>
      </c>
      <c r="Z136" s="486">
        <f t="shared" ref="Z136:Z141" si="210">V136+Y136</f>
        <v>0</v>
      </c>
      <c r="AA136" s="319">
        <f t="shared" ref="AA136:AA141" si="211">ROUND((V136+W136)*33.8%,0)</f>
        <v>0</v>
      </c>
      <c r="AB136" s="178">
        <f t="shared" ref="AB136:AB141" si="212">ROUND(V136*2%,0)</f>
        <v>0</v>
      </c>
      <c r="AC136" s="486">
        <v>0</v>
      </c>
      <c r="AD136" s="486">
        <v>0</v>
      </c>
      <c r="AE136" s="486">
        <f t="shared" si="121"/>
        <v>0</v>
      </c>
      <c r="AF136" s="486">
        <f t="shared" si="122"/>
        <v>0</v>
      </c>
      <c r="AG136" s="501">
        <v>0</v>
      </c>
      <c r="AH136" s="501">
        <v>0</v>
      </c>
      <c r="AI136" s="501">
        <v>0</v>
      </c>
      <c r="AJ136" s="501">
        <v>0</v>
      </c>
      <c r="AK136" s="501">
        <v>0</v>
      </c>
      <c r="AL136" s="501">
        <f t="shared" ref="AL136:AL141" si="213">AG136+AI136+AJ136</f>
        <v>0</v>
      </c>
      <c r="AM136" s="501">
        <f t="shared" ref="AM136:AM141" si="214">AH136+AK136</f>
        <v>0</v>
      </c>
      <c r="AN136" s="502">
        <f t="shared" si="123"/>
        <v>0</v>
      </c>
      <c r="AO136" s="499">
        <f t="shared" ref="AO136:AO141" si="215">I136+AF136</f>
        <v>29902206</v>
      </c>
      <c r="AP136" s="486">
        <f t="shared" ref="AP136:AP141" si="216">J136+V136</f>
        <v>21166458</v>
      </c>
      <c r="AQ136" s="486">
        <f t="shared" ref="AQ136:AQ141" si="217">K136+Y136</f>
        <v>99116</v>
      </c>
      <c r="AR136" s="486">
        <f t="shared" ref="AR136:AR141" si="218">L136</f>
        <v>69116</v>
      </c>
      <c r="AS136" s="486">
        <f t="shared" ref="AS136:AT141" si="219">M136+AA136</f>
        <v>7164403</v>
      </c>
      <c r="AT136" s="486">
        <f t="shared" si="219"/>
        <v>423329</v>
      </c>
      <c r="AU136" s="486">
        <f t="shared" ref="AU136:AU141" si="220">O136+AE136</f>
        <v>1048900</v>
      </c>
      <c r="AV136" s="501">
        <f t="shared" ref="AV136:AV141" si="221">P136+AN136</f>
        <v>39.307899999999997</v>
      </c>
      <c r="AW136" s="501">
        <f t="shared" ref="AW136:AX141" si="222">Q136+AL136</f>
        <v>29.745300000000004</v>
      </c>
      <c r="AX136" s="502">
        <f t="shared" si="222"/>
        <v>9.5625999999999998</v>
      </c>
    </row>
    <row r="137" spans="1:50" s="695" customFormat="1" x14ac:dyDescent="0.2">
      <c r="A137" s="720">
        <v>25</v>
      </c>
      <c r="B137" s="721">
        <v>4452</v>
      </c>
      <c r="C137" s="721">
        <v>600074919</v>
      </c>
      <c r="D137" s="721">
        <v>70698511</v>
      </c>
      <c r="E137" s="722" t="s">
        <v>197</v>
      </c>
      <c r="F137" s="721">
        <v>3113</v>
      </c>
      <c r="G137" s="531" t="s">
        <v>319</v>
      </c>
      <c r="H137" s="767" t="s">
        <v>283</v>
      </c>
      <c r="I137" s="495">
        <v>452364</v>
      </c>
      <c r="J137" s="496">
        <v>333110</v>
      </c>
      <c r="K137" s="475">
        <v>0</v>
      </c>
      <c r="L137" s="475">
        <v>0</v>
      </c>
      <c r="M137" s="319">
        <v>112591</v>
      </c>
      <c r="N137" s="319">
        <v>6663</v>
      </c>
      <c r="O137" s="496">
        <v>0</v>
      </c>
      <c r="P137" s="497">
        <v>0.83</v>
      </c>
      <c r="Q137" s="412">
        <v>0.83</v>
      </c>
      <c r="R137" s="764">
        <v>0</v>
      </c>
      <c r="S137" s="530">
        <f t="shared" si="207"/>
        <v>0</v>
      </c>
      <c r="T137" s="486">
        <v>0</v>
      </c>
      <c r="U137" s="486">
        <v>0</v>
      </c>
      <c r="V137" s="486">
        <f t="shared" si="208"/>
        <v>0</v>
      </c>
      <c r="W137" s="486">
        <v>0</v>
      </c>
      <c r="X137" s="486">
        <v>0</v>
      </c>
      <c r="Y137" s="486">
        <f t="shared" si="209"/>
        <v>0</v>
      </c>
      <c r="Z137" s="486">
        <f t="shared" si="210"/>
        <v>0</v>
      </c>
      <c r="AA137" s="319">
        <f t="shared" si="211"/>
        <v>0</v>
      </c>
      <c r="AB137" s="178">
        <f t="shared" si="212"/>
        <v>0</v>
      </c>
      <c r="AC137" s="486">
        <v>0</v>
      </c>
      <c r="AD137" s="486">
        <v>0</v>
      </c>
      <c r="AE137" s="486">
        <f t="shared" si="121"/>
        <v>0</v>
      </c>
      <c r="AF137" s="486">
        <f t="shared" si="122"/>
        <v>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si="213"/>
        <v>0</v>
      </c>
      <c r="AM137" s="501">
        <f t="shared" si="214"/>
        <v>0</v>
      </c>
      <c r="AN137" s="502">
        <f t="shared" si="123"/>
        <v>0</v>
      </c>
      <c r="AO137" s="499">
        <f t="shared" si="215"/>
        <v>452364</v>
      </c>
      <c r="AP137" s="486">
        <f t="shared" si="216"/>
        <v>333110</v>
      </c>
      <c r="AQ137" s="486">
        <f t="shared" si="217"/>
        <v>0</v>
      </c>
      <c r="AR137" s="486">
        <f t="shared" si="218"/>
        <v>0</v>
      </c>
      <c r="AS137" s="486">
        <f t="shared" si="219"/>
        <v>112591</v>
      </c>
      <c r="AT137" s="486">
        <f t="shared" si="219"/>
        <v>6663</v>
      </c>
      <c r="AU137" s="486">
        <f t="shared" si="220"/>
        <v>0</v>
      </c>
      <c r="AV137" s="501">
        <f t="shared" si="221"/>
        <v>0.83</v>
      </c>
      <c r="AW137" s="501">
        <f t="shared" si="222"/>
        <v>0.83</v>
      </c>
      <c r="AX137" s="502">
        <f t="shared" si="222"/>
        <v>0</v>
      </c>
    </row>
    <row r="138" spans="1:50" s="695" customFormat="1" x14ac:dyDescent="0.2">
      <c r="A138" s="720">
        <v>25</v>
      </c>
      <c r="B138" s="721">
        <v>4452</v>
      </c>
      <c r="C138" s="721">
        <v>600074919</v>
      </c>
      <c r="D138" s="721">
        <v>70698511</v>
      </c>
      <c r="E138" s="722" t="s">
        <v>197</v>
      </c>
      <c r="F138" s="721">
        <v>3113</v>
      </c>
      <c r="G138" s="531" t="s">
        <v>318</v>
      </c>
      <c r="H138" s="767" t="s">
        <v>284</v>
      </c>
      <c r="I138" s="495">
        <v>747352</v>
      </c>
      <c r="J138" s="496">
        <v>543153</v>
      </c>
      <c r="K138" s="475">
        <v>0</v>
      </c>
      <c r="L138" s="475">
        <v>0</v>
      </c>
      <c r="M138" s="319">
        <v>183586</v>
      </c>
      <c r="N138" s="319">
        <v>10863</v>
      </c>
      <c r="O138" s="496">
        <v>9750</v>
      </c>
      <c r="P138" s="497">
        <v>1.52</v>
      </c>
      <c r="Q138" s="412">
        <v>1.52</v>
      </c>
      <c r="R138" s="764">
        <v>0</v>
      </c>
      <c r="S138" s="530">
        <f t="shared" si="207"/>
        <v>0</v>
      </c>
      <c r="T138" s="486">
        <v>0</v>
      </c>
      <c r="U138" s="486">
        <v>0</v>
      </c>
      <c r="V138" s="486">
        <f t="shared" si="208"/>
        <v>0</v>
      </c>
      <c r="W138" s="486">
        <v>0</v>
      </c>
      <c r="X138" s="486">
        <v>0</v>
      </c>
      <c r="Y138" s="486">
        <f t="shared" si="209"/>
        <v>0</v>
      </c>
      <c r="Z138" s="486">
        <f t="shared" si="210"/>
        <v>0</v>
      </c>
      <c r="AA138" s="319">
        <f t="shared" si="211"/>
        <v>0</v>
      </c>
      <c r="AB138" s="178">
        <f t="shared" si="212"/>
        <v>0</v>
      </c>
      <c r="AC138" s="486">
        <v>0</v>
      </c>
      <c r="AD138" s="486">
        <v>0</v>
      </c>
      <c r="AE138" s="486">
        <f t="shared" si="121"/>
        <v>0</v>
      </c>
      <c r="AF138" s="486">
        <f t="shared" si="122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213"/>
        <v>0</v>
      </c>
      <c r="AM138" s="501">
        <f t="shared" si="214"/>
        <v>0</v>
      </c>
      <c r="AN138" s="502">
        <f t="shared" si="123"/>
        <v>0</v>
      </c>
      <c r="AO138" s="499">
        <f t="shared" si="215"/>
        <v>747352</v>
      </c>
      <c r="AP138" s="486">
        <f t="shared" si="216"/>
        <v>543153</v>
      </c>
      <c r="AQ138" s="486">
        <f t="shared" si="217"/>
        <v>0</v>
      </c>
      <c r="AR138" s="486">
        <f t="shared" si="218"/>
        <v>0</v>
      </c>
      <c r="AS138" s="486">
        <f t="shared" si="219"/>
        <v>183586</v>
      </c>
      <c r="AT138" s="486">
        <f t="shared" si="219"/>
        <v>10863</v>
      </c>
      <c r="AU138" s="486">
        <f t="shared" si="220"/>
        <v>9750</v>
      </c>
      <c r="AV138" s="501">
        <f t="shared" si="221"/>
        <v>1.52</v>
      </c>
      <c r="AW138" s="501">
        <f t="shared" si="222"/>
        <v>1.52</v>
      </c>
      <c r="AX138" s="502">
        <f t="shared" si="222"/>
        <v>0</v>
      </c>
    </row>
    <row r="139" spans="1:50" s="695" customFormat="1" x14ac:dyDescent="0.2">
      <c r="A139" s="720">
        <v>25</v>
      </c>
      <c r="B139" s="721">
        <v>4452</v>
      </c>
      <c r="C139" s="721">
        <v>600074919</v>
      </c>
      <c r="D139" s="721">
        <v>70698511</v>
      </c>
      <c r="E139" s="722" t="s">
        <v>197</v>
      </c>
      <c r="F139" s="721">
        <v>3141</v>
      </c>
      <c r="G139" s="531" t="s">
        <v>321</v>
      </c>
      <c r="H139" s="767" t="s">
        <v>284</v>
      </c>
      <c r="I139" s="495">
        <v>1980364</v>
      </c>
      <c r="J139" s="496">
        <v>1444585</v>
      </c>
      <c r="K139" s="475">
        <v>0</v>
      </c>
      <c r="L139" s="475">
        <v>0</v>
      </c>
      <c r="M139" s="319">
        <v>488270</v>
      </c>
      <c r="N139" s="319">
        <v>28891</v>
      </c>
      <c r="O139" s="496">
        <v>18618</v>
      </c>
      <c r="P139" s="497">
        <v>4.92</v>
      </c>
      <c r="Q139" s="412">
        <v>0</v>
      </c>
      <c r="R139" s="764">
        <v>4.92</v>
      </c>
      <c r="S139" s="530">
        <f t="shared" si="207"/>
        <v>0</v>
      </c>
      <c r="T139" s="486">
        <v>0</v>
      </c>
      <c r="U139" s="486">
        <v>0</v>
      </c>
      <c r="V139" s="486">
        <f t="shared" si="208"/>
        <v>0</v>
      </c>
      <c r="W139" s="486">
        <v>0</v>
      </c>
      <c r="X139" s="486">
        <v>0</v>
      </c>
      <c r="Y139" s="486">
        <f t="shared" si="209"/>
        <v>0</v>
      </c>
      <c r="Z139" s="486">
        <f t="shared" si="210"/>
        <v>0</v>
      </c>
      <c r="AA139" s="319">
        <f t="shared" si="211"/>
        <v>0</v>
      </c>
      <c r="AB139" s="178">
        <f t="shared" si="212"/>
        <v>0</v>
      </c>
      <c r="AC139" s="486">
        <v>0</v>
      </c>
      <c r="AD139" s="486">
        <v>0</v>
      </c>
      <c r="AE139" s="486">
        <f t="shared" si="121"/>
        <v>0</v>
      </c>
      <c r="AF139" s="486">
        <f t="shared" si="122"/>
        <v>0</v>
      </c>
      <c r="AG139" s="501">
        <v>0</v>
      </c>
      <c r="AH139" s="501">
        <v>0</v>
      </c>
      <c r="AI139" s="501">
        <v>0</v>
      </c>
      <c r="AJ139" s="501">
        <v>0</v>
      </c>
      <c r="AK139" s="501">
        <v>0</v>
      </c>
      <c r="AL139" s="501">
        <f t="shared" si="213"/>
        <v>0</v>
      </c>
      <c r="AM139" s="501">
        <f t="shared" si="214"/>
        <v>0</v>
      </c>
      <c r="AN139" s="502">
        <f t="shared" si="123"/>
        <v>0</v>
      </c>
      <c r="AO139" s="499">
        <f t="shared" si="215"/>
        <v>1980364</v>
      </c>
      <c r="AP139" s="486">
        <f t="shared" si="216"/>
        <v>1444585</v>
      </c>
      <c r="AQ139" s="486">
        <f t="shared" si="217"/>
        <v>0</v>
      </c>
      <c r="AR139" s="486">
        <f t="shared" si="218"/>
        <v>0</v>
      </c>
      <c r="AS139" s="486">
        <f t="shared" si="219"/>
        <v>488270</v>
      </c>
      <c r="AT139" s="486">
        <f t="shared" si="219"/>
        <v>28891</v>
      </c>
      <c r="AU139" s="486">
        <f t="shared" si="220"/>
        <v>18618</v>
      </c>
      <c r="AV139" s="501">
        <f t="shared" si="221"/>
        <v>4.92</v>
      </c>
      <c r="AW139" s="501">
        <f t="shared" si="222"/>
        <v>0</v>
      </c>
      <c r="AX139" s="502">
        <f t="shared" si="222"/>
        <v>4.92</v>
      </c>
    </row>
    <row r="140" spans="1:50" s="695" customFormat="1" x14ac:dyDescent="0.2">
      <c r="A140" s="720">
        <v>25</v>
      </c>
      <c r="B140" s="721">
        <v>4452</v>
      </c>
      <c r="C140" s="721">
        <v>600074919</v>
      </c>
      <c r="D140" s="721">
        <v>70698511</v>
      </c>
      <c r="E140" s="712" t="s">
        <v>197</v>
      </c>
      <c r="F140" s="721">
        <v>3143</v>
      </c>
      <c r="G140" s="531" t="s">
        <v>634</v>
      </c>
      <c r="H140" s="701" t="s">
        <v>283</v>
      </c>
      <c r="I140" s="495">
        <v>1628079</v>
      </c>
      <c r="J140" s="496">
        <v>1198880</v>
      </c>
      <c r="K140" s="475">
        <v>0</v>
      </c>
      <c r="L140" s="475">
        <v>0</v>
      </c>
      <c r="M140" s="319">
        <v>405221</v>
      </c>
      <c r="N140" s="319">
        <v>23978</v>
      </c>
      <c r="O140" s="496">
        <v>0</v>
      </c>
      <c r="P140" s="497">
        <v>2.5135000000000001</v>
      </c>
      <c r="Q140" s="412">
        <v>2.5135000000000001</v>
      </c>
      <c r="R140" s="764">
        <v>0</v>
      </c>
      <c r="S140" s="530">
        <f t="shared" si="207"/>
        <v>0</v>
      </c>
      <c r="T140" s="486">
        <v>0</v>
      </c>
      <c r="U140" s="486">
        <v>0</v>
      </c>
      <c r="V140" s="486">
        <f t="shared" si="208"/>
        <v>0</v>
      </c>
      <c r="W140" s="486">
        <v>0</v>
      </c>
      <c r="X140" s="486">
        <v>0</v>
      </c>
      <c r="Y140" s="486">
        <f t="shared" si="209"/>
        <v>0</v>
      </c>
      <c r="Z140" s="486">
        <f t="shared" si="210"/>
        <v>0</v>
      </c>
      <c r="AA140" s="319">
        <f t="shared" si="211"/>
        <v>0</v>
      </c>
      <c r="AB140" s="178">
        <f t="shared" si="212"/>
        <v>0</v>
      </c>
      <c r="AC140" s="486">
        <v>0</v>
      </c>
      <c r="AD140" s="486">
        <v>0</v>
      </c>
      <c r="AE140" s="486">
        <f t="shared" si="121"/>
        <v>0</v>
      </c>
      <c r="AF140" s="486">
        <f t="shared" si="122"/>
        <v>0</v>
      </c>
      <c r="AG140" s="501">
        <v>0</v>
      </c>
      <c r="AH140" s="501">
        <v>0</v>
      </c>
      <c r="AI140" s="501">
        <v>0</v>
      </c>
      <c r="AJ140" s="501">
        <v>0</v>
      </c>
      <c r="AK140" s="501">
        <v>0</v>
      </c>
      <c r="AL140" s="501">
        <f t="shared" si="213"/>
        <v>0</v>
      </c>
      <c r="AM140" s="501">
        <f t="shared" si="214"/>
        <v>0</v>
      </c>
      <c r="AN140" s="502">
        <f t="shared" si="123"/>
        <v>0</v>
      </c>
      <c r="AO140" s="499">
        <f t="shared" si="215"/>
        <v>1628079</v>
      </c>
      <c r="AP140" s="486">
        <f t="shared" si="216"/>
        <v>1198880</v>
      </c>
      <c r="AQ140" s="486">
        <f t="shared" si="217"/>
        <v>0</v>
      </c>
      <c r="AR140" s="486">
        <f t="shared" si="218"/>
        <v>0</v>
      </c>
      <c r="AS140" s="486">
        <f t="shared" si="219"/>
        <v>405221</v>
      </c>
      <c r="AT140" s="486">
        <f t="shared" si="219"/>
        <v>23978</v>
      </c>
      <c r="AU140" s="486">
        <f t="shared" si="220"/>
        <v>0</v>
      </c>
      <c r="AV140" s="501">
        <f t="shared" si="221"/>
        <v>2.5135000000000001</v>
      </c>
      <c r="AW140" s="501">
        <f t="shared" si="222"/>
        <v>2.5135000000000001</v>
      </c>
      <c r="AX140" s="502">
        <f t="shared" si="222"/>
        <v>0</v>
      </c>
    </row>
    <row r="141" spans="1:50" s="695" customFormat="1" x14ac:dyDescent="0.2">
      <c r="A141" s="720">
        <v>25</v>
      </c>
      <c r="B141" s="721">
        <v>4452</v>
      </c>
      <c r="C141" s="721">
        <v>600074919</v>
      </c>
      <c r="D141" s="721">
        <v>70698511</v>
      </c>
      <c r="E141" s="712" t="s">
        <v>197</v>
      </c>
      <c r="F141" s="721">
        <v>3143</v>
      </c>
      <c r="G141" s="531" t="s">
        <v>635</v>
      </c>
      <c r="H141" s="701" t="s">
        <v>284</v>
      </c>
      <c r="I141" s="495">
        <v>58284</v>
      </c>
      <c r="J141" s="496">
        <v>41085</v>
      </c>
      <c r="K141" s="475">
        <v>0</v>
      </c>
      <c r="L141" s="475">
        <v>0</v>
      </c>
      <c r="M141" s="319">
        <v>13887</v>
      </c>
      <c r="N141" s="319">
        <v>822</v>
      </c>
      <c r="O141" s="496">
        <v>2490</v>
      </c>
      <c r="P141" s="497">
        <v>0.17</v>
      </c>
      <c r="Q141" s="412">
        <v>0</v>
      </c>
      <c r="R141" s="764">
        <v>0.17</v>
      </c>
      <c r="S141" s="530">
        <f t="shared" si="207"/>
        <v>0</v>
      </c>
      <c r="T141" s="486">
        <v>0</v>
      </c>
      <c r="U141" s="486">
        <v>0</v>
      </c>
      <c r="V141" s="486">
        <f t="shared" si="208"/>
        <v>0</v>
      </c>
      <c r="W141" s="486">
        <v>0</v>
      </c>
      <c r="X141" s="486">
        <v>0</v>
      </c>
      <c r="Y141" s="486">
        <f t="shared" si="209"/>
        <v>0</v>
      </c>
      <c r="Z141" s="486">
        <f t="shared" si="210"/>
        <v>0</v>
      </c>
      <c r="AA141" s="319">
        <f t="shared" si="211"/>
        <v>0</v>
      </c>
      <c r="AB141" s="178">
        <f t="shared" si="212"/>
        <v>0</v>
      </c>
      <c r="AC141" s="486">
        <v>0</v>
      </c>
      <c r="AD141" s="486">
        <v>0</v>
      </c>
      <c r="AE141" s="486">
        <f t="shared" si="121"/>
        <v>0</v>
      </c>
      <c r="AF141" s="486">
        <f t="shared" si="122"/>
        <v>0</v>
      </c>
      <c r="AG141" s="501">
        <v>0</v>
      </c>
      <c r="AH141" s="501">
        <v>0</v>
      </c>
      <c r="AI141" s="501">
        <v>0</v>
      </c>
      <c r="AJ141" s="501">
        <v>0</v>
      </c>
      <c r="AK141" s="501">
        <v>0</v>
      </c>
      <c r="AL141" s="501">
        <f t="shared" si="213"/>
        <v>0</v>
      </c>
      <c r="AM141" s="501">
        <f t="shared" si="214"/>
        <v>0</v>
      </c>
      <c r="AN141" s="502">
        <f t="shared" si="123"/>
        <v>0</v>
      </c>
      <c r="AO141" s="499">
        <f t="shared" si="215"/>
        <v>58284</v>
      </c>
      <c r="AP141" s="486">
        <f t="shared" si="216"/>
        <v>41085</v>
      </c>
      <c r="AQ141" s="486">
        <f t="shared" si="217"/>
        <v>0</v>
      </c>
      <c r="AR141" s="486">
        <f t="shared" si="218"/>
        <v>0</v>
      </c>
      <c r="AS141" s="486">
        <f t="shared" si="219"/>
        <v>13887</v>
      </c>
      <c r="AT141" s="486">
        <f t="shared" si="219"/>
        <v>822</v>
      </c>
      <c r="AU141" s="486">
        <f t="shared" si="220"/>
        <v>2490</v>
      </c>
      <c r="AV141" s="501">
        <f t="shared" si="221"/>
        <v>0.17</v>
      </c>
      <c r="AW141" s="501">
        <f t="shared" si="222"/>
        <v>0</v>
      </c>
      <c r="AX141" s="502">
        <f t="shared" si="222"/>
        <v>0.17</v>
      </c>
    </row>
    <row r="142" spans="1:50" s="695" customFormat="1" x14ac:dyDescent="0.2">
      <c r="A142" s="282">
        <v>25</v>
      </c>
      <c r="B142" s="27">
        <v>4452</v>
      </c>
      <c r="C142" s="27">
        <v>600074919</v>
      </c>
      <c r="D142" s="27">
        <v>70698511</v>
      </c>
      <c r="E142" s="292" t="s">
        <v>198</v>
      </c>
      <c r="F142" s="27"/>
      <c r="G142" s="281"/>
      <c r="H142" s="377"/>
      <c r="I142" s="5">
        <v>34768649</v>
      </c>
      <c r="J142" s="8">
        <v>24727271</v>
      </c>
      <c r="K142" s="8">
        <v>99116</v>
      </c>
      <c r="L142" s="8">
        <v>69116</v>
      </c>
      <c r="M142" s="8">
        <v>8367958</v>
      </c>
      <c r="N142" s="8">
        <v>494546</v>
      </c>
      <c r="O142" s="8">
        <v>1079758</v>
      </c>
      <c r="P142" s="9">
        <v>49.261400000000002</v>
      </c>
      <c r="Q142" s="9">
        <v>34.608800000000002</v>
      </c>
      <c r="R142" s="33">
        <v>14.6526</v>
      </c>
      <c r="S142" s="5">
        <f t="shared" ref="S142:AX142" si="223">SUM(S136:S141)</f>
        <v>0</v>
      </c>
      <c r="T142" s="8">
        <f t="shared" si="223"/>
        <v>0</v>
      </c>
      <c r="U142" s="8">
        <f t="shared" si="223"/>
        <v>0</v>
      </c>
      <c r="V142" s="8">
        <f t="shared" si="223"/>
        <v>0</v>
      </c>
      <c r="W142" s="8">
        <f t="shared" si="223"/>
        <v>0</v>
      </c>
      <c r="X142" s="8">
        <f t="shared" si="223"/>
        <v>0</v>
      </c>
      <c r="Y142" s="8">
        <f t="shared" si="223"/>
        <v>0</v>
      </c>
      <c r="Z142" s="8">
        <f t="shared" si="223"/>
        <v>0</v>
      </c>
      <c r="AA142" s="8">
        <f t="shared" si="223"/>
        <v>0</v>
      </c>
      <c r="AB142" s="8">
        <f t="shared" si="223"/>
        <v>0</v>
      </c>
      <c r="AC142" s="8">
        <f t="shared" si="223"/>
        <v>0</v>
      </c>
      <c r="AD142" s="8">
        <f t="shared" si="223"/>
        <v>0</v>
      </c>
      <c r="AE142" s="8">
        <f t="shared" si="223"/>
        <v>0</v>
      </c>
      <c r="AF142" s="8">
        <f t="shared" si="223"/>
        <v>0</v>
      </c>
      <c r="AG142" s="9">
        <f t="shared" si="223"/>
        <v>0</v>
      </c>
      <c r="AH142" s="9">
        <f t="shared" si="223"/>
        <v>0</v>
      </c>
      <c r="AI142" s="9">
        <f t="shared" si="223"/>
        <v>0</v>
      </c>
      <c r="AJ142" s="9">
        <f t="shared" si="223"/>
        <v>0</v>
      </c>
      <c r="AK142" s="9">
        <f t="shared" si="223"/>
        <v>0</v>
      </c>
      <c r="AL142" s="9">
        <f t="shared" si="223"/>
        <v>0</v>
      </c>
      <c r="AM142" s="9">
        <f t="shared" si="223"/>
        <v>0</v>
      </c>
      <c r="AN142" s="74">
        <f t="shared" si="223"/>
        <v>0</v>
      </c>
      <c r="AO142" s="270">
        <f t="shared" si="223"/>
        <v>34768649</v>
      </c>
      <c r="AP142" s="8">
        <f t="shared" si="223"/>
        <v>24727271</v>
      </c>
      <c r="AQ142" s="38">
        <f t="shared" si="223"/>
        <v>99116</v>
      </c>
      <c r="AR142" s="38">
        <f t="shared" si="223"/>
        <v>69116</v>
      </c>
      <c r="AS142" s="8">
        <f t="shared" si="223"/>
        <v>8367958</v>
      </c>
      <c r="AT142" s="8">
        <f t="shared" si="223"/>
        <v>494546</v>
      </c>
      <c r="AU142" s="8">
        <f t="shared" si="223"/>
        <v>1079758</v>
      </c>
      <c r="AV142" s="9">
        <f t="shared" si="223"/>
        <v>49.261400000000002</v>
      </c>
      <c r="AW142" s="9">
        <f t="shared" si="223"/>
        <v>34.608800000000002</v>
      </c>
      <c r="AX142" s="74">
        <f t="shared" si="223"/>
        <v>14.6526</v>
      </c>
    </row>
    <row r="143" spans="1:50" s="695" customFormat="1" x14ac:dyDescent="0.2">
      <c r="A143" s="720">
        <v>26</v>
      </c>
      <c r="B143" s="721">
        <v>4468</v>
      </c>
      <c r="C143" s="721">
        <v>600075052</v>
      </c>
      <c r="D143" s="721">
        <v>70698546</v>
      </c>
      <c r="E143" s="722" t="s">
        <v>199</v>
      </c>
      <c r="F143" s="721">
        <v>3231</v>
      </c>
      <c r="G143" s="531" t="s">
        <v>322</v>
      </c>
      <c r="H143" s="767" t="s">
        <v>283</v>
      </c>
      <c r="I143" s="495">
        <v>5667401</v>
      </c>
      <c r="J143" s="496">
        <v>4082466</v>
      </c>
      <c r="K143" s="496">
        <v>78500</v>
      </c>
      <c r="L143" s="496">
        <v>0</v>
      </c>
      <c r="M143" s="496">
        <v>1406406</v>
      </c>
      <c r="N143" s="496">
        <v>81649</v>
      </c>
      <c r="O143" s="496">
        <v>18380</v>
      </c>
      <c r="P143" s="497">
        <v>7.9668000000000001</v>
      </c>
      <c r="Q143" s="412">
        <v>7.1702000000000004</v>
      </c>
      <c r="R143" s="764">
        <v>0.79659999999999975</v>
      </c>
      <c r="S143" s="530">
        <f>W143*-1</f>
        <v>0</v>
      </c>
      <c r="T143" s="486">
        <v>0</v>
      </c>
      <c r="U143" s="486">
        <v>0</v>
      </c>
      <c r="V143" s="486">
        <f>SUM(S143:U143)</f>
        <v>0</v>
      </c>
      <c r="W143" s="486">
        <v>0</v>
      </c>
      <c r="X143" s="486">
        <v>0</v>
      </c>
      <c r="Y143" s="486">
        <f>SUM(W143:X143)</f>
        <v>0</v>
      </c>
      <c r="Z143" s="486">
        <f>V143+Y143</f>
        <v>0</v>
      </c>
      <c r="AA143" s="319">
        <f>ROUND((V143+W143)*33.8%,0)</f>
        <v>0</v>
      </c>
      <c r="AB143" s="178">
        <f>ROUND(V143*2%,0)</f>
        <v>0</v>
      </c>
      <c r="AC143" s="486">
        <v>0</v>
      </c>
      <c r="AD143" s="486">
        <v>0</v>
      </c>
      <c r="AE143" s="486">
        <f t="shared" ref="AE143:AE206" si="224">SUM(AC143:AD143)</f>
        <v>0</v>
      </c>
      <c r="AF143" s="486">
        <f t="shared" ref="AF143:AF206" si="225">Z143+AA143+AB143+AE143</f>
        <v>0</v>
      </c>
      <c r="AG143" s="501">
        <v>0</v>
      </c>
      <c r="AH143" s="501">
        <v>0</v>
      </c>
      <c r="AI143" s="501">
        <v>0</v>
      </c>
      <c r="AJ143" s="501">
        <v>0</v>
      </c>
      <c r="AK143" s="501">
        <v>0</v>
      </c>
      <c r="AL143" s="501">
        <f>AG143+AI143+AJ143</f>
        <v>0</v>
      </c>
      <c r="AM143" s="501">
        <f>AH143+AK143</f>
        <v>0</v>
      </c>
      <c r="AN143" s="502">
        <f t="shared" ref="AN143:AN206" si="226">SUM(AL143:AM143)</f>
        <v>0</v>
      </c>
      <c r="AO143" s="499">
        <f>I143+AF143</f>
        <v>5667401</v>
      </c>
      <c r="AP143" s="486">
        <f>J143+V143</f>
        <v>4082466</v>
      </c>
      <c r="AQ143" s="486">
        <f>K143+Y143</f>
        <v>78500</v>
      </c>
      <c r="AR143" s="486">
        <f>L143</f>
        <v>0</v>
      </c>
      <c r="AS143" s="486">
        <f>M143+AA143</f>
        <v>1406406</v>
      </c>
      <c r="AT143" s="486">
        <f>N143+AB143</f>
        <v>81649</v>
      </c>
      <c r="AU143" s="486">
        <f>O143+AE143</f>
        <v>18380</v>
      </c>
      <c r="AV143" s="501">
        <f>P143+AN143</f>
        <v>7.9668000000000001</v>
      </c>
      <c r="AW143" s="501">
        <f>Q143+AL143</f>
        <v>7.1702000000000004</v>
      </c>
      <c r="AX143" s="502">
        <f>R143+AM143</f>
        <v>0.79659999999999975</v>
      </c>
    </row>
    <row r="144" spans="1:50" s="695" customFormat="1" x14ac:dyDescent="0.2">
      <c r="A144" s="282">
        <v>26</v>
      </c>
      <c r="B144" s="27">
        <v>4468</v>
      </c>
      <c r="C144" s="27">
        <v>600075052</v>
      </c>
      <c r="D144" s="27">
        <v>70698546</v>
      </c>
      <c r="E144" s="292" t="s">
        <v>200</v>
      </c>
      <c r="F144" s="27"/>
      <c r="G144" s="281"/>
      <c r="H144" s="377"/>
      <c r="I144" s="5">
        <v>5667401</v>
      </c>
      <c r="J144" s="8">
        <v>4082466</v>
      </c>
      <c r="K144" s="8">
        <v>78500</v>
      </c>
      <c r="L144" s="8">
        <v>0</v>
      </c>
      <c r="M144" s="8">
        <v>1406406</v>
      </c>
      <c r="N144" s="8">
        <v>81649</v>
      </c>
      <c r="O144" s="8">
        <v>18380</v>
      </c>
      <c r="P144" s="9">
        <v>7.9668000000000001</v>
      </c>
      <c r="Q144" s="9">
        <v>7.1702000000000004</v>
      </c>
      <c r="R144" s="33">
        <v>0.79659999999999975</v>
      </c>
      <c r="S144" s="5">
        <f t="shared" ref="S144:AX144" si="227">SUM(S143)</f>
        <v>0</v>
      </c>
      <c r="T144" s="8">
        <f t="shared" si="227"/>
        <v>0</v>
      </c>
      <c r="U144" s="8">
        <f t="shared" si="227"/>
        <v>0</v>
      </c>
      <c r="V144" s="8">
        <f t="shared" si="227"/>
        <v>0</v>
      </c>
      <c r="W144" s="8">
        <f t="shared" si="227"/>
        <v>0</v>
      </c>
      <c r="X144" s="8">
        <f t="shared" si="227"/>
        <v>0</v>
      </c>
      <c r="Y144" s="8">
        <f t="shared" si="227"/>
        <v>0</v>
      </c>
      <c r="Z144" s="8">
        <f t="shared" si="227"/>
        <v>0</v>
      </c>
      <c r="AA144" s="8">
        <f t="shared" si="227"/>
        <v>0</v>
      </c>
      <c r="AB144" s="8">
        <f t="shared" si="227"/>
        <v>0</v>
      </c>
      <c r="AC144" s="8">
        <f t="shared" si="227"/>
        <v>0</v>
      </c>
      <c r="AD144" s="8">
        <f t="shared" si="227"/>
        <v>0</v>
      </c>
      <c r="AE144" s="8">
        <f t="shared" si="227"/>
        <v>0</v>
      </c>
      <c r="AF144" s="8">
        <f t="shared" si="227"/>
        <v>0</v>
      </c>
      <c r="AG144" s="9">
        <f t="shared" si="227"/>
        <v>0</v>
      </c>
      <c r="AH144" s="9">
        <f t="shared" si="227"/>
        <v>0</v>
      </c>
      <c r="AI144" s="9">
        <f t="shared" si="227"/>
        <v>0</v>
      </c>
      <c r="AJ144" s="9">
        <f t="shared" si="227"/>
        <v>0</v>
      </c>
      <c r="AK144" s="9">
        <f t="shared" si="227"/>
        <v>0</v>
      </c>
      <c r="AL144" s="9">
        <f t="shared" si="227"/>
        <v>0</v>
      </c>
      <c r="AM144" s="9">
        <f t="shared" si="227"/>
        <v>0</v>
      </c>
      <c r="AN144" s="74">
        <f t="shared" si="227"/>
        <v>0</v>
      </c>
      <c r="AO144" s="270">
        <f t="shared" si="227"/>
        <v>5667401</v>
      </c>
      <c r="AP144" s="8">
        <f t="shared" si="227"/>
        <v>4082466</v>
      </c>
      <c r="AQ144" s="38">
        <f t="shared" si="227"/>
        <v>78500</v>
      </c>
      <c r="AR144" s="38">
        <f t="shared" si="227"/>
        <v>0</v>
      </c>
      <c r="AS144" s="8">
        <f t="shared" si="227"/>
        <v>1406406</v>
      </c>
      <c r="AT144" s="8">
        <f t="shared" si="227"/>
        <v>81649</v>
      </c>
      <c r="AU144" s="8">
        <f t="shared" si="227"/>
        <v>18380</v>
      </c>
      <c r="AV144" s="9">
        <f t="shared" si="227"/>
        <v>7.9668000000000001</v>
      </c>
      <c r="AW144" s="9">
        <f t="shared" si="227"/>
        <v>7.1702000000000004</v>
      </c>
      <c r="AX144" s="74">
        <f t="shared" si="227"/>
        <v>0.79659999999999975</v>
      </c>
    </row>
    <row r="145" spans="1:50" s="695" customFormat="1" x14ac:dyDescent="0.2">
      <c r="A145" s="720">
        <v>27</v>
      </c>
      <c r="B145" s="721">
        <v>4414</v>
      </c>
      <c r="C145" s="721">
        <v>600074307</v>
      </c>
      <c r="D145" s="721">
        <v>70695831</v>
      </c>
      <c r="E145" s="722" t="s">
        <v>201</v>
      </c>
      <c r="F145" s="721">
        <v>3111</v>
      </c>
      <c r="G145" s="531" t="s">
        <v>317</v>
      </c>
      <c r="H145" s="767" t="s">
        <v>283</v>
      </c>
      <c r="I145" s="495">
        <v>4868596</v>
      </c>
      <c r="J145" s="496">
        <v>3510660</v>
      </c>
      <c r="K145" s="496">
        <v>40000</v>
      </c>
      <c r="L145" s="496">
        <v>0</v>
      </c>
      <c r="M145" s="496">
        <v>1200123</v>
      </c>
      <c r="N145" s="496">
        <v>70213</v>
      </c>
      <c r="O145" s="496">
        <v>47600</v>
      </c>
      <c r="P145" s="497">
        <v>8.270500000000002</v>
      </c>
      <c r="Q145" s="412">
        <v>6.1363000000000003</v>
      </c>
      <c r="R145" s="764">
        <v>2.1342000000000008</v>
      </c>
      <c r="S145" s="530">
        <f t="shared" ref="S145:S147" si="228">W145*-1</f>
        <v>0</v>
      </c>
      <c r="T145" s="486">
        <v>0</v>
      </c>
      <c r="U145" s="486">
        <v>0</v>
      </c>
      <c r="V145" s="486">
        <f>SUM(S145:U145)</f>
        <v>0</v>
      </c>
      <c r="W145" s="486">
        <v>0</v>
      </c>
      <c r="X145" s="486">
        <v>0</v>
      </c>
      <c r="Y145" s="486">
        <f>SUM(W145:X145)</f>
        <v>0</v>
      </c>
      <c r="Z145" s="486">
        <f>V145+Y145</f>
        <v>0</v>
      </c>
      <c r="AA145" s="319">
        <f>ROUND((V145+W145)*33.8%,0)</f>
        <v>0</v>
      </c>
      <c r="AB145" s="178">
        <f>ROUND(V145*2%,0)</f>
        <v>0</v>
      </c>
      <c r="AC145" s="486">
        <v>0</v>
      </c>
      <c r="AD145" s="486">
        <v>0</v>
      </c>
      <c r="AE145" s="486">
        <f t="shared" si="224"/>
        <v>0</v>
      </c>
      <c r="AF145" s="486">
        <f t="shared" si="225"/>
        <v>0</v>
      </c>
      <c r="AG145" s="501">
        <v>0</v>
      </c>
      <c r="AH145" s="501">
        <v>0</v>
      </c>
      <c r="AI145" s="501">
        <v>0</v>
      </c>
      <c r="AJ145" s="501">
        <v>0</v>
      </c>
      <c r="AK145" s="501">
        <v>0</v>
      </c>
      <c r="AL145" s="501">
        <f t="shared" ref="AL145:AL147" si="229">AG145+AI145+AJ145</f>
        <v>0</v>
      </c>
      <c r="AM145" s="501">
        <f t="shared" ref="AM145:AM147" si="230">AH145+AK145</f>
        <v>0</v>
      </c>
      <c r="AN145" s="502">
        <f t="shared" si="226"/>
        <v>0</v>
      </c>
      <c r="AO145" s="499">
        <f>I145+AF145</f>
        <v>4868596</v>
      </c>
      <c r="AP145" s="486">
        <f>J145+V145</f>
        <v>3510660</v>
      </c>
      <c r="AQ145" s="486">
        <f>K145+Y145</f>
        <v>40000</v>
      </c>
      <c r="AR145" s="486">
        <f>L145</f>
        <v>0</v>
      </c>
      <c r="AS145" s="486">
        <f t="shared" ref="AS145:AT147" si="231">M145+AA145</f>
        <v>1200123</v>
      </c>
      <c r="AT145" s="486">
        <f t="shared" si="231"/>
        <v>70213</v>
      </c>
      <c r="AU145" s="486">
        <f>O145+AE145</f>
        <v>47600</v>
      </c>
      <c r="AV145" s="501">
        <f>P145+AN145</f>
        <v>8.270500000000002</v>
      </c>
      <c r="AW145" s="501">
        <f t="shared" ref="AW145:AX147" si="232">Q145+AL145</f>
        <v>6.1363000000000003</v>
      </c>
      <c r="AX145" s="502">
        <f t="shared" si="232"/>
        <v>2.1342000000000008</v>
      </c>
    </row>
    <row r="146" spans="1:50" s="695" customFormat="1" x14ac:dyDescent="0.2">
      <c r="A146" s="720">
        <v>27</v>
      </c>
      <c r="B146" s="721">
        <v>4414</v>
      </c>
      <c r="C146" s="721">
        <v>600074307</v>
      </c>
      <c r="D146" s="721">
        <v>70695831</v>
      </c>
      <c r="E146" s="722" t="s">
        <v>201</v>
      </c>
      <c r="F146" s="721">
        <v>3111</v>
      </c>
      <c r="G146" s="531" t="s">
        <v>318</v>
      </c>
      <c r="H146" s="767" t="s">
        <v>284</v>
      </c>
      <c r="I146" s="495">
        <v>829916</v>
      </c>
      <c r="J146" s="496">
        <v>610027</v>
      </c>
      <c r="K146" s="475">
        <v>0</v>
      </c>
      <c r="L146" s="475">
        <v>0</v>
      </c>
      <c r="M146" s="319">
        <v>206189</v>
      </c>
      <c r="N146" s="319">
        <v>12200</v>
      </c>
      <c r="O146" s="496">
        <v>1500</v>
      </c>
      <c r="P146" s="497">
        <v>1.8</v>
      </c>
      <c r="Q146" s="412">
        <v>1.8</v>
      </c>
      <c r="R146" s="764">
        <v>0</v>
      </c>
      <c r="S146" s="530">
        <f t="shared" si="228"/>
        <v>0</v>
      </c>
      <c r="T146" s="486">
        <v>0</v>
      </c>
      <c r="U146" s="486">
        <v>0</v>
      </c>
      <c r="V146" s="486">
        <f>SUM(S146:U146)</f>
        <v>0</v>
      </c>
      <c r="W146" s="486">
        <v>0</v>
      </c>
      <c r="X146" s="486">
        <v>0</v>
      </c>
      <c r="Y146" s="486">
        <f>SUM(W146:X146)</f>
        <v>0</v>
      </c>
      <c r="Z146" s="486">
        <f>V146+Y146</f>
        <v>0</v>
      </c>
      <c r="AA146" s="319">
        <f>ROUND((V146+W146)*33.8%,0)</f>
        <v>0</v>
      </c>
      <c r="AB146" s="178">
        <f>ROUND(V146*2%,0)</f>
        <v>0</v>
      </c>
      <c r="AC146" s="486">
        <v>0</v>
      </c>
      <c r="AD146" s="486">
        <v>0</v>
      </c>
      <c r="AE146" s="486">
        <f t="shared" si="224"/>
        <v>0</v>
      </c>
      <c r="AF146" s="486">
        <f t="shared" si="225"/>
        <v>0</v>
      </c>
      <c r="AG146" s="501">
        <v>0</v>
      </c>
      <c r="AH146" s="501">
        <v>0</v>
      </c>
      <c r="AI146" s="501">
        <v>0</v>
      </c>
      <c r="AJ146" s="501">
        <v>0</v>
      </c>
      <c r="AK146" s="501">
        <v>0</v>
      </c>
      <c r="AL146" s="501">
        <f t="shared" si="229"/>
        <v>0</v>
      </c>
      <c r="AM146" s="501">
        <f t="shared" si="230"/>
        <v>0</v>
      </c>
      <c r="AN146" s="502">
        <f t="shared" si="226"/>
        <v>0</v>
      </c>
      <c r="AO146" s="499">
        <f>I146+AF146</f>
        <v>829916</v>
      </c>
      <c r="AP146" s="486">
        <f>J146+V146</f>
        <v>610027</v>
      </c>
      <c r="AQ146" s="486">
        <f>K146+Y146</f>
        <v>0</v>
      </c>
      <c r="AR146" s="486">
        <f>L146</f>
        <v>0</v>
      </c>
      <c r="AS146" s="486">
        <f t="shared" si="231"/>
        <v>206189</v>
      </c>
      <c r="AT146" s="486">
        <f t="shared" si="231"/>
        <v>12200</v>
      </c>
      <c r="AU146" s="486">
        <f>O146+AE146</f>
        <v>1500</v>
      </c>
      <c r="AV146" s="501">
        <f>P146+AN146</f>
        <v>1.8</v>
      </c>
      <c r="AW146" s="501">
        <f t="shared" si="232"/>
        <v>1.8</v>
      </c>
      <c r="AX146" s="502">
        <f t="shared" si="232"/>
        <v>0</v>
      </c>
    </row>
    <row r="147" spans="1:50" s="695" customFormat="1" x14ac:dyDescent="0.2">
      <c r="A147" s="720">
        <v>27</v>
      </c>
      <c r="B147" s="721">
        <v>4414</v>
      </c>
      <c r="C147" s="721">
        <v>600074307</v>
      </c>
      <c r="D147" s="721">
        <v>70695831</v>
      </c>
      <c r="E147" s="712" t="s">
        <v>201</v>
      </c>
      <c r="F147" s="721">
        <v>3141</v>
      </c>
      <c r="G147" s="531" t="s">
        <v>321</v>
      </c>
      <c r="H147" s="767" t="s">
        <v>284</v>
      </c>
      <c r="I147" s="495">
        <v>318829</v>
      </c>
      <c r="J147" s="496">
        <v>232876</v>
      </c>
      <c r="K147" s="475">
        <v>0</v>
      </c>
      <c r="L147" s="475">
        <v>0</v>
      </c>
      <c r="M147" s="319">
        <v>78712</v>
      </c>
      <c r="N147" s="319">
        <v>4657</v>
      </c>
      <c r="O147" s="496">
        <v>2584</v>
      </c>
      <c r="P147" s="497">
        <v>0.79</v>
      </c>
      <c r="Q147" s="412">
        <v>0</v>
      </c>
      <c r="R147" s="764">
        <v>0.79</v>
      </c>
      <c r="S147" s="530">
        <f t="shared" si="228"/>
        <v>0</v>
      </c>
      <c r="T147" s="486">
        <v>0</v>
      </c>
      <c r="U147" s="486">
        <v>0</v>
      </c>
      <c r="V147" s="486">
        <f>SUM(S147:U147)</f>
        <v>0</v>
      </c>
      <c r="W147" s="486">
        <v>0</v>
      </c>
      <c r="X147" s="486">
        <v>0</v>
      </c>
      <c r="Y147" s="486">
        <f>SUM(W147:X147)</f>
        <v>0</v>
      </c>
      <c r="Z147" s="486">
        <f>V147+Y147</f>
        <v>0</v>
      </c>
      <c r="AA147" s="319">
        <f>ROUND((V147+W147)*33.8%,0)</f>
        <v>0</v>
      </c>
      <c r="AB147" s="178">
        <f>ROUND(V147*2%,0)</f>
        <v>0</v>
      </c>
      <c r="AC147" s="486">
        <v>0</v>
      </c>
      <c r="AD147" s="486">
        <v>0</v>
      </c>
      <c r="AE147" s="486">
        <f t="shared" si="224"/>
        <v>0</v>
      </c>
      <c r="AF147" s="486">
        <f t="shared" si="225"/>
        <v>0</v>
      </c>
      <c r="AG147" s="501">
        <v>0</v>
      </c>
      <c r="AH147" s="501">
        <v>0</v>
      </c>
      <c r="AI147" s="501">
        <v>0</v>
      </c>
      <c r="AJ147" s="501">
        <v>0</v>
      </c>
      <c r="AK147" s="501">
        <v>0</v>
      </c>
      <c r="AL147" s="501">
        <f t="shared" si="229"/>
        <v>0</v>
      </c>
      <c r="AM147" s="501">
        <f t="shared" si="230"/>
        <v>0</v>
      </c>
      <c r="AN147" s="502">
        <f t="shared" si="226"/>
        <v>0</v>
      </c>
      <c r="AO147" s="499">
        <f>I147+AF147</f>
        <v>318829</v>
      </c>
      <c r="AP147" s="486">
        <f>J147+V147</f>
        <v>232876</v>
      </c>
      <c r="AQ147" s="486">
        <f>K147+Y147</f>
        <v>0</v>
      </c>
      <c r="AR147" s="486">
        <f>L147</f>
        <v>0</v>
      </c>
      <c r="AS147" s="486">
        <f t="shared" si="231"/>
        <v>78712</v>
      </c>
      <c r="AT147" s="486">
        <f t="shared" si="231"/>
        <v>4657</v>
      </c>
      <c r="AU147" s="486">
        <f>O147+AE147</f>
        <v>2584</v>
      </c>
      <c r="AV147" s="501">
        <f>P147+AN147</f>
        <v>0.79</v>
      </c>
      <c r="AW147" s="501">
        <f t="shared" si="232"/>
        <v>0</v>
      </c>
      <c r="AX147" s="502">
        <f t="shared" si="232"/>
        <v>0.79</v>
      </c>
    </row>
    <row r="148" spans="1:50" s="695" customFormat="1" x14ac:dyDescent="0.2">
      <c r="A148" s="282">
        <v>27</v>
      </c>
      <c r="B148" s="27">
        <v>4414</v>
      </c>
      <c r="C148" s="27">
        <v>600074307</v>
      </c>
      <c r="D148" s="27">
        <v>70695831</v>
      </c>
      <c r="E148" s="292" t="s">
        <v>202</v>
      </c>
      <c r="F148" s="27"/>
      <c r="G148" s="281"/>
      <c r="H148" s="377"/>
      <c r="I148" s="5">
        <v>6017341</v>
      </c>
      <c r="J148" s="8">
        <v>4353563</v>
      </c>
      <c r="K148" s="8">
        <v>40000</v>
      </c>
      <c r="L148" s="8">
        <v>0</v>
      </c>
      <c r="M148" s="8">
        <v>1485024</v>
      </c>
      <c r="N148" s="8">
        <v>87070</v>
      </c>
      <c r="O148" s="8">
        <v>51684</v>
      </c>
      <c r="P148" s="9">
        <v>10.860500000000002</v>
      </c>
      <c r="Q148" s="9">
        <v>7.9363000000000001</v>
      </c>
      <c r="R148" s="33">
        <v>2.9242000000000008</v>
      </c>
      <c r="S148" s="5">
        <f t="shared" ref="S148:AX148" si="233">SUM(S145:S147)</f>
        <v>0</v>
      </c>
      <c r="T148" s="8">
        <f t="shared" si="233"/>
        <v>0</v>
      </c>
      <c r="U148" s="8">
        <f t="shared" si="233"/>
        <v>0</v>
      </c>
      <c r="V148" s="8">
        <f t="shared" si="233"/>
        <v>0</v>
      </c>
      <c r="W148" s="8">
        <f t="shared" si="233"/>
        <v>0</v>
      </c>
      <c r="X148" s="8">
        <f t="shared" si="233"/>
        <v>0</v>
      </c>
      <c r="Y148" s="8">
        <f t="shared" si="233"/>
        <v>0</v>
      </c>
      <c r="Z148" s="8">
        <f t="shared" si="233"/>
        <v>0</v>
      </c>
      <c r="AA148" s="8">
        <f t="shared" si="233"/>
        <v>0</v>
      </c>
      <c r="AB148" s="8">
        <f t="shared" si="233"/>
        <v>0</v>
      </c>
      <c r="AC148" s="8">
        <f t="shared" si="233"/>
        <v>0</v>
      </c>
      <c r="AD148" s="8">
        <f t="shared" si="233"/>
        <v>0</v>
      </c>
      <c r="AE148" s="8">
        <f t="shared" si="233"/>
        <v>0</v>
      </c>
      <c r="AF148" s="8">
        <f t="shared" si="233"/>
        <v>0</v>
      </c>
      <c r="AG148" s="9">
        <f t="shared" si="233"/>
        <v>0</v>
      </c>
      <c r="AH148" s="9">
        <f t="shared" si="233"/>
        <v>0</v>
      </c>
      <c r="AI148" s="9">
        <f t="shared" si="233"/>
        <v>0</v>
      </c>
      <c r="AJ148" s="9">
        <f t="shared" si="233"/>
        <v>0</v>
      </c>
      <c r="AK148" s="9">
        <f t="shared" si="233"/>
        <v>0</v>
      </c>
      <c r="AL148" s="9">
        <f t="shared" si="233"/>
        <v>0</v>
      </c>
      <c r="AM148" s="9">
        <f t="shared" si="233"/>
        <v>0</v>
      </c>
      <c r="AN148" s="74">
        <f t="shared" si="233"/>
        <v>0</v>
      </c>
      <c r="AO148" s="270">
        <f t="shared" si="233"/>
        <v>6017341</v>
      </c>
      <c r="AP148" s="8">
        <f t="shared" si="233"/>
        <v>4353563</v>
      </c>
      <c r="AQ148" s="38">
        <f t="shared" si="233"/>
        <v>40000</v>
      </c>
      <c r="AR148" s="38">
        <f t="shared" si="233"/>
        <v>0</v>
      </c>
      <c r="AS148" s="8">
        <f t="shared" si="233"/>
        <v>1485024</v>
      </c>
      <c r="AT148" s="8">
        <f t="shared" si="233"/>
        <v>87070</v>
      </c>
      <c r="AU148" s="8">
        <f t="shared" si="233"/>
        <v>51684</v>
      </c>
      <c r="AV148" s="9">
        <f t="shared" si="233"/>
        <v>10.860500000000002</v>
      </c>
      <c r="AW148" s="9">
        <f t="shared" si="233"/>
        <v>7.9363000000000001</v>
      </c>
      <c r="AX148" s="74">
        <f t="shared" si="233"/>
        <v>2.9242000000000008</v>
      </c>
    </row>
    <row r="149" spans="1:50" s="695" customFormat="1" x14ac:dyDescent="0.2">
      <c r="A149" s="720">
        <v>28</v>
      </c>
      <c r="B149" s="721">
        <v>4444</v>
      </c>
      <c r="C149" s="721">
        <v>600074731</v>
      </c>
      <c r="D149" s="721">
        <v>48282979</v>
      </c>
      <c r="E149" s="722" t="s">
        <v>203</v>
      </c>
      <c r="F149" s="721">
        <v>3113</v>
      </c>
      <c r="G149" s="531" t="s">
        <v>320</v>
      </c>
      <c r="H149" s="767" t="s">
        <v>283</v>
      </c>
      <c r="I149" s="495">
        <v>13559711</v>
      </c>
      <c r="J149" s="496">
        <v>9556097</v>
      </c>
      <c r="K149" s="496">
        <v>125411</v>
      </c>
      <c r="L149" s="496">
        <v>85411</v>
      </c>
      <c r="M149" s="496">
        <v>3243481</v>
      </c>
      <c r="N149" s="496">
        <v>191122</v>
      </c>
      <c r="O149" s="496">
        <v>443600</v>
      </c>
      <c r="P149" s="497">
        <v>18.3185</v>
      </c>
      <c r="Q149" s="412">
        <v>13.5909</v>
      </c>
      <c r="R149" s="764">
        <v>4.7275999999999998</v>
      </c>
      <c r="S149" s="530">
        <f t="shared" ref="S149:S154" si="234">W149*-1</f>
        <v>0</v>
      </c>
      <c r="T149" s="486">
        <v>0</v>
      </c>
      <c r="U149" s="486">
        <v>0</v>
      </c>
      <c r="V149" s="486">
        <f t="shared" ref="V149:V154" si="235">SUM(S149:U149)</f>
        <v>0</v>
      </c>
      <c r="W149" s="486">
        <v>0</v>
      </c>
      <c r="X149" s="486">
        <v>0</v>
      </c>
      <c r="Y149" s="486">
        <f t="shared" ref="Y149:Y154" si="236">SUM(W149:X149)</f>
        <v>0</v>
      </c>
      <c r="Z149" s="486">
        <f t="shared" ref="Z149:Z154" si="237">V149+Y149</f>
        <v>0</v>
      </c>
      <c r="AA149" s="319">
        <f t="shared" ref="AA149:AA154" si="238">ROUND((V149+W149)*33.8%,0)</f>
        <v>0</v>
      </c>
      <c r="AB149" s="178">
        <f t="shared" ref="AB149:AB154" si="239">ROUND(V149*2%,0)</f>
        <v>0</v>
      </c>
      <c r="AC149" s="486">
        <v>0</v>
      </c>
      <c r="AD149" s="486">
        <v>0</v>
      </c>
      <c r="AE149" s="486">
        <f t="shared" si="224"/>
        <v>0</v>
      </c>
      <c r="AF149" s="486">
        <f t="shared" si="225"/>
        <v>0</v>
      </c>
      <c r="AG149" s="501">
        <v>0</v>
      </c>
      <c r="AH149" s="501">
        <v>0</v>
      </c>
      <c r="AI149" s="501">
        <v>0</v>
      </c>
      <c r="AJ149" s="501">
        <v>0</v>
      </c>
      <c r="AK149" s="501">
        <v>0</v>
      </c>
      <c r="AL149" s="501">
        <f t="shared" ref="AL149:AL154" si="240">AG149+AI149+AJ149</f>
        <v>0</v>
      </c>
      <c r="AM149" s="501">
        <f t="shared" ref="AM149:AM154" si="241">AH149+AK149</f>
        <v>0</v>
      </c>
      <c r="AN149" s="502">
        <f t="shared" si="226"/>
        <v>0</v>
      </c>
      <c r="AO149" s="499">
        <f t="shared" ref="AO149:AO154" si="242">I149+AF149</f>
        <v>13559711</v>
      </c>
      <c r="AP149" s="486">
        <f t="shared" ref="AP149:AP154" si="243">J149+V149</f>
        <v>9556097</v>
      </c>
      <c r="AQ149" s="486">
        <f t="shared" ref="AQ149:AQ154" si="244">K149+Y149</f>
        <v>125411</v>
      </c>
      <c r="AR149" s="486">
        <f t="shared" ref="AR149:AR154" si="245">L149</f>
        <v>85411</v>
      </c>
      <c r="AS149" s="486">
        <f t="shared" ref="AS149:AT154" si="246">M149+AA149</f>
        <v>3243481</v>
      </c>
      <c r="AT149" s="486">
        <f t="shared" si="246"/>
        <v>191122</v>
      </c>
      <c r="AU149" s="486">
        <f t="shared" ref="AU149:AU154" si="247">O149+AE149</f>
        <v>443600</v>
      </c>
      <c r="AV149" s="501">
        <f t="shared" ref="AV149:AV154" si="248">P149+AN149</f>
        <v>18.3185</v>
      </c>
      <c r="AW149" s="501">
        <f t="shared" ref="AW149:AX154" si="249">Q149+AL149</f>
        <v>13.5909</v>
      </c>
      <c r="AX149" s="502">
        <f t="shared" si="249"/>
        <v>4.7275999999999998</v>
      </c>
    </row>
    <row r="150" spans="1:50" s="695" customFormat="1" x14ac:dyDescent="0.2">
      <c r="A150" s="720">
        <v>28</v>
      </c>
      <c r="B150" s="721">
        <v>4444</v>
      </c>
      <c r="C150" s="721">
        <v>600074731</v>
      </c>
      <c r="D150" s="721">
        <v>48282979</v>
      </c>
      <c r="E150" s="722" t="s">
        <v>203</v>
      </c>
      <c r="F150" s="721">
        <v>3113</v>
      </c>
      <c r="G150" s="531" t="s">
        <v>325</v>
      </c>
      <c r="H150" s="767" t="s">
        <v>284</v>
      </c>
      <c r="I150" s="495">
        <v>2798020</v>
      </c>
      <c r="J150" s="496">
        <v>2041436</v>
      </c>
      <c r="K150" s="475">
        <v>0</v>
      </c>
      <c r="L150" s="475">
        <v>0</v>
      </c>
      <c r="M150" s="319">
        <v>690005</v>
      </c>
      <c r="N150" s="319">
        <v>40829</v>
      </c>
      <c r="O150" s="496">
        <v>25750</v>
      </c>
      <c r="P150" s="497">
        <v>6</v>
      </c>
      <c r="Q150" s="412">
        <v>6</v>
      </c>
      <c r="R150" s="764">
        <v>0</v>
      </c>
      <c r="S150" s="530">
        <f t="shared" si="234"/>
        <v>0</v>
      </c>
      <c r="T150" s="486">
        <v>0</v>
      </c>
      <c r="U150" s="486">
        <v>0</v>
      </c>
      <c r="V150" s="486">
        <f t="shared" si="235"/>
        <v>0</v>
      </c>
      <c r="W150" s="486">
        <v>0</v>
      </c>
      <c r="X150" s="486">
        <v>0</v>
      </c>
      <c r="Y150" s="486">
        <f t="shared" si="236"/>
        <v>0</v>
      </c>
      <c r="Z150" s="486">
        <f t="shared" si="237"/>
        <v>0</v>
      </c>
      <c r="AA150" s="319">
        <f t="shared" si="238"/>
        <v>0</v>
      </c>
      <c r="AB150" s="178">
        <f t="shared" si="239"/>
        <v>0</v>
      </c>
      <c r="AC150" s="486">
        <v>0</v>
      </c>
      <c r="AD150" s="486">
        <v>0</v>
      </c>
      <c r="AE150" s="486">
        <f t="shared" si="224"/>
        <v>0</v>
      </c>
      <c r="AF150" s="486">
        <f t="shared" si="225"/>
        <v>0</v>
      </c>
      <c r="AG150" s="501">
        <v>0</v>
      </c>
      <c r="AH150" s="501">
        <v>0</v>
      </c>
      <c r="AI150" s="501">
        <v>0</v>
      </c>
      <c r="AJ150" s="501">
        <v>0</v>
      </c>
      <c r="AK150" s="501">
        <v>0</v>
      </c>
      <c r="AL150" s="501">
        <f t="shared" si="240"/>
        <v>0</v>
      </c>
      <c r="AM150" s="501">
        <f t="shared" si="241"/>
        <v>0</v>
      </c>
      <c r="AN150" s="502">
        <f t="shared" si="226"/>
        <v>0</v>
      </c>
      <c r="AO150" s="499">
        <f t="shared" si="242"/>
        <v>2798020</v>
      </c>
      <c r="AP150" s="486">
        <f t="shared" si="243"/>
        <v>2041436</v>
      </c>
      <c r="AQ150" s="486">
        <f t="shared" si="244"/>
        <v>0</v>
      </c>
      <c r="AR150" s="486">
        <f t="shared" si="245"/>
        <v>0</v>
      </c>
      <c r="AS150" s="486">
        <f t="shared" si="246"/>
        <v>690005</v>
      </c>
      <c r="AT150" s="486">
        <f t="shared" si="246"/>
        <v>40829</v>
      </c>
      <c r="AU150" s="486">
        <f t="shared" si="247"/>
        <v>25750</v>
      </c>
      <c r="AV150" s="501">
        <f t="shared" si="248"/>
        <v>6</v>
      </c>
      <c r="AW150" s="501">
        <f t="shared" si="249"/>
        <v>6</v>
      </c>
      <c r="AX150" s="502">
        <f t="shared" si="249"/>
        <v>0</v>
      </c>
    </row>
    <row r="151" spans="1:50" s="695" customFormat="1" x14ac:dyDescent="0.2">
      <c r="A151" s="720">
        <v>28</v>
      </c>
      <c r="B151" s="721">
        <v>4444</v>
      </c>
      <c r="C151" s="721">
        <v>600074731</v>
      </c>
      <c r="D151" s="721">
        <v>48282979</v>
      </c>
      <c r="E151" s="722" t="s">
        <v>203</v>
      </c>
      <c r="F151" s="721">
        <v>3141</v>
      </c>
      <c r="G151" s="531" t="s">
        <v>321</v>
      </c>
      <c r="H151" s="767" t="s">
        <v>284</v>
      </c>
      <c r="I151" s="495">
        <v>1799720</v>
      </c>
      <c r="J151" s="496">
        <v>1284925</v>
      </c>
      <c r="K151" s="475">
        <v>31000</v>
      </c>
      <c r="L151" s="475">
        <v>0</v>
      </c>
      <c r="M151" s="319">
        <v>444782</v>
      </c>
      <c r="N151" s="319">
        <v>25699</v>
      </c>
      <c r="O151" s="496">
        <v>13314</v>
      </c>
      <c r="P151" s="497">
        <v>4.3599999999999994</v>
      </c>
      <c r="Q151" s="412">
        <v>0</v>
      </c>
      <c r="R151" s="764">
        <v>4.3599999999999994</v>
      </c>
      <c r="S151" s="530">
        <f t="shared" si="234"/>
        <v>0</v>
      </c>
      <c r="T151" s="486">
        <v>0</v>
      </c>
      <c r="U151" s="486">
        <v>0</v>
      </c>
      <c r="V151" s="486">
        <f t="shared" si="235"/>
        <v>0</v>
      </c>
      <c r="W151" s="486">
        <v>0</v>
      </c>
      <c r="X151" s="486">
        <v>0</v>
      </c>
      <c r="Y151" s="486">
        <f t="shared" si="236"/>
        <v>0</v>
      </c>
      <c r="Z151" s="486">
        <f t="shared" si="237"/>
        <v>0</v>
      </c>
      <c r="AA151" s="319">
        <f t="shared" si="238"/>
        <v>0</v>
      </c>
      <c r="AB151" s="178">
        <f t="shared" si="239"/>
        <v>0</v>
      </c>
      <c r="AC151" s="486">
        <v>0</v>
      </c>
      <c r="AD151" s="486">
        <v>0</v>
      </c>
      <c r="AE151" s="486">
        <f t="shared" si="224"/>
        <v>0</v>
      </c>
      <c r="AF151" s="486">
        <f t="shared" si="225"/>
        <v>0</v>
      </c>
      <c r="AG151" s="501">
        <v>0</v>
      </c>
      <c r="AH151" s="501">
        <v>0</v>
      </c>
      <c r="AI151" s="501">
        <v>0</v>
      </c>
      <c r="AJ151" s="501">
        <v>0</v>
      </c>
      <c r="AK151" s="501">
        <v>0</v>
      </c>
      <c r="AL151" s="501">
        <f t="shared" si="240"/>
        <v>0</v>
      </c>
      <c r="AM151" s="501">
        <f t="shared" si="241"/>
        <v>0</v>
      </c>
      <c r="AN151" s="502">
        <f t="shared" si="226"/>
        <v>0</v>
      </c>
      <c r="AO151" s="499">
        <f t="shared" si="242"/>
        <v>1799720</v>
      </c>
      <c r="AP151" s="486">
        <f t="shared" si="243"/>
        <v>1284925</v>
      </c>
      <c r="AQ151" s="486">
        <f t="shared" si="244"/>
        <v>31000</v>
      </c>
      <c r="AR151" s="486">
        <f t="shared" si="245"/>
        <v>0</v>
      </c>
      <c r="AS151" s="486">
        <f t="shared" si="246"/>
        <v>444782</v>
      </c>
      <c r="AT151" s="486">
        <f t="shared" si="246"/>
        <v>25699</v>
      </c>
      <c r="AU151" s="486">
        <f t="shared" si="247"/>
        <v>13314</v>
      </c>
      <c r="AV151" s="501">
        <f t="shared" si="248"/>
        <v>4.3599999999999994</v>
      </c>
      <c r="AW151" s="501">
        <f t="shared" si="249"/>
        <v>0</v>
      </c>
      <c r="AX151" s="502">
        <f t="shared" si="249"/>
        <v>4.3599999999999994</v>
      </c>
    </row>
    <row r="152" spans="1:50" s="695" customFormat="1" x14ac:dyDescent="0.2">
      <c r="A152" s="720">
        <v>28</v>
      </c>
      <c r="B152" s="721">
        <v>4444</v>
      </c>
      <c r="C152" s="721">
        <v>600074731</v>
      </c>
      <c r="D152" s="721">
        <v>48282979</v>
      </c>
      <c r="E152" s="722" t="s">
        <v>203</v>
      </c>
      <c r="F152" s="721">
        <v>3143</v>
      </c>
      <c r="G152" s="531" t="s">
        <v>634</v>
      </c>
      <c r="H152" s="701" t="s">
        <v>283</v>
      </c>
      <c r="I152" s="495">
        <v>1336527</v>
      </c>
      <c r="J152" s="496">
        <v>972365</v>
      </c>
      <c r="K152" s="475">
        <v>12000</v>
      </c>
      <c r="L152" s="475">
        <v>0</v>
      </c>
      <c r="M152" s="319">
        <v>332715</v>
      </c>
      <c r="N152" s="319">
        <v>19447</v>
      </c>
      <c r="O152" s="496">
        <v>0</v>
      </c>
      <c r="P152" s="497">
        <v>2.2599999999999998</v>
      </c>
      <c r="Q152" s="412">
        <v>2.2599999999999998</v>
      </c>
      <c r="R152" s="764">
        <v>0</v>
      </c>
      <c r="S152" s="530">
        <f t="shared" si="234"/>
        <v>0</v>
      </c>
      <c r="T152" s="486">
        <v>0</v>
      </c>
      <c r="U152" s="486">
        <v>0</v>
      </c>
      <c r="V152" s="486">
        <f t="shared" si="235"/>
        <v>0</v>
      </c>
      <c r="W152" s="486">
        <v>0</v>
      </c>
      <c r="X152" s="486">
        <v>0</v>
      </c>
      <c r="Y152" s="486">
        <f t="shared" si="236"/>
        <v>0</v>
      </c>
      <c r="Z152" s="486">
        <f t="shared" si="237"/>
        <v>0</v>
      </c>
      <c r="AA152" s="319">
        <f t="shared" si="238"/>
        <v>0</v>
      </c>
      <c r="AB152" s="178">
        <f t="shared" si="239"/>
        <v>0</v>
      </c>
      <c r="AC152" s="486">
        <v>0</v>
      </c>
      <c r="AD152" s="486">
        <v>0</v>
      </c>
      <c r="AE152" s="486">
        <f t="shared" si="224"/>
        <v>0</v>
      </c>
      <c r="AF152" s="486">
        <f t="shared" si="225"/>
        <v>0</v>
      </c>
      <c r="AG152" s="501">
        <v>0</v>
      </c>
      <c r="AH152" s="501">
        <v>0</v>
      </c>
      <c r="AI152" s="501">
        <v>0</v>
      </c>
      <c r="AJ152" s="501">
        <v>0</v>
      </c>
      <c r="AK152" s="501">
        <v>0</v>
      </c>
      <c r="AL152" s="501">
        <f t="shared" si="240"/>
        <v>0</v>
      </c>
      <c r="AM152" s="501">
        <f t="shared" si="241"/>
        <v>0</v>
      </c>
      <c r="AN152" s="502">
        <f t="shared" si="226"/>
        <v>0</v>
      </c>
      <c r="AO152" s="499">
        <f t="shared" si="242"/>
        <v>1336527</v>
      </c>
      <c r="AP152" s="486">
        <f t="shared" si="243"/>
        <v>972365</v>
      </c>
      <c r="AQ152" s="486">
        <f t="shared" si="244"/>
        <v>12000</v>
      </c>
      <c r="AR152" s="486">
        <f t="shared" si="245"/>
        <v>0</v>
      </c>
      <c r="AS152" s="486">
        <f t="shared" si="246"/>
        <v>332715</v>
      </c>
      <c r="AT152" s="486">
        <f t="shared" si="246"/>
        <v>19447</v>
      </c>
      <c r="AU152" s="486">
        <f t="shared" si="247"/>
        <v>0</v>
      </c>
      <c r="AV152" s="501">
        <f t="shared" si="248"/>
        <v>2.2599999999999998</v>
      </c>
      <c r="AW152" s="501">
        <f t="shared" si="249"/>
        <v>2.2599999999999998</v>
      </c>
      <c r="AX152" s="502">
        <f t="shared" si="249"/>
        <v>0</v>
      </c>
    </row>
    <row r="153" spans="1:50" s="695" customFormat="1" x14ac:dyDescent="0.2">
      <c r="A153" s="720">
        <v>28</v>
      </c>
      <c r="B153" s="721">
        <v>4444</v>
      </c>
      <c r="C153" s="721">
        <v>600074731</v>
      </c>
      <c r="D153" s="721">
        <v>48282979</v>
      </c>
      <c r="E153" s="722" t="s">
        <v>203</v>
      </c>
      <c r="F153" s="721">
        <v>3143</v>
      </c>
      <c r="G153" s="531" t="s">
        <v>635</v>
      </c>
      <c r="H153" s="701" t="s">
        <v>284</v>
      </c>
      <c r="I153" s="495">
        <v>45644</v>
      </c>
      <c r="J153" s="496">
        <v>32175</v>
      </c>
      <c r="K153" s="475">
        <v>0</v>
      </c>
      <c r="L153" s="475">
        <v>0</v>
      </c>
      <c r="M153" s="319">
        <v>10875</v>
      </c>
      <c r="N153" s="319">
        <v>644</v>
      </c>
      <c r="O153" s="496">
        <v>1950</v>
      </c>
      <c r="P153" s="497">
        <v>0.14000000000000001</v>
      </c>
      <c r="Q153" s="412">
        <v>0</v>
      </c>
      <c r="R153" s="764">
        <v>0.14000000000000001</v>
      </c>
      <c r="S153" s="530">
        <f t="shared" si="234"/>
        <v>0</v>
      </c>
      <c r="T153" s="486">
        <v>0</v>
      </c>
      <c r="U153" s="486">
        <v>0</v>
      </c>
      <c r="V153" s="486">
        <f t="shared" si="235"/>
        <v>0</v>
      </c>
      <c r="W153" s="486">
        <v>0</v>
      </c>
      <c r="X153" s="486">
        <v>0</v>
      </c>
      <c r="Y153" s="486">
        <f t="shared" si="236"/>
        <v>0</v>
      </c>
      <c r="Z153" s="486">
        <f t="shared" si="237"/>
        <v>0</v>
      </c>
      <c r="AA153" s="319">
        <f t="shared" si="238"/>
        <v>0</v>
      </c>
      <c r="AB153" s="178">
        <f t="shared" si="239"/>
        <v>0</v>
      </c>
      <c r="AC153" s="486">
        <v>0</v>
      </c>
      <c r="AD153" s="486">
        <v>0</v>
      </c>
      <c r="AE153" s="486">
        <f t="shared" si="224"/>
        <v>0</v>
      </c>
      <c r="AF153" s="486">
        <f t="shared" si="225"/>
        <v>0</v>
      </c>
      <c r="AG153" s="501">
        <v>0</v>
      </c>
      <c r="AH153" s="501">
        <v>0</v>
      </c>
      <c r="AI153" s="501">
        <v>0</v>
      </c>
      <c r="AJ153" s="501">
        <v>0</v>
      </c>
      <c r="AK153" s="501">
        <v>0</v>
      </c>
      <c r="AL153" s="501">
        <f t="shared" si="240"/>
        <v>0</v>
      </c>
      <c r="AM153" s="501">
        <f t="shared" si="241"/>
        <v>0</v>
      </c>
      <c r="AN153" s="502">
        <f t="shared" si="226"/>
        <v>0</v>
      </c>
      <c r="AO153" s="499">
        <f t="shared" si="242"/>
        <v>45644</v>
      </c>
      <c r="AP153" s="486">
        <f t="shared" si="243"/>
        <v>32175</v>
      </c>
      <c r="AQ153" s="486">
        <f t="shared" si="244"/>
        <v>0</v>
      </c>
      <c r="AR153" s="486">
        <f t="shared" si="245"/>
        <v>0</v>
      </c>
      <c r="AS153" s="486">
        <f t="shared" si="246"/>
        <v>10875</v>
      </c>
      <c r="AT153" s="486">
        <f t="shared" si="246"/>
        <v>644</v>
      </c>
      <c r="AU153" s="486">
        <f t="shared" si="247"/>
        <v>1950</v>
      </c>
      <c r="AV153" s="501">
        <f t="shared" si="248"/>
        <v>0.14000000000000001</v>
      </c>
      <c r="AW153" s="501">
        <f t="shared" si="249"/>
        <v>0</v>
      </c>
      <c r="AX153" s="502">
        <f t="shared" si="249"/>
        <v>0.14000000000000001</v>
      </c>
    </row>
    <row r="154" spans="1:50" s="695" customFormat="1" x14ac:dyDescent="0.2">
      <c r="A154" s="720">
        <v>28</v>
      </c>
      <c r="B154" s="721">
        <v>4444</v>
      </c>
      <c r="C154" s="721">
        <v>600074731</v>
      </c>
      <c r="D154" s="721">
        <v>48282979</v>
      </c>
      <c r="E154" s="722" t="s">
        <v>203</v>
      </c>
      <c r="F154" s="721">
        <v>3143</v>
      </c>
      <c r="G154" s="531" t="s">
        <v>323</v>
      </c>
      <c r="H154" s="701" t="s">
        <v>284</v>
      </c>
      <c r="I154" s="495">
        <v>324344</v>
      </c>
      <c r="J154" s="496">
        <v>238530</v>
      </c>
      <c r="K154" s="475">
        <v>0</v>
      </c>
      <c r="L154" s="475">
        <v>0</v>
      </c>
      <c r="M154" s="319">
        <v>80623</v>
      </c>
      <c r="N154" s="319">
        <v>4771</v>
      </c>
      <c r="O154" s="496">
        <v>420</v>
      </c>
      <c r="P154" s="497">
        <v>0.53</v>
      </c>
      <c r="Q154" s="412">
        <v>0.5</v>
      </c>
      <c r="R154" s="764">
        <v>0.03</v>
      </c>
      <c r="S154" s="530">
        <f t="shared" si="234"/>
        <v>0</v>
      </c>
      <c r="T154" s="486">
        <v>0</v>
      </c>
      <c r="U154" s="486">
        <v>0</v>
      </c>
      <c r="V154" s="486">
        <f t="shared" si="235"/>
        <v>0</v>
      </c>
      <c r="W154" s="486">
        <v>0</v>
      </c>
      <c r="X154" s="486">
        <v>0</v>
      </c>
      <c r="Y154" s="486">
        <f t="shared" si="236"/>
        <v>0</v>
      </c>
      <c r="Z154" s="486">
        <f t="shared" si="237"/>
        <v>0</v>
      </c>
      <c r="AA154" s="319">
        <f t="shared" si="238"/>
        <v>0</v>
      </c>
      <c r="AB154" s="178">
        <f t="shared" si="239"/>
        <v>0</v>
      </c>
      <c r="AC154" s="486">
        <v>0</v>
      </c>
      <c r="AD154" s="486">
        <v>0</v>
      </c>
      <c r="AE154" s="486">
        <f t="shared" si="224"/>
        <v>0</v>
      </c>
      <c r="AF154" s="486">
        <f t="shared" si="225"/>
        <v>0</v>
      </c>
      <c r="AG154" s="501">
        <v>0</v>
      </c>
      <c r="AH154" s="501">
        <v>0</v>
      </c>
      <c r="AI154" s="501">
        <v>0</v>
      </c>
      <c r="AJ154" s="501">
        <v>0</v>
      </c>
      <c r="AK154" s="501">
        <v>0</v>
      </c>
      <c r="AL154" s="501">
        <f t="shared" si="240"/>
        <v>0</v>
      </c>
      <c r="AM154" s="501">
        <f t="shared" si="241"/>
        <v>0</v>
      </c>
      <c r="AN154" s="502">
        <f t="shared" si="226"/>
        <v>0</v>
      </c>
      <c r="AO154" s="499">
        <f t="shared" si="242"/>
        <v>324344</v>
      </c>
      <c r="AP154" s="486">
        <f t="shared" si="243"/>
        <v>238530</v>
      </c>
      <c r="AQ154" s="486">
        <f t="shared" si="244"/>
        <v>0</v>
      </c>
      <c r="AR154" s="486">
        <f t="shared" si="245"/>
        <v>0</v>
      </c>
      <c r="AS154" s="486">
        <f t="shared" si="246"/>
        <v>80623</v>
      </c>
      <c r="AT154" s="486">
        <f t="shared" si="246"/>
        <v>4771</v>
      </c>
      <c r="AU154" s="486">
        <f t="shared" si="247"/>
        <v>420</v>
      </c>
      <c r="AV154" s="501">
        <f t="shared" si="248"/>
        <v>0.53</v>
      </c>
      <c r="AW154" s="501">
        <f t="shared" si="249"/>
        <v>0.5</v>
      </c>
      <c r="AX154" s="502">
        <f t="shared" si="249"/>
        <v>0.03</v>
      </c>
    </row>
    <row r="155" spans="1:50" s="695" customFormat="1" x14ac:dyDescent="0.2">
      <c r="A155" s="282">
        <v>28</v>
      </c>
      <c r="B155" s="27">
        <v>4444</v>
      </c>
      <c r="C155" s="27">
        <v>600074731</v>
      </c>
      <c r="D155" s="27">
        <v>48282979</v>
      </c>
      <c r="E155" s="292" t="s">
        <v>204</v>
      </c>
      <c r="F155" s="27"/>
      <c r="G155" s="281"/>
      <c r="H155" s="377"/>
      <c r="I155" s="5">
        <v>19863966</v>
      </c>
      <c r="J155" s="8">
        <v>14125528</v>
      </c>
      <c r="K155" s="8">
        <v>168411</v>
      </c>
      <c r="L155" s="8">
        <v>85411</v>
      </c>
      <c r="M155" s="8">
        <v>4802481</v>
      </c>
      <c r="N155" s="8">
        <v>282512</v>
      </c>
      <c r="O155" s="8">
        <v>485034</v>
      </c>
      <c r="P155" s="9">
        <v>31.608499999999999</v>
      </c>
      <c r="Q155" s="9">
        <v>22.350899999999996</v>
      </c>
      <c r="R155" s="33">
        <v>9.2575999999999983</v>
      </c>
      <c r="S155" s="5">
        <f t="shared" ref="S155:AX155" si="250">SUM(S149:S154)</f>
        <v>0</v>
      </c>
      <c r="T155" s="8">
        <f t="shared" si="250"/>
        <v>0</v>
      </c>
      <c r="U155" s="8">
        <f t="shared" si="250"/>
        <v>0</v>
      </c>
      <c r="V155" s="8">
        <f t="shared" si="250"/>
        <v>0</v>
      </c>
      <c r="W155" s="8">
        <f t="shared" si="250"/>
        <v>0</v>
      </c>
      <c r="X155" s="8">
        <f t="shared" si="250"/>
        <v>0</v>
      </c>
      <c r="Y155" s="8">
        <f t="shared" si="250"/>
        <v>0</v>
      </c>
      <c r="Z155" s="8">
        <f t="shared" si="250"/>
        <v>0</v>
      </c>
      <c r="AA155" s="8">
        <f t="shared" si="250"/>
        <v>0</v>
      </c>
      <c r="AB155" s="8">
        <f t="shared" si="250"/>
        <v>0</v>
      </c>
      <c r="AC155" s="8">
        <f t="shared" si="250"/>
        <v>0</v>
      </c>
      <c r="AD155" s="8">
        <f t="shared" si="250"/>
        <v>0</v>
      </c>
      <c r="AE155" s="8">
        <f t="shared" si="250"/>
        <v>0</v>
      </c>
      <c r="AF155" s="8">
        <f t="shared" si="250"/>
        <v>0</v>
      </c>
      <c r="AG155" s="9">
        <f t="shared" si="250"/>
        <v>0</v>
      </c>
      <c r="AH155" s="9">
        <f t="shared" si="250"/>
        <v>0</v>
      </c>
      <c r="AI155" s="9">
        <f t="shared" si="250"/>
        <v>0</v>
      </c>
      <c r="AJ155" s="9">
        <f t="shared" si="250"/>
        <v>0</v>
      </c>
      <c r="AK155" s="9">
        <f t="shared" si="250"/>
        <v>0</v>
      </c>
      <c r="AL155" s="9">
        <f t="shared" si="250"/>
        <v>0</v>
      </c>
      <c r="AM155" s="9">
        <f t="shared" si="250"/>
        <v>0</v>
      </c>
      <c r="AN155" s="74">
        <f t="shared" si="250"/>
        <v>0</v>
      </c>
      <c r="AO155" s="270">
        <f t="shared" si="250"/>
        <v>19863966</v>
      </c>
      <c r="AP155" s="8">
        <f t="shared" si="250"/>
        <v>14125528</v>
      </c>
      <c r="AQ155" s="38">
        <f t="shared" si="250"/>
        <v>168411</v>
      </c>
      <c r="AR155" s="38">
        <f t="shared" si="250"/>
        <v>85411</v>
      </c>
      <c r="AS155" s="8">
        <f t="shared" si="250"/>
        <v>4802481</v>
      </c>
      <c r="AT155" s="8">
        <f t="shared" si="250"/>
        <v>282512</v>
      </c>
      <c r="AU155" s="8">
        <f t="shared" si="250"/>
        <v>485034</v>
      </c>
      <c r="AV155" s="9">
        <f t="shared" si="250"/>
        <v>31.608499999999999</v>
      </c>
      <c r="AW155" s="9">
        <f t="shared" si="250"/>
        <v>22.350899999999996</v>
      </c>
      <c r="AX155" s="74">
        <f t="shared" si="250"/>
        <v>9.2575999999999983</v>
      </c>
    </row>
    <row r="156" spans="1:50" s="695" customFormat="1" ht="12.75" customHeight="1" x14ac:dyDescent="0.2">
      <c r="A156" s="720">
        <v>29</v>
      </c>
      <c r="B156" s="721">
        <v>4445</v>
      </c>
      <c r="C156" s="721">
        <v>600075044</v>
      </c>
      <c r="D156" s="721">
        <v>72742631</v>
      </c>
      <c r="E156" s="722" t="s">
        <v>205</v>
      </c>
      <c r="F156" s="721">
        <v>3111</v>
      </c>
      <c r="G156" s="531" t="s">
        <v>317</v>
      </c>
      <c r="H156" s="767" t="s">
        <v>283</v>
      </c>
      <c r="I156" s="495">
        <v>2504459</v>
      </c>
      <c r="J156" s="496">
        <v>1830309</v>
      </c>
      <c r="K156" s="475">
        <v>0</v>
      </c>
      <c r="L156" s="475">
        <v>0</v>
      </c>
      <c r="M156" s="319">
        <v>618644</v>
      </c>
      <c r="N156" s="319">
        <v>36606</v>
      </c>
      <c r="O156" s="496">
        <v>18900</v>
      </c>
      <c r="P156" s="497">
        <v>4.7018000000000004</v>
      </c>
      <c r="Q156" s="412">
        <v>3.78</v>
      </c>
      <c r="R156" s="764">
        <v>0.92179999999999995</v>
      </c>
      <c r="S156" s="530">
        <f t="shared" ref="S156:S161" si="251">W156*-1</f>
        <v>0</v>
      </c>
      <c r="T156" s="486">
        <v>0</v>
      </c>
      <c r="U156" s="486">
        <v>0</v>
      </c>
      <c r="V156" s="486">
        <f t="shared" ref="V156:V161" si="252">SUM(S156:U156)</f>
        <v>0</v>
      </c>
      <c r="W156" s="486">
        <v>0</v>
      </c>
      <c r="X156" s="486">
        <v>0</v>
      </c>
      <c r="Y156" s="486">
        <f t="shared" ref="Y156:Y161" si="253">SUM(W156:X156)</f>
        <v>0</v>
      </c>
      <c r="Z156" s="486">
        <f t="shared" ref="Z156:Z161" si="254">V156+Y156</f>
        <v>0</v>
      </c>
      <c r="AA156" s="319">
        <f t="shared" ref="AA156:AA161" si="255">ROUND((V156+W156)*33.8%,0)</f>
        <v>0</v>
      </c>
      <c r="AB156" s="178">
        <f t="shared" ref="AB156:AB161" si="256">ROUND(V156*2%,0)</f>
        <v>0</v>
      </c>
      <c r="AC156" s="486">
        <v>0</v>
      </c>
      <c r="AD156" s="486">
        <v>0</v>
      </c>
      <c r="AE156" s="486">
        <f t="shared" si="224"/>
        <v>0</v>
      </c>
      <c r="AF156" s="486">
        <f t="shared" si="225"/>
        <v>0</v>
      </c>
      <c r="AG156" s="501">
        <v>0</v>
      </c>
      <c r="AH156" s="501">
        <v>0</v>
      </c>
      <c r="AI156" s="501">
        <v>0</v>
      </c>
      <c r="AJ156" s="501">
        <v>0</v>
      </c>
      <c r="AK156" s="501">
        <v>0</v>
      </c>
      <c r="AL156" s="501">
        <f t="shared" ref="AL156:AL161" si="257">AG156+AI156+AJ156</f>
        <v>0</v>
      </c>
      <c r="AM156" s="501">
        <f t="shared" ref="AM156:AM161" si="258">AH156+AK156</f>
        <v>0</v>
      </c>
      <c r="AN156" s="502">
        <f t="shared" si="226"/>
        <v>0</v>
      </c>
      <c r="AO156" s="499">
        <f t="shared" ref="AO156:AO161" si="259">I156+AF156</f>
        <v>2504459</v>
      </c>
      <c r="AP156" s="486">
        <f t="shared" ref="AP156:AP161" si="260">J156+V156</f>
        <v>1830309</v>
      </c>
      <c r="AQ156" s="486">
        <f t="shared" ref="AQ156:AQ161" si="261">K156+Y156</f>
        <v>0</v>
      </c>
      <c r="AR156" s="486">
        <f t="shared" ref="AR156:AR161" si="262">L156</f>
        <v>0</v>
      </c>
      <c r="AS156" s="486">
        <f t="shared" ref="AS156:AT161" si="263">M156+AA156</f>
        <v>618644</v>
      </c>
      <c r="AT156" s="486">
        <f t="shared" si="263"/>
        <v>36606</v>
      </c>
      <c r="AU156" s="486">
        <f t="shared" ref="AU156:AU161" si="264">O156+AE156</f>
        <v>18900</v>
      </c>
      <c r="AV156" s="501">
        <f t="shared" ref="AV156:AV161" si="265">P156+AN156</f>
        <v>4.7018000000000004</v>
      </c>
      <c r="AW156" s="501">
        <f t="shared" ref="AW156:AX161" si="266">Q156+AL156</f>
        <v>3.78</v>
      </c>
      <c r="AX156" s="502">
        <f t="shared" si="266"/>
        <v>0.92179999999999995</v>
      </c>
    </row>
    <row r="157" spans="1:50" s="695" customFormat="1" ht="12.75" customHeight="1" x14ac:dyDescent="0.2">
      <c r="A157" s="720">
        <v>29</v>
      </c>
      <c r="B157" s="721">
        <v>4445</v>
      </c>
      <c r="C157" s="721">
        <v>600075044</v>
      </c>
      <c r="D157" s="721">
        <v>72742631</v>
      </c>
      <c r="E157" s="722" t="s">
        <v>205</v>
      </c>
      <c r="F157" s="721">
        <v>3117</v>
      </c>
      <c r="G157" s="531" t="s">
        <v>320</v>
      </c>
      <c r="H157" s="767" t="s">
        <v>283</v>
      </c>
      <c r="I157" s="495">
        <v>4714953</v>
      </c>
      <c r="J157" s="496">
        <v>3359333</v>
      </c>
      <c r="K157" s="496">
        <v>14978</v>
      </c>
      <c r="L157" s="496">
        <v>14978</v>
      </c>
      <c r="M157" s="496">
        <v>1135455</v>
      </c>
      <c r="N157" s="496">
        <v>67187</v>
      </c>
      <c r="O157" s="496">
        <v>138000</v>
      </c>
      <c r="P157" s="497">
        <v>7.2482999999999995</v>
      </c>
      <c r="Q157" s="412">
        <v>4.6990999999999996</v>
      </c>
      <c r="R157" s="764">
        <v>2.5491999999999999</v>
      </c>
      <c r="S157" s="530">
        <f t="shared" si="251"/>
        <v>0</v>
      </c>
      <c r="T157" s="486">
        <v>0</v>
      </c>
      <c r="U157" s="486">
        <v>0</v>
      </c>
      <c r="V157" s="486">
        <f t="shared" si="252"/>
        <v>0</v>
      </c>
      <c r="W157" s="486">
        <v>0</v>
      </c>
      <c r="X157" s="486">
        <v>0</v>
      </c>
      <c r="Y157" s="486">
        <f t="shared" si="253"/>
        <v>0</v>
      </c>
      <c r="Z157" s="486">
        <f t="shared" si="254"/>
        <v>0</v>
      </c>
      <c r="AA157" s="319">
        <f t="shared" si="255"/>
        <v>0</v>
      </c>
      <c r="AB157" s="178">
        <f t="shared" si="256"/>
        <v>0</v>
      </c>
      <c r="AC157" s="486">
        <v>0</v>
      </c>
      <c r="AD157" s="486">
        <v>0</v>
      </c>
      <c r="AE157" s="486">
        <f t="shared" si="224"/>
        <v>0</v>
      </c>
      <c r="AF157" s="486">
        <f t="shared" si="225"/>
        <v>0</v>
      </c>
      <c r="AG157" s="501">
        <v>0</v>
      </c>
      <c r="AH157" s="501">
        <v>0</v>
      </c>
      <c r="AI157" s="501">
        <v>0</v>
      </c>
      <c r="AJ157" s="501">
        <v>0</v>
      </c>
      <c r="AK157" s="501">
        <v>0</v>
      </c>
      <c r="AL157" s="501">
        <f t="shared" si="257"/>
        <v>0</v>
      </c>
      <c r="AM157" s="501">
        <f t="shared" si="258"/>
        <v>0</v>
      </c>
      <c r="AN157" s="502">
        <f t="shared" si="226"/>
        <v>0</v>
      </c>
      <c r="AO157" s="499">
        <f t="shared" si="259"/>
        <v>4714953</v>
      </c>
      <c r="AP157" s="486">
        <f t="shared" si="260"/>
        <v>3359333</v>
      </c>
      <c r="AQ157" s="486">
        <f t="shared" si="261"/>
        <v>14978</v>
      </c>
      <c r="AR157" s="486">
        <f t="shared" si="262"/>
        <v>14978</v>
      </c>
      <c r="AS157" s="486">
        <f t="shared" si="263"/>
        <v>1135455</v>
      </c>
      <c r="AT157" s="486">
        <f t="shared" si="263"/>
        <v>67187</v>
      </c>
      <c r="AU157" s="486">
        <f t="shared" si="264"/>
        <v>138000</v>
      </c>
      <c r="AV157" s="501">
        <f t="shared" si="265"/>
        <v>7.2482999999999995</v>
      </c>
      <c r="AW157" s="501">
        <f t="shared" si="266"/>
        <v>4.6990999999999996</v>
      </c>
      <c r="AX157" s="502">
        <f t="shared" si="266"/>
        <v>2.5491999999999999</v>
      </c>
    </row>
    <row r="158" spans="1:50" s="695" customFormat="1" ht="12.75" customHeight="1" x14ac:dyDescent="0.2">
      <c r="A158" s="720">
        <v>29</v>
      </c>
      <c r="B158" s="721">
        <v>4445</v>
      </c>
      <c r="C158" s="721">
        <v>600075044</v>
      </c>
      <c r="D158" s="721">
        <v>72742631</v>
      </c>
      <c r="E158" s="722" t="s">
        <v>205</v>
      </c>
      <c r="F158" s="721">
        <v>3117</v>
      </c>
      <c r="G158" s="531" t="s">
        <v>318</v>
      </c>
      <c r="H158" s="767" t="s">
        <v>284</v>
      </c>
      <c r="I158" s="495">
        <v>1305334</v>
      </c>
      <c r="J158" s="496">
        <v>949068</v>
      </c>
      <c r="K158" s="475">
        <v>0</v>
      </c>
      <c r="L158" s="475">
        <v>0</v>
      </c>
      <c r="M158" s="319">
        <v>320785</v>
      </c>
      <c r="N158" s="319">
        <v>18981</v>
      </c>
      <c r="O158" s="496">
        <v>16500</v>
      </c>
      <c r="P158" s="497">
        <v>2.78</v>
      </c>
      <c r="Q158" s="412">
        <v>2.78</v>
      </c>
      <c r="R158" s="764">
        <v>0</v>
      </c>
      <c r="S158" s="530">
        <f t="shared" si="251"/>
        <v>0</v>
      </c>
      <c r="T158" s="486">
        <v>0</v>
      </c>
      <c r="U158" s="486">
        <v>0</v>
      </c>
      <c r="V158" s="486">
        <f t="shared" si="252"/>
        <v>0</v>
      </c>
      <c r="W158" s="486">
        <v>0</v>
      </c>
      <c r="X158" s="486">
        <v>0</v>
      </c>
      <c r="Y158" s="486">
        <f t="shared" si="253"/>
        <v>0</v>
      </c>
      <c r="Z158" s="486">
        <f t="shared" si="254"/>
        <v>0</v>
      </c>
      <c r="AA158" s="319">
        <f t="shared" si="255"/>
        <v>0</v>
      </c>
      <c r="AB158" s="178">
        <f t="shared" si="256"/>
        <v>0</v>
      </c>
      <c r="AC158" s="486">
        <v>0</v>
      </c>
      <c r="AD158" s="486">
        <v>0</v>
      </c>
      <c r="AE158" s="486">
        <f t="shared" si="224"/>
        <v>0</v>
      </c>
      <c r="AF158" s="486">
        <f t="shared" si="225"/>
        <v>0</v>
      </c>
      <c r="AG158" s="501">
        <v>0</v>
      </c>
      <c r="AH158" s="501">
        <v>0</v>
      </c>
      <c r="AI158" s="501">
        <v>0</v>
      </c>
      <c r="AJ158" s="501">
        <v>0</v>
      </c>
      <c r="AK158" s="501">
        <v>0</v>
      </c>
      <c r="AL158" s="501">
        <f t="shared" si="257"/>
        <v>0</v>
      </c>
      <c r="AM158" s="501">
        <f t="shared" si="258"/>
        <v>0</v>
      </c>
      <c r="AN158" s="502">
        <f t="shared" si="226"/>
        <v>0</v>
      </c>
      <c r="AO158" s="499">
        <f t="shared" si="259"/>
        <v>1305334</v>
      </c>
      <c r="AP158" s="486">
        <f t="shared" si="260"/>
        <v>949068</v>
      </c>
      <c r="AQ158" s="486">
        <f t="shared" si="261"/>
        <v>0</v>
      </c>
      <c r="AR158" s="486">
        <f t="shared" si="262"/>
        <v>0</v>
      </c>
      <c r="AS158" s="486">
        <f t="shared" si="263"/>
        <v>320785</v>
      </c>
      <c r="AT158" s="486">
        <f t="shared" si="263"/>
        <v>18981</v>
      </c>
      <c r="AU158" s="486">
        <f t="shared" si="264"/>
        <v>16500</v>
      </c>
      <c r="AV158" s="501">
        <f t="shared" si="265"/>
        <v>2.78</v>
      </c>
      <c r="AW158" s="501">
        <f t="shared" si="266"/>
        <v>2.78</v>
      </c>
      <c r="AX158" s="502">
        <f t="shared" si="266"/>
        <v>0</v>
      </c>
    </row>
    <row r="159" spans="1:50" s="695" customFormat="1" ht="12.75" customHeight="1" x14ac:dyDescent="0.2">
      <c r="A159" s="720">
        <v>29</v>
      </c>
      <c r="B159" s="721">
        <v>4445</v>
      </c>
      <c r="C159" s="721">
        <v>600075044</v>
      </c>
      <c r="D159" s="721">
        <v>72742631</v>
      </c>
      <c r="E159" s="722" t="s">
        <v>205</v>
      </c>
      <c r="F159" s="721">
        <v>3141</v>
      </c>
      <c r="G159" s="531" t="s">
        <v>321</v>
      </c>
      <c r="H159" s="767" t="s">
        <v>284</v>
      </c>
      <c r="I159" s="495">
        <v>862282</v>
      </c>
      <c r="J159" s="496">
        <v>631804</v>
      </c>
      <c r="K159" s="475">
        <v>0</v>
      </c>
      <c r="L159" s="475">
        <v>0</v>
      </c>
      <c r="M159" s="319">
        <v>213550</v>
      </c>
      <c r="N159" s="319">
        <v>12636</v>
      </c>
      <c r="O159" s="496">
        <v>4292</v>
      </c>
      <c r="P159" s="497">
        <v>2.15</v>
      </c>
      <c r="Q159" s="412">
        <v>0</v>
      </c>
      <c r="R159" s="764">
        <v>2.15</v>
      </c>
      <c r="S159" s="530">
        <f t="shared" si="251"/>
        <v>0</v>
      </c>
      <c r="T159" s="486">
        <v>0</v>
      </c>
      <c r="U159" s="486">
        <v>0</v>
      </c>
      <c r="V159" s="486">
        <f t="shared" si="252"/>
        <v>0</v>
      </c>
      <c r="W159" s="486">
        <v>0</v>
      </c>
      <c r="X159" s="486">
        <v>0</v>
      </c>
      <c r="Y159" s="486">
        <f t="shared" si="253"/>
        <v>0</v>
      </c>
      <c r="Z159" s="486">
        <f t="shared" si="254"/>
        <v>0</v>
      </c>
      <c r="AA159" s="319">
        <f t="shared" si="255"/>
        <v>0</v>
      </c>
      <c r="AB159" s="178">
        <f t="shared" si="256"/>
        <v>0</v>
      </c>
      <c r="AC159" s="486">
        <v>0</v>
      </c>
      <c r="AD159" s="486">
        <v>0</v>
      </c>
      <c r="AE159" s="486">
        <f t="shared" si="224"/>
        <v>0</v>
      </c>
      <c r="AF159" s="486">
        <f t="shared" si="225"/>
        <v>0</v>
      </c>
      <c r="AG159" s="501">
        <v>0</v>
      </c>
      <c r="AH159" s="501">
        <v>0</v>
      </c>
      <c r="AI159" s="501">
        <v>0</v>
      </c>
      <c r="AJ159" s="501">
        <v>0</v>
      </c>
      <c r="AK159" s="501">
        <v>0</v>
      </c>
      <c r="AL159" s="501">
        <f t="shared" si="257"/>
        <v>0</v>
      </c>
      <c r="AM159" s="501">
        <f t="shared" si="258"/>
        <v>0</v>
      </c>
      <c r="AN159" s="502">
        <f t="shared" si="226"/>
        <v>0</v>
      </c>
      <c r="AO159" s="499">
        <f t="shared" si="259"/>
        <v>862282</v>
      </c>
      <c r="AP159" s="486">
        <f t="shared" si="260"/>
        <v>631804</v>
      </c>
      <c r="AQ159" s="486">
        <f t="shared" si="261"/>
        <v>0</v>
      </c>
      <c r="AR159" s="486">
        <f t="shared" si="262"/>
        <v>0</v>
      </c>
      <c r="AS159" s="486">
        <f t="shared" si="263"/>
        <v>213550</v>
      </c>
      <c r="AT159" s="486">
        <f t="shared" si="263"/>
        <v>12636</v>
      </c>
      <c r="AU159" s="486">
        <f t="shared" si="264"/>
        <v>4292</v>
      </c>
      <c r="AV159" s="501">
        <f t="shared" si="265"/>
        <v>2.15</v>
      </c>
      <c r="AW159" s="501">
        <f t="shared" si="266"/>
        <v>0</v>
      </c>
      <c r="AX159" s="502">
        <f t="shared" si="266"/>
        <v>2.15</v>
      </c>
    </row>
    <row r="160" spans="1:50" s="695" customFormat="1" ht="12.75" customHeight="1" x14ac:dyDescent="0.2">
      <c r="A160" s="720">
        <v>29</v>
      </c>
      <c r="B160" s="721">
        <v>4445</v>
      </c>
      <c r="C160" s="721">
        <v>600075044</v>
      </c>
      <c r="D160" s="721">
        <v>72742631</v>
      </c>
      <c r="E160" s="712" t="s">
        <v>205</v>
      </c>
      <c r="F160" s="721">
        <v>3143</v>
      </c>
      <c r="G160" s="531" t="s">
        <v>634</v>
      </c>
      <c r="H160" s="701" t="s">
        <v>283</v>
      </c>
      <c r="I160" s="495">
        <v>539458</v>
      </c>
      <c r="J160" s="496">
        <v>397244</v>
      </c>
      <c r="K160" s="475">
        <v>0</v>
      </c>
      <c r="L160" s="475">
        <v>0</v>
      </c>
      <c r="M160" s="319">
        <v>134269</v>
      </c>
      <c r="N160" s="319">
        <v>7945</v>
      </c>
      <c r="O160" s="496">
        <v>0</v>
      </c>
      <c r="P160" s="497">
        <v>1.0586</v>
      </c>
      <c r="Q160" s="412">
        <v>1.0586</v>
      </c>
      <c r="R160" s="764">
        <v>0</v>
      </c>
      <c r="S160" s="530">
        <f t="shared" si="251"/>
        <v>0</v>
      </c>
      <c r="T160" s="486">
        <v>0</v>
      </c>
      <c r="U160" s="486">
        <v>0</v>
      </c>
      <c r="V160" s="486">
        <f t="shared" si="252"/>
        <v>0</v>
      </c>
      <c r="W160" s="486">
        <v>0</v>
      </c>
      <c r="X160" s="486">
        <v>0</v>
      </c>
      <c r="Y160" s="486">
        <f t="shared" si="253"/>
        <v>0</v>
      </c>
      <c r="Z160" s="486">
        <f t="shared" si="254"/>
        <v>0</v>
      </c>
      <c r="AA160" s="319">
        <f t="shared" si="255"/>
        <v>0</v>
      </c>
      <c r="AB160" s="178">
        <f t="shared" si="256"/>
        <v>0</v>
      </c>
      <c r="AC160" s="486">
        <v>0</v>
      </c>
      <c r="AD160" s="486">
        <v>0</v>
      </c>
      <c r="AE160" s="486">
        <f t="shared" si="224"/>
        <v>0</v>
      </c>
      <c r="AF160" s="486">
        <f t="shared" si="225"/>
        <v>0</v>
      </c>
      <c r="AG160" s="501">
        <v>0</v>
      </c>
      <c r="AH160" s="501">
        <v>0</v>
      </c>
      <c r="AI160" s="501">
        <v>0</v>
      </c>
      <c r="AJ160" s="501">
        <v>0</v>
      </c>
      <c r="AK160" s="501">
        <v>0</v>
      </c>
      <c r="AL160" s="501">
        <f t="shared" si="257"/>
        <v>0</v>
      </c>
      <c r="AM160" s="501">
        <f t="shared" si="258"/>
        <v>0</v>
      </c>
      <c r="AN160" s="502">
        <f t="shared" si="226"/>
        <v>0</v>
      </c>
      <c r="AO160" s="499">
        <f t="shared" si="259"/>
        <v>539458</v>
      </c>
      <c r="AP160" s="486">
        <f t="shared" si="260"/>
        <v>397244</v>
      </c>
      <c r="AQ160" s="486">
        <f t="shared" si="261"/>
        <v>0</v>
      </c>
      <c r="AR160" s="486">
        <f t="shared" si="262"/>
        <v>0</v>
      </c>
      <c r="AS160" s="486">
        <f t="shared" si="263"/>
        <v>134269</v>
      </c>
      <c r="AT160" s="486">
        <f t="shared" si="263"/>
        <v>7945</v>
      </c>
      <c r="AU160" s="486">
        <f t="shared" si="264"/>
        <v>0</v>
      </c>
      <c r="AV160" s="501">
        <f t="shared" si="265"/>
        <v>1.0586</v>
      </c>
      <c r="AW160" s="501">
        <f t="shared" si="266"/>
        <v>1.0586</v>
      </c>
      <c r="AX160" s="502">
        <f t="shared" si="266"/>
        <v>0</v>
      </c>
    </row>
    <row r="161" spans="1:50" s="695" customFormat="1" ht="12.75" customHeight="1" x14ac:dyDescent="0.2">
      <c r="A161" s="720">
        <v>29</v>
      </c>
      <c r="B161" s="721">
        <v>4445</v>
      </c>
      <c r="C161" s="721">
        <v>600075044</v>
      </c>
      <c r="D161" s="721">
        <v>72742631</v>
      </c>
      <c r="E161" s="712" t="s">
        <v>205</v>
      </c>
      <c r="F161" s="721">
        <v>3143</v>
      </c>
      <c r="G161" s="531" t="s">
        <v>635</v>
      </c>
      <c r="H161" s="701" t="s">
        <v>284</v>
      </c>
      <c r="I161" s="495">
        <v>31600</v>
      </c>
      <c r="J161" s="496">
        <v>22275</v>
      </c>
      <c r="K161" s="475">
        <v>0</v>
      </c>
      <c r="L161" s="475">
        <v>0</v>
      </c>
      <c r="M161" s="319">
        <v>7529</v>
      </c>
      <c r="N161" s="319">
        <v>446</v>
      </c>
      <c r="O161" s="496">
        <v>1350</v>
      </c>
      <c r="P161" s="497">
        <v>0.09</v>
      </c>
      <c r="Q161" s="412">
        <v>0</v>
      </c>
      <c r="R161" s="764">
        <v>0.09</v>
      </c>
      <c r="S161" s="530">
        <f t="shared" si="251"/>
        <v>0</v>
      </c>
      <c r="T161" s="486">
        <v>0</v>
      </c>
      <c r="U161" s="486">
        <v>0</v>
      </c>
      <c r="V161" s="486">
        <f t="shared" si="252"/>
        <v>0</v>
      </c>
      <c r="W161" s="486">
        <v>0</v>
      </c>
      <c r="X161" s="486">
        <v>0</v>
      </c>
      <c r="Y161" s="486">
        <f t="shared" si="253"/>
        <v>0</v>
      </c>
      <c r="Z161" s="486">
        <f t="shared" si="254"/>
        <v>0</v>
      </c>
      <c r="AA161" s="319">
        <f t="shared" si="255"/>
        <v>0</v>
      </c>
      <c r="AB161" s="178">
        <f t="shared" si="256"/>
        <v>0</v>
      </c>
      <c r="AC161" s="486">
        <v>0</v>
      </c>
      <c r="AD161" s="486">
        <v>0</v>
      </c>
      <c r="AE161" s="486">
        <f t="shared" si="224"/>
        <v>0</v>
      </c>
      <c r="AF161" s="486">
        <f t="shared" si="225"/>
        <v>0</v>
      </c>
      <c r="AG161" s="501">
        <v>0</v>
      </c>
      <c r="AH161" s="501">
        <v>0</v>
      </c>
      <c r="AI161" s="501">
        <v>0</v>
      </c>
      <c r="AJ161" s="501">
        <v>0</v>
      </c>
      <c r="AK161" s="501">
        <v>0</v>
      </c>
      <c r="AL161" s="501">
        <f t="shared" si="257"/>
        <v>0</v>
      </c>
      <c r="AM161" s="501">
        <f t="shared" si="258"/>
        <v>0</v>
      </c>
      <c r="AN161" s="502">
        <f t="shared" si="226"/>
        <v>0</v>
      </c>
      <c r="AO161" s="499">
        <f t="shared" si="259"/>
        <v>31600</v>
      </c>
      <c r="AP161" s="486">
        <f t="shared" si="260"/>
        <v>22275</v>
      </c>
      <c r="AQ161" s="486">
        <f t="shared" si="261"/>
        <v>0</v>
      </c>
      <c r="AR161" s="486">
        <f t="shared" si="262"/>
        <v>0</v>
      </c>
      <c r="AS161" s="486">
        <f t="shared" si="263"/>
        <v>7529</v>
      </c>
      <c r="AT161" s="486">
        <f t="shared" si="263"/>
        <v>446</v>
      </c>
      <c r="AU161" s="486">
        <f t="shared" si="264"/>
        <v>1350</v>
      </c>
      <c r="AV161" s="501">
        <f t="shared" si="265"/>
        <v>0.09</v>
      </c>
      <c r="AW161" s="501">
        <f t="shared" si="266"/>
        <v>0</v>
      </c>
      <c r="AX161" s="502">
        <f t="shared" si="266"/>
        <v>0.09</v>
      </c>
    </row>
    <row r="162" spans="1:50" s="695" customFormat="1" ht="12.75" customHeight="1" x14ac:dyDescent="0.2">
      <c r="A162" s="282">
        <v>29</v>
      </c>
      <c r="B162" s="27">
        <v>4445</v>
      </c>
      <c r="C162" s="27">
        <v>600075044</v>
      </c>
      <c r="D162" s="27">
        <v>72742631</v>
      </c>
      <c r="E162" s="292" t="s">
        <v>206</v>
      </c>
      <c r="F162" s="27"/>
      <c r="G162" s="281"/>
      <c r="H162" s="377"/>
      <c r="I162" s="5">
        <v>9958086</v>
      </c>
      <c r="J162" s="8">
        <v>7190033</v>
      </c>
      <c r="K162" s="8">
        <v>14978</v>
      </c>
      <c r="L162" s="8">
        <v>14978</v>
      </c>
      <c r="M162" s="8">
        <v>2430232</v>
      </c>
      <c r="N162" s="8">
        <v>143801</v>
      </c>
      <c r="O162" s="8">
        <v>179042</v>
      </c>
      <c r="P162" s="9">
        <v>18.028699999999997</v>
      </c>
      <c r="Q162" s="9">
        <v>12.317699999999999</v>
      </c>
      <c r="R162" s="33">
        <v>5.7110000000000003</v>
      </c>
      <c r="S162" s="5">
        <f t="shared" ref="S162:AX162" si="267">SUM(S156:S161)</f>
        <v>0</v>
      </c>
      <c r="T162" s="8">
        <f t="shared" si="267"/>
        <v>0</v>
      </c>
      <c r="U162" s="8">
        <f t="shared" si="267"/>
        <v>0</v>
      </c>
      <c r="V162" s="8">
        <f t="shared" si="267"/>
        <v>0</v>
      </c>
      <c r="W162" s="8">
        <f t="shared" si="267"/>
        <v>0</v>
      </c>
      <c r="X162" s="8">
        <f t="shared" si="267"/>
        <v>0</v>
      </c>
      <c r="Y162" s="8">
        <f t="shared" si="267"/>
        <v>0</v>
      </c>
      <c r="Z162" s="8">
        <f t="shared" si="267"/>
        <v>0</v>
      </c>
      <c r="AA162" s="8">
        <f t="shared" si="267"/>
        <v>0</v>
      </c>
      <c r="AB162" s="8">
        <f t="shared" si="267"/>
        <v>0</v>
      </c>
      <c r="AC162" s="8">
        <f t="shared" si="267"/>
        <v>0</v>
      </c>
      <c r="AD162" s="8">
        <f t="shared" si="267"/>
        <v>0</v>
      </c>
      <c r="AE162" s="8">
        <f t="shared" si="267"/>
        <v>0</v>
      </c>
      <c r="AF162" s="8">
        <f t="shared" si="267"/>
        <v>0</v>
      </c>
      <c r="AG162" s="9">
        <f t="shared" si="267"/>
        <v>0</v>
      </c>
      <c r="AH162" s="9">
        <f t="shared" si="267"/>
        <v>0</v>
      </c>
      <c r="AI162" s="9">
        <f t="shared" si="267"/>
        <v>0</v>
      </c>
      <c r="AJ162" s="9">
        <f t="shared" si="267"/>
        <v>0</v>
      </c>
      <c r="AK162" s="9">
        <f t="shared" si="267"/>
        <v>0</v>
      </c>
      <c r="AL162" s="9">
        <f t="shared" si="267"/>
        <v>0</v>
      </c>
      <c r="AM162" s="9">
        <f t="shared" si="267"/>
        <v>0</v>
      </c>
      <c r="AN162" s="74">
        <f t="shared" si="267"/>
        <v>0</v>
      </c>
      <c r="AO162" s="270">
        <f t="shared" si="267"/>
        <v>9958086</v>
      </c>
      <c r="AP162" s="8">
        <f t="shared" si="267"/>
        <v>7190033</v>
      </c>
      <c r="AQ162" s="38">
        <f t="shared" si="267"/>
        <v>14978</v>
      </c>
      <c r="AR162" s="38">
        <f t="shared" si="267"/>
        <v>14978</v>
      </c>
      <c r="AS162" s="8">
        <f t="shared" si="267"/>
        <v>2430232</v>
      </c>
      <c r="AT162" s="8">
        <f t="shared" si="267"/>
        <v>143801</v>
      </c>
      <c r="AU162" s="8">
        <f t="shared" si="267"/>
        <v>179042</v>
      </c>
      <c r="AV162" s="9">
        <f t="shared" si="267"/>
        <v>18.028699999999997</v>
      </c>
      <c r="AW162" s="9">
        <f t="shared" si="267"/>
        <v>12.317699999999999</v>
      </c>
      <c r="AX162" s="74">
        <f t="shared" si="267"/>
        <v>5.7110000000000003</v>
      </c>
    </row>
    <row r="163" spans="1:50" s="695" customFormat="1" ht="12.75" customHeight="1" x14ac:dyDescent="0.2">
      <c r="A163" s="720">
        <v>30</v>
      </c>
      <c r="B163" s="721">
        <v>4446</v>
      </c>
      <c r="C163" s="721">
        <v>600074587</v>
      </c>
      <c r="D163" s="721">
        <v>70695504</v>
      </c>
      <c r="E163" s="722" t="s">
        <v>207</v>
      </c>
      <c r="F163" s="721">
        <v>3111</v>
      </c>
      <c r="G163" s="531" t="s">
        <v>317</v>
      </c>
      <c r="H163" s="767" t="s">
        <v>283</v>
      </c>
      <c r="I163" s="495">
        <v>1692594</v>
      </c>
      <c r="J163" s="496">
        <v>1235563</v>
      </c>
      <c r="K163" s="475">
        <v>0</v>
      </c>
      <c r="L163" s="475">
        <v>0</v>
      </c>
      <c r="M163" s="319">
        <v>417620</v>
      </c>
      <c r="N163" s="319">
        <v>24711</v>
      </c>
      <c r="O163" s="496">
        <v>14700</v>
      </c>
      <c r="P163" s="497">
        <v>3.2256999999999998</v>
      </c>
      <c r="Q163" s="412">
        <v>2.4514</v>
      </c>
      <c r="R163" s="764">
        <v>0.77429999999999999</v>
      </c>
      <c r="S163" s="530">
        <f t="shared" ref="S163:S168" si="268">W163*-1</f>
        <v>0</v>
      </c>
      <c r="T163" s="486">
        <v>0</v>
      </c>
      <c r="U163" s="486">
        <v>0</v>
      </c>
      <c r="V163" s="486">
        <f t="shared" ref="V163:V168" si="269">SUM(S163:U163)</f>
        <v>0</v>
      </c>
      <c r="W163" s="486">
        <v>0</v>
      </c>
      <c r="X163" s="486">
        <v>0</v>
      </c>
      <c r="Y163" s="486">
        <f t="shared" ref="Y163:Y168" si="270">SUM(W163:X163)</f>
        <v>0</v>
      </c>
      <c r="Z163" s="486">
        <f t="shared" ref="Z163:Z168" si="271">V163+Y163</f>
        <v>0</v>
      </c>
      <c r="AA163" s="319">
        <f t="shared" ref="AA163:AA168" si="272">ROUND((V163+W163)*33.8%,0)</f>
        <v>0</v>
      </c>
      <c r="AB163" s="178">
        <f t="shared" ref="AB163:AB168" si="273">ROUND(V163*2%,0)</f>
        <v>0</v>
      </c>
      <c r="AC163" s="486">
        <v>0</v>
      </c>
      <c r="AD163" s="486">
        <v>0</v>
      </c>
      <c r="AE163" s="486">
        <f t="shared" si="224"/>
        <v>0</v>
      </c>
      <c r="AF163" s="486">
        <f t="shared" si="225"/>
        <v>0</v>
      </c>
      <c r="AG163" s="501">
        <v>0</v>
      </c>
      <c r="AH163" s="501">
        <v>0</v>
      </c>
      <c r="AI163" s="501">
        <v>0</v>
      </c>
      <c r="AJ163" s="501">
        <v>0</v>
      </c>
      <c r="AK163" s="501">
        <v>0</v>
      </c>
      <c r="AL163" s="501">
        <f t="shared" ref="AL163:AL168" si="274">AG163+AI163+AJ163</f>
        <v>0</v>
      </c>
      <c r="AM163" s="501">
        <f t="shared" ref="AM163:AM168" si="275">AH163+AK163</f>
        <v>0</v>
      </c>
      <c r="AN163" s="502">
        <f t="shared" si="226"/>
        <v>0</v>
      </c>
      <c r="AO163" s="499">
        <f t="shared" ref="AO163:AO168" si="276">I163+AF163</f>
        <v>1692594</v>
      </c>
      <c r="AP163" s="486">
        <f t="shared" ref="AP163:AP168" si="277">J163+V163</f>
        <v>1235563</v>
      </c>
      <c r="AQ163" s="486">
        <f t="shared" ref="AQ163:AQ168" si="278">K163+Y163</f>
        <v>0</v>
      </c>
      <c r="AR163" s="486">
        <f t="shared" ref="AR163:AR168" si="279">L163</f>
        <v>0</v>
      </c>
      <c r="AS163" s="486">
        <f t="shared" ref="AS163:AT168" si="280">M163+AA163</f>
        <v>417620</v>
      </c>
      <c r="AT163" s="486">
        <f t="shared" si="280"/>
        <v>24711</v>
      </c>
      <c r="AU163" s="486">
        <f t="shared" ref="AU163:AU168" si="281">O163+AE163</f>
        <v>14700</v>
      </c>
      <c r="AV163" s="501">
        <f t="shared" ref="AV163:AV168" si="282">P163+AN163</f>
        <v>3.2256999999999998</v>
      </c>
      <c r="AW163" s="501">
        <f t="shared" ref="AW163:AX168" si="283">Q163+AL163</f>
        <v>2.4514</v>
      </c>
      <c r="AX163" s="502">
        <f t="shared" si="283"/>
        <v>0.77429999999999999</v>
      </c>
    </row>
    <row r="164" spans="1:50" s="695" customFormat="1" ht="12.75" customHeight="1" x14ac:dyDescent="0.2">
      <c r="A164" s="720">
        <v>30</v>
      </c>
      <c r="B164" s="721">
        <v>4446</v>
      </c>
      <c r="C164" s="721">
        <v>600074587</v>
      </c>
      <c r="D164" s="721">
        <v>70695504</v>
      </c>
      <c r="E164" s="722" t="s">
        <v>207</v>
      </c>
      <c r="F164" s="721">
        <v>3117</v>
      </c>
      <c r="G164" s="531" t="s">
        <v>320</v>
      </c>
      <c r="H164" s="767" t="s">
        <v>283</v>
      </c>
      <c r="I164" s="495">
        <v>2816770</v>
      </c>
      <c r="J164" s="496">
        <v>2013933</v>
      </c>
      <c r="K164" s="496">
        <v>3848</v>
      </c>
      <c r="L164" s="496">
        <v>3848</v>
      </c>
      <c r="M164" s="496">
        <v>680710</v>
      </c>
      <c r="N164" s="496">
        <v>40279</v>
      </c>
      <c r="O164" s="496">
        <v>78000</v>
      </c>
      <c r="P164" s="497">
        <v>4.2870000000000008</v>
      </c>
      <c r="Q164" s="412">
        <v>2.8635000000000002</v>
      </c>
      <c r="R164" s="764">
        <v>1.4235000000000007</v>
      </c>
      <c r="S164" s="530">
        <f t="shared" si="268"/>
        <v>0</v>
      </c>
      <c r="T164" s="486">
        <v>0</v>
      </c>
      <c r="U164" s="486">
        <v>-14728</v>
      </c>
      <c r="V164" s="486">
        <f t="shared" si="269"/>
        <v>-14728</v>
      </c>
      <c r="W164" s="486">
        <v>0</v>
      </c>
      <c r="X164" s="486">
        <v>0</v>
      </c>
      <c r="Y164" s="486">
        <f t="shared" si="270"/>
        <v>0</v>
      </c>
      <c r="Z164" s="486">
        <f t="shared" si="271"/>
        <v>-14728</v>
      </c>
      <c r="AA164" s="319">
        <f t="shared" si="272"/>
        <v>-4978</v>
      </c>
      <c r="AB164" s="178">
        <f t="shared" si="273"/>
        <v>-295</v>
      </c>
      <c r="AC164" s="486">
        <v>0</v>
      </c>
      <c r="AD164" s="486">
        <v>20001</v>
      </c>
      <c r="AE164" s="486">
        <f t="shared" si="224"/>
        <v>20001</v>
      </c>
      <c r="AF164" s="486">
        <f t="shared" si="225"/>
        <v>0</v>
      </c>
      <c r="AG164" s="501">
        <v>0</v>
      </c>
      <c r="AH164" s="501">
        <v>0</v>
      </c>
      <c r="AI164" s="501">
        <v>0</v>
      </c>
      <c r="AJ164" s="501">
        <v>0</v>
      </c>
      <c r="AK164" s="501">
        <v>0</v>
      </c>
      <c r="AL164" s="501">
        <f t="shared" si="274"/>
        <v>0</v>
      </c>
      <c r="AM164" s="501">
        <f t="shared" si="275"/>
        <v>0</v>
      </c>
      <c r="AN164" s="502">
        <f t="shared" si="226"/>
        <v>0</v>
      </c>
      <c r="AO164" s="499">
        <f t="shared" si="276"/>
        <v>2816770</v>
      </c>
      <c r="AP164" s="486">
        <f t="shared" si="277"/>
        <v>1999205</v>
      </c>
      <c r="AQ164" s="486">
        <f t="shared" si="278"/>
        <v>3848</v>
      </c>
      <c r="AR164" s="486">
        <f t="shared" si="279"/>
        <v>3848</v>
      </c>
      <c r="AS164" s="486">
        <f t="shared" si="280"/>
        <v>675732</v>
      </c>
      <c r="AT164" s="486">
        <f t="shared" si="280"/>
        <v>39984</v>
      </c>
      <c r="AU164" s="486">
        <f t="shared" si="281"/>
        <v>98001</v>
      </c>
      <c r="AV164" s="501">
        <f t="shared" si="282"/>
        <v>4.2870000000000008</v>
      </c>
      <c r="AW164" s="501">
        <f t="shared" si="283"/>
        <v>2.8635000000000002</v>
      </c>
      <c r="AX164" s="502">
        <f t="shared" si="283"/>
        <v>1.4235000000000007</v>
      </c>
    </row>
    <row r="165" spans="1:50" s="695" customFormat="1" ht="12.75" customHeight="1" x14ac:dyDescent="0.2">
      <c r="A165" s="720">
        <v>30</v>
      </c>
      <c r="B165" s="721">
        <v>4446</v>
      </c>
      <c r="C165" s="721">
        <v>600074587</v>
      </c>
      <c r="D165" s="721">
        <v>70695504</v>
      </c>
      <c r="E165" s="722" t="s">
        <v>207</v>
      </c>
      <c r="F165" s="721">
        <v>3117</v>
      </c>
      <c r="G165" s="531" t="s">
        <v>318</v>
      </c>
      <c r="H165" s="767" t="s">
        <v>284</v>
      </c>
      <c r="I165" s="495">
        <v>389450</v>
      </c>
      <c r="J165" s="496">
        <v>286782</v>
      </c>
      <c r="K165" s="475">
        <v>0</v>
      </c>
      <c r="L165" s="475">
        <v>0</v>
      </c>
      <c r="M165" s="319">
        <v>96932</v>
      </c>
      <c r="N165" s="319">
        <v>5736</v>
      </c>
      <c r="O165" s="496">
        <v>0</v>
      </c>
      <c r="P165" s="497">
        <v>0.84000000000000008</v>
      </c>
      <c r="Q165" s="412">
        <v>0.84000000000000008</v>
      </c>
      <c r="R165" s="764">
        <v>0</v>
      </c>
      <c r="S165" s="530">
        <f t="shared" si="268"/>
        <v>0</v>
      </c>
      <c r="T165" s="486">
        <v>0</v>
      </c>
      <c r="U165" s="486">
        <v>0</v>
      </c>
      <c r="V165" s="486">
        <f t="shared" si="269"/>
        <v>0</v>
      </c>
      <c r="W165" s="486">
        <v>0</v>
      </c>
      <c r="X165" s="486">
        <v>0</v>
      </c>
      <c r="Y165" s="486">
        <f t="shared" si="270"/>
        <v>0</v>
      </c>
      <c r="Z165" s="486">
        <f t="shared" si="271"/>
        <v>0</v>
      </c>
      <c r="AA165" s="319">
        <f t="shared" si="272"/>
        <v>0</v>
      </c>
      <c r="AB165" s="178">
        <f t="shared" si="273"/>
        <v>0</v>
      </c>
      <c r="AC165" s="486">
        <v>0</v>
      </c>
      <c r="AD165" s="486">
        <v>0</v>
      </c>
      <c r="AE165" s="486">
        <f t="shared" si="224"/>
        <v>0</v>
      </c>
      <c r="AF165" s="486">
        <f t="shared" si="225"/>
        <v>0</v>
      </c>
      <c r="AG165" s="501">
        <v>0</v>
      </c>
      <c r="AH165" s="501">
        <v>0</v>
      </c>
      <c r="AI165" s="501">
        <v>0</v>
      </c>
      <c r="AJ165" s="501">
        <v>0</v>
      </c>
      <c r="AK165" s="501">
        <v>0</v>
      </c>
      <c r="AL165" s="501">
        <f t="shared" si="274"/>
        <v>0</v>
      </c>
      <c r="AM165" s="501">
        <f t="shared" si="275"/>
        <v>0</v>
      </c>
      <c r="AN165" s="502">
        <f t="shared" si="226"/>
        <v>0</v>
      </c>
      <c r="AO165" s="499">
        <f t="shared" si="276"/>
        <v>389450</v>
      </c>
      <c r="AP165" s="486">
        <f t="shared" si="277"/>
        <v>286782</v>
      </c>
      <c r="AQ165" s="486">
        <f t="shared" si="278"/>
        <v>0</v>
      </c>
      <c r="AR165" s="486">
        <f t="shared" si="279"/>
        <v>0</v>
      </c>
      <c r="AS165" s="486">
        <f t="shared" si="280"/>
        <v>96932</v>
      </c>
      <c r="AT165" s="486">
        <f t="shared" si="280"/>
        <v>5736</v>
      </c>
      <c r="AU165" s="486">
        <f t="shared" si="281"/>
        <v>0</v>
      </c>
      <c r="AV165" s="501">
        <f t="shared" si="282"/>
        <v>0.84000000000000008</v>
      </c>
      <c r="AW165" s="501">
        <f t="shared" si="283"/>
        <v>0.84000000000000008</v>
      </c>
      <c r="AX165" s="502">
        <f t="shared" si="283"/>
        <v>0</v>
      </c>
    </row>
    <row r="166" spans="1:50" s="695" customFormat="1" ht="12.75" customHeight="1" x14ac:dyDescent="0.2">
      <c r="A166" s="720">
        <v>30</v>
      </c>
      <c r="B166" s="721">
        <v>4446</v>
      </c>
      <c r="C166" s="721">
        <v>600074587</v>
      </c>
      <c r="D166" s="721">
        <v>70695504</v>
      </c>
      <c r="E166" s="722" t="s">
        <v>207</v>
      </c>
      <c r="F166" s="721">
        <v>3141</v>
      </c>
      <c r="G166" s="531" t="s">
        <v>321</v>
      </c>
      <c r="H166" s="767" t="s">
        <v>284</v>
      </c>
      <c r="I166" s="495">
        <v>255509</v>
      </c>
      <c r="J166" s="496">
        <v>186892</v>
      </c>
      <c r="K166" s="475">
        <v>0</v>
      </c>
      <c r="L166" s="475">
        <v>0</v>
      </c>
      <c r="M166" s="319">
        <v>63169</v>
      </c>
      <c r="N166" s="319">
        <v>3738</v>
      </c>
      <c r="O166" s="496">
        <v>1710</v>
      </c>
      <c r="P166" s="497">
        <v>0.63</v>
      </c>
      <c r="Q166" s="412">
        <v>0</v>
      </c>
      <c r="R166" s="764">
        <v>0.63</v>
      </c>
      <c r="S166" s="530">
        <f t="shared" si="268"/>
        <v>0</v>
      </c>
      <c r="T166" s="486">
        <v>0</v>
      </c>
      <c r="U166" s="486">
        <v>0</v>
      </c>
      <c r="V166" s="486">
        <f t="shared" si="269"/>
        <v>0</v>
      </c>
      <c r="W166" s="486">
        <v>0</v>
      </c>
      <c r="X166" s="486">
        <v>0</v>
      </c>
      <c r="Y166" s="486">
        <f t="shared" si="270"/>
        <v>0</v>
      </c>
      <c r="Z166" s="486">
        <f t="shared" si="271"/>
        <v>0</v>
      </c>
      <c r="AA166" s="319">
        <f t="shared" si="272"/>
        <v>0</v>
      </c>
      <c r="AB166" s="178">
        <f t="shared" si="273"/>
        <v>0</v>
      </c>
      <c r="AC166" s="486">
        <v>0</v>
      </c>
      <c r="AD166" s="486">
        <v>0</v>
      </c>
      <c r="AE166" s="486">
        <f t="shared" si="224"/>
        <v>0</v>
      </c>
      <c r="AF166" s="486">
        <f t="shared" si="225"/>
        <v>0</v>
      </c>
      <c r="AG166" s="501">
        <v>0</v>
      </c>
      <c r="AH166" s="501">
        <v>0</v>
      </c>
      <c r="AI166" s="501">
        <v>0</v>
      </c>
      <c r="AJ166" s="501">
        <v>0</v>
      </c>
      <c r="AK166" s="501">
        <v>0</v>
      </c>
      <c r="AL166" s="501">
        <f t="shared" si="274"/>
        <v>0</v>
      </c>
      <c r="AM166" s="501">
        <f t="shared" si="275"/>
        <v>0</v>
      </c>
      <c r="AN166" s="502">
        <f t="shared" si="226"/>
        <v>0</v>
      </c>
      <c r="AO166" s="499">
        <f t="shared" si="276"/>
        <v>255509</v>
      </c>
      <c r="AP166" s="486">
        <f t="shared" si="277"/>
        <v>186892</v>
      </c>
      <c r="AQ166" s="486">
        <f t="shared" si="278"/>
        <v>0</v>
      </c>
      <c r="AR166" s="486">
        <f t="shared" si="279"/>
        <v>0</v>
      </c>
      <c r="AS166" s="486">
        <f t="shared" si="280"/>
        <v>63169</v>
      </c>
      <c r="AT166" s="486">
        <f t="shared" si="280"/>
        <v>3738</v>
      </c>
      <c r="AU166" s="486">
        <f t="shared" si="281"/>
        <v>1710</v>
      </c>
      <c r="AV166" s="501">
        <f t="shared" si="282"/>
        <v>0.63</v>
      </c>
      <c r="AW166" s="501">
        <f t="shared" si="283"/>
        <v>0</v>
      </c>
      <c r="AX166" s="502">
        <f t="shared" si="283"/>
        <v>0.63</v>
      </c>
    </row>
    <row r="167" spans="1:50" s="695" customFormat="1" ht="12.75" customHeight="1" x14ac:dyDescent="0.2">
      <c r="A167" s="720">
        <v>30</v>
      </c>
      <c r="B167" s="721">
        <v>4446</v>
      </c>
      <c r="C167" s="721">
        <v>600074587</v>
      </c>
      <c r="D167" s="721">
        <v>70695504</v>
      </c>
      <c r="E167" s="722" t="s">
        <v>207</v>
      </c>
      <c r="F167" s="721">
        <v>3143</v>
      </c>
      <c r="G167" s="531" t="s">
        <v>634</v>
      </c>
      <c r="H167" s="701" t="s">
        <v>283</v>
      </c>
      <c r="I167" s="495">
        <v>548424</v>
      </c>
      <c r="J167" s="496">
        <v>403847</v>
      </c>
      <c r="K167" s="475">
        <v>0</v>
      </c>
      <c r="L167" s="475">
        <v>0</v>
      </c>
      <c r="M167" s="319">
        <v>136500</v>
      </c>
      <c r="N167" s="319">
        <v>8077</v>
      </c>
      <c r="O167" s="496">
        <v>0</v>
      </c>
      <c r="P167" s="497">
        <v>1</v>
      </c>
      <c r="Q167" s="412">
        <v>1</v>
      </c>
      <c r="R167" s="764">
        <v>0</v>
      </c>
      <c r="S167" s="530">
        <f t="shared" si="268"/>
        <v>0</v>
      </c>
      <c r="T167" s="486">
        <v>0</v>
      </c>
      <c r="U167" s="486">
        <v>0</v>
      </c>
      <c r="V167" s="486">
        <f t="shared" si="269"/>
        <v>0</v>
      </c>
      <c r="W167" s="486">
        <v>0</v>
      </c>
      <c r="X167" s="486">
        <v>0</v>
      </c>
      <c r="Y167" s="486">
        <f t="shared" si="270"/>
        <v>0</v>
      </c>
      <c r="Z167" s="486">
        <f t="shared" si="271"/>
        <v>0</v>
      </c>
      <c r="AA167" s="319">
        <f t="shared" si="272"/>
        <v>0</v>
      </c>
      <c r="AB167" s="178">
        <f t="shared" si="273"/>
        <v>0</v>
      </c>
      <c r="AC167" s="486">
        <v>0</v>
      </c>
      <c r="AD167" s="486">
        <v>0</v>
      </c>
      <c r="AE167" s="486">
        <f t="shared" si="224"/>
        <v>0</v>
      </c>
      <c r="AF167" s="486">
        <f t="shared" si="225"/>
        <v>0</v>
      </c>
      <c r="AG167" s="501">
        <v>0</v>
      </c>
      <c r="AH167" s="501">
        <v>0</v>
      </c>
      <c r="AI167" s="501">
        <v>0</v>
      </c>
      <c r="AJ167" s="501">
        <v>0</v>
      </c>
      <c r="AK167" s="501">
        <v>0</v>
      </c>
      <c r="AL167" s="501">
        <f t="shared" si="274"/>
        <v>0</v>
      </c>
      <c r="AM167" s="501">
        <f t="shared" si="275"/>
        <v>0</v>
      </c>
      <c r="AN167" s="502">
        <f t="shared" si="226"/>
        <v>0</v>
      </c>
      <c r="AO167" s="499">
        <f t="shared" si="276"/>
        <v>548424</v>
      </c>
      <c r="AP167" s="486">
        <f t="shared" si="277"/>
        <v>403847</v>
      </c>
      <c r="AQ167" s="486">
        <f t="shared" si="278"/>
        <v>0</v>
      </c>
      <c r="AR167" s="486">
        <f t="shared" si="279"/>
        <v>0</v>
      </c>
      <c r="AS167" s="486">
        <f t="shared" si="280"/>
        <v>136500</v>
      </c>
      <c r="AT167" s="486">
        <f t="shared" si="280"/>
        <v>8077</v>
      </c>
      <c r="AU167" s="486">
        <f t="shared" si="281"/>
        <v>0</v>
      </c>
      <c r="AV167" s="501">
        <f t="shared" si="282"/>
        <v>1</v>
      </c>
      <c r="AW167" s="501">
        <f t="shared" si="283"/>
        <v>1</v>
      </c>
      <c r="AX167" s="502">
        <f t="shared" si="283"/>
        <v>0</v>
      </c>
    </row>
    <row r="168" spans="1:50" s="695" customFormat="1" ht="12.75" customHeight="1" x14ac:dyDescent="0.2">
      <c r="A168" s="720">
        <v>30</v>
      </c>
      <c r="B168" s="721">
        <v>4446</v>
      </c>
      <c r="C168" s="721">
        <v>600074587</v>
      </c>
      <c r="D168" s="721">
        <v>70695504</v>
      </c>
      <c r="E168" s="722" t="s">
        <v>207</v>
      </c>
      <c r="F168" s="721">
        <v>3143</v>
      </c>
      <c r="G168" s="531" t="s">
        <v>635</v>
      </c>
      <c r="H168" s="701" t="s">
        <v>284</v>
      </c>
      <c r="I168" s="495">
        <v>15449</v>
      </c>
      <c r="J168" s="496">
        <v>10890</v>
      </c>
      <c r="K168" s="475">
        <v>0</v>
      </c>
      <c r="L168" s="475">
        <v>0</v>
      </c>
      <c r="M168" s="319">
        <v>3681</v>
      </c>
      <c r="N168" s="319">
        <v>218</v>
      </c>
      <c r="O168" s="496">
        <v>660</v>
      </c>
      <c r="P168" s="497">
        <v>0.05</v>
      </c>
      <c r="Q168" s="412">
        <v>0</v>
      </c>
      <c r="R168" s="764">
        <v>0.05</v>
      </c>
      <c r="S168" s="530">
        <f t="shared" si="268"/>
        <v>0</v>
      </c>
      <c r="T168" s="486">
        <v>0</v>
      </c>
      <c r="U168" s="486">
        <v>0</v>
      </c>
      <c r="V168" s="486">
        <f t="shared" si="269"/>
        <v>0</v>
      </c>
      <c r="W168" s="486">
        <v>0</v>
      </c>
      <c r="X168" s="486">
        <v>0</v>
      </c>
      <c r="Y168" s="486">
        <f t="shared" si="270"/>
        <v>0</v>
      </c>
      <c r="Z168" s="486">
        <f t="shared" si="271"/>
        <v>0</v>
      </c>
      <c r="AA168" s="319">
        <f t="shared" si="272"/>
        <v>0</v>
      </c>
      <c r="AB168" s="178">
        <f t="shared" si="273"/>
        <v>0</v>
      </c>
      <c r="AC168" s="486">
        <v>0</v>
      </c>
      <c r="AD168" s="486">
        <v>0</v>
      </c>
      <c r="AE168" s="486">
        <f t="shared" si="224"/>
        <v>0</v>
      </c>
      <c r="AF168" s="486">
        <f t="shared" si="225"/>
        <v>0</v>
      </c>
      <c r="AG168" s="501">
        <v>0</v>
      </c>
      <c r="AH168" s="501">
        <v>0</v>
      </c>
      <c r="AI168" s="501">
        <v>0</v>
      </c>
      <c r="AJ168" s="501">
        <v>0</v>
      </c>
      <c r="AK168" s="501">
        <v>0</v>
      </c>
      <c r="AL168" s="501">
        <f t="shared" si="274"/>
        <v>0</v>
      </c>
      <c r="AM168" s="501">
        <f t="shared" si="275"/>
        <v>0</v>
      </c>
      <c r="AN168" s="502">
        <f t="shared" si="226"/>
        <v>0</v>
      </c>
      <c r="AO168" s="499">
        <f t="shared" si="276"/>
        <v>15449</v>
      </c>
      <c r="AP168" s="486">
        <f t="shared" si="277"/>
        <v>10890</v>
      </c>
      <c r="AQ168" s="486">
        <f t="shared" si="278"/>
        <v>0</v>
      </c>
      <c r="AR168" s="486">
        <f t="shared" si="279"/>
        <v>0</v>
      </c>
      <c r="AS168" s="486">
        <f t="shared" si="280"/>
        <v>3681</v>
      </c>
      <c r="AT168" s="486">
        <f t="shared" si="280"/>
        <v>218</v>
      </c>
      <c r="AU168" s="486">
        <f t="shared" si="281"/>
        <v>660</v>
      </c>
      <c r="AV168" s="501">
        <f t="shared" si="282"/>
        <v>0.05</v>
      </c>
      <c r="AW168" s="501">
        <f t="shared" si="283"/>
        <v>0</v>
      </c>
      <c r="AX168" s="502">
        <f t="shared" si="283"/>
        <v>0.05</v>
      </c>
    </row>
    <row r="169" spans="1:50" s="695" customFormat="1" ht="12.75" customHeight="1" x14ac:dyDescent="0.2">
      <c r="A169" s="282">
        <v>30</v>
      </c>
      <c r="B169" s="27">
        <v>4446</v>
      </c>
      <c r="C169" s="27">
        <v>600074587</v>
      </c>
      <c r="D169" s="27">
        <v>70695504</v>
      </c>
      <c r="E169" s="292" t="s">
        <v>208</v>
      </c>
      <c r="F169" s="27"/>
      <c r="G169" s="281"/>
      <c r="H169" s="377"/>
      <c r="I169" s="5">
        <v>5718196</v>
      </c>
      <c r="J169" s="8">
        <v>4137907</v>
      </c>
      <c r="K169" s="8">
        <v>3848</v>
      </c>
      <c r="L169" s="8">
        <v>3848</v>
      </c>
      <c r="M169" s="8">
        <v>1398612</v>
      </c>
      <c r="N169" s="8">
        <v>82759</v>
      </c>
      <c r="O169" s="8">
        <v>95070</v>
      </c>
      <c r="P169" s="9">
        <v>10.032700000000002</v>
      </c>
      <c r="Q169" s="9">
        <v>7.1548999999999996</v>
      </c>
      <c r="R169" s="33">
        <v>2.8778000000000006</v>
      </c>
      <c r="S169" s="5">
        <f t="shared" ref="S169:AX169" si="284">SUM(S163:S168)</f>
        <v>0</v>
      </c>
      <c r="T169" s="8">
        <f t="shared" si="284"/>
        <v>0</v>
      </c>
      <c r="U169" s="8">
        <f t="shared" si="284"/>
        <v>-14728</v>
      </c>
      <c r="V169" s="8">
        <f t="shared" si="284"/>
        <v>-14728</v>
      </c>
      <c r="W169" s="8">
        <f t="shared" si="284"/>
        <v>0</v>
      </c>
      <c r="X169" s="8">
        <f t="shared" si="284"/>
        <v>0</v>
      </c>
      <c r="Y169" s="8">
        <f t="shared" si="284"/>
        <v>0</v>
      </c>
      <c r="Z169" s="8">
        <f t="shared" si="284"/>
        <v>-14728</v>
      </c>
      <c r="AA169" s="8">
        <f t="shared" si="284"/>
        <v>-4978</v>
      </c>
      <c r="AB169" s="8">
        <f t="shared" si="284"/>
        <v>-295</v>
      </c>
      <c r="AC169" s="8">
        <f t="shared" si="284"/>
        <v>0</v>
      </c>
      <c r="AD169" s="8">
        <f t="shared" si="284"/>
        <v>20001</v>
      </c>
      <c r="AE169" s="8">
        <f t="shared" si="284"/>
        <v>20001</v>
      </c>
      <c r="AF169" s="8">
        <f t="shared" si="284"/>
        <v>0</v>
      </c>
      <c r="AG169" s="9">
        <f t="shared" si="284"/>
        <v>0</v>
      </c>
      <c r="AH169" s="9">
        <f t="shared" si="284"/>
        <v>0</v>
      </c>
      <c r="AI169" s="9">
        <f t="shared" si="284"/>
        <v>0</v>
      </c>
      <c r="AJ169" s="9">
        <f t="shared" si="284"/>
        <v>0</v>
      </c>
      <c r="AK169" s="9">
        <f t="shared" si="284"/>
        <v>0</v>
      </c>
      <c r="AL169" s="9">
        <f t="shared" si="284"/>
        <v>0</v>
      </c>
      <c r="AM169" s="9">
        <f t="shared" si="284"/>
        <v>0</v>
      </c>
      <c r="AN169" s="74">
        <f t="shared" si="284"/>
        <v>0</v>
      </c>
      <c r="AO169" s="270">
        <f t="shared" si="284"/>
        <v>5718196</v>
      </c>
      <c r="AP169" s="8">
        <f t="shared" si="284"/>
        <v>4123179</v>
      </c>
      <c r="AQ169" s="38">
        <f t="shared" si="284"/>
        <v>3848</v>
      </c>
      <c r="AR169" s="38">
        <f t="shared" si="284"/>
        <v>3848</v>
      </c>
      <c r="AS169" s="8">
        <f t="shared" si="284"/>
        <v>1393634</v>
      </c>
      <c r="AT169" s="8">
        <f t="shared" si="284"/>
        <v>82464</v>
      </c>
      <c r="AU169" s="8">
        <f t="shared" si="284"/>
        <v>115071</v>
      </c>
      <c r="AV169" s="9">
        <f t="shared" si="284"/>
        <v>10.032700000000002</v>
      </c>
      <c r="AW169" s="9">
        <f t="shared" si="284"/>
        <v>7.1548999999999996</v>
      </c>
      <c r="AX169" s="74">
        <f t="shared" si="284"/>
        <v>2.8778000000000006</v>
      </c>
    </row>
    <row r="170" spans="1:50" s="695" customFormat="1" ht="12.75" customHeight="1" x14ac:dyDescent="0.2">
      <c r="A170" s="720">
        <v>31</v>
      </c>
      <c r="B170" s="721">
        <v>4431</v>
      </c>
      <c r="C170" s="721">
        <v>600074820</v>
      </c>
      <c r="D170" s="721">
        <v>70981515</v>
      </c>
      <c r="E170" s="722" t="s">
        <v>209</v>
      </c>
      <c r="F170" s="721">
        <v>3111</v>
      </c>
      <c r="G170" s="531" t="s">
        <v>317</v>
      </c>
      <c r="H170" s="767" t="s">
        <v>283</v>
      </c>
      <c r="I170" s="495">
        <v>2727879</v>
      </c>
      <c r="J170" s="496">
        <v>1958571</v>
      </c>
      <c r="K170" s="475">
        <v>30000</v>
      </c>
      <c r="L170" s="475">
        <v>0</v>
      </c>
      <c r="M170" s="319">
        <v>672137</v>
      </c>
      <c r="N170" s="319">
        <v>39171</v>
      </c>
      <c r="O170" s="496">
        <v>28000</v>
      </c>
      <c r="P170" s="497">
        <v>4.6604000000000001</v>
      </c>
      <c r="Q170" s="412">
        <v>3.8386</v>
      </c>
      <c r="R170" s="764">
        <v>0.82179999999999997</v>
      </c>
      <c r="S170" s="530">
        <f t="shared" ref="S170:S175" si="285">W170*-1</f>
        <v>0</v>
      </c>
      <c r="T170" s="486">
        <v>0</v>
      </c>
      <c r="U170" s="486">
        <v>0</v>
      </c>
      <c r="V170" s="486">
        <f t="shared" ref="V170:V175" si="286">SUM(S170:U170)</f>
        <v>0</v>
      </c>
      <c r="W170" s="486">
        <v>0</v>
      </c>
      <c r="X170" s="486">
        <v>0</v>
      </c>
      <c r="Y170" s="486">
        <f t="shared" ref="Y170:Y175" si="287">SUM(W170:X170)</f>
        <v>0</v>
      </c>
      <c r="Z170" s="486">
        <f t="shared" ref="Z170:Z175" si="288">V170+Y170</f>
        <v>0</v>
      </c>
      <c r="AA170" s="319">
        <f t="shared" ref="AA170:AA175" si="289">ROUND((V170+W170)*33.8%,0)</f>
        <v>0</v>
      </c>
      <c r="AB170" s="178">
        <f t="shared" ref="AB170:AB175" si="290">ROUND(V170*2%,0)</f>
        <v>0</v>
      </c>
      <c r="AC170" s="486">
        <v>0</v>
      </c>
      <c r="AD170" s="486">
        <v>0</v>
      </c>
      <c r="AE170" s="486">
        <f t="shared" si="224"/>
        <v>0</v>
      </c>
      <c r="AF170" s="486">
        <f t="shared" si="225"/>
        <v>0</v>
      </c>
      <c r="AG170" s="501">
        <v>0</v>
      </c>
      <c r="AH170" s="501">
        <v>0</v>
      </c>
      <c r="AI170" s="501">
        <v>0</v>
      </c>
      <c r="AJ170" s="501">
        <v>0</v>
      </c>
      <c r="AK170" s="501">
        <v>0</v>
      </c>
      <c r="AL170" s="501">
        <f t="shared" ref="AL170:AL175" si="291">AG170+AI170+AJ170</f>
        <v>0</v>
      </c>
      <c r="AM170" s="501">
        <f t="shared" ref="AM170:AM175" si="292">AH170+AK170</f>
        <v>0</v>
      </c>
      <c r="AN170" s="502">
        <f t="shared" si="226"/>
        <v>0</v>
      </c>
      <c r="AO170" s="499">
        <f t="shared" ref="AO170:AO175" si="293">I170+AF170</f>
        <v>2727879</v>
      </c>
      <c r="AP170" s="486">
        <f t="shared" ref="AP170:AP175" si="294">J170+V170</f>
        <v>1958571</v>
      </c>
      <c r="AQ170" s="486">
        <f t="shared" ref="AQ170:AQ175" si="295">K170+Y170</f>
        <v>30000</v>
      </c>
      <c r="AR170" s="486">
        <f t="shared" ref="AR170:AR175" si="296">L170</f>
        <v>0</v>
      </c>
      <c r="AS170" s="486">
        <f t="shared" ref="AS170:AT175" si="297">M170+AA170</f>
        <v>672137</v>
      </c>
      <c r="AT170" s="486">
        <f t="shared" si="297"/>
        <v>39171</v>
      </c>
      <c r="AU170" s="486">
        <f t="shared" ref="AU170:AU175" si="298">O170+AE170</f>
        <v>28000</v>
      </c>
      <c r="AV170" s="501">
        <f t="shared" ref="AV170:AV175" si="299">P170+AN170</f>
        <v>4.6604000000000001</v>
      </c>
      <c r="AW170" s="501">
        <f t="shared" ref="AW170:AX175" si="300">Q170+AL170</f>
        <v>3.8386</v>
      </c>
      <c r="AX170" s="502">
        <f t="shared" si="300"/>
        <v>0.82179999999999997</v>
      </c>
    </row>
    <row r="171" spans="1:50" s="695" customFormat="1" ht="12.75" customHeight="1" x14ac:dyDescent="0.2">
      <c r="A171" s="720">
        <v>31</v>
      </c>
      <c r="B171" s="721">
        <v>4431</v>
      </c>
      <c r="C171" s="721">
        <v>600074820</v>
      </c>
      <c r="D171" s="721">
        <v>70981515</v>
      </c>
      <c r="E171" s="722" t="s">
        <v>209</v>
      </c>
      <c r="F171" s="721">
        <v>3117</v>
      </c>
      <c r="G171" s="531" t="s">
        <v>320</v>
      </c>
      <c r="H171" s="767" t="s">
        <v>283</v>
      </c>
      <c r="I171" s="495">
        <v>3411161</v>
      </c>
      <c r="J171" s="496">
        <v>2386718</v>
      </c>
      <c r="K171" s="496">
        <v>41740</v>
      </c>
      <c r="L171" s="496">
        <v>4884</v>
      </c>
      <c r="M171" s="496">
        <v>819168</v>
      </c>
      <c r="N171" s="496">
        <v>47735</v>
      </c>
      <c r="O171" s="496">
        <v>115800</v>
      </c>
      <c r="P171" s="497">
        <v>5.0318000000000005</v>
      </c>
      <c r="Q171" s="412">
        <v>3.2835999999999999</v>
      </c>
      <c r="R171" s="764">
        <v>1.7482000000000006</v>
      </c>
      <c r="S171" s="530">
        <f t="shared" si="285"/>
        <v>0</v>
      </c>
      <c r="T171" s="486">
        <v>0</v>
      </c>
      <c r="U171" s="486">
        <v>0</v>
      </c>
      <c r="V171" s="486">
        <f t="shared" si="286"/>
        <v>0</v>
      </c>
      <c r="W171" s="486">
        <v>0</v>
      </c>
      <c r="X171" s="486">
        <v>0</v>
      </c>
      <c r="Y171" s="486">
        <f t="shared" si="287"/>
        <v>0</v>
      </c>
      <c r="Z171" s="486">
        <f t="shared" si="288"/>
        <v>0</v>
      </c>
      <c r="AA171" s="319">
        <f t="shared" si="289"/>
        <v>0</v>
      </c>
      <c r="AB171" s="178">
        <f t="shared" si="290"/>
        <v>0</v>
      </c>
      <c r="AC171" s="486">
        <v>0</v>
      </c>
      <c r="AD171" s="486">
        <v>0</v>
      </c>
      <c r="AE171" s="486">
        <f t="shared" si="224"/>
        <v>0</v>
      </c>
      <c r="AF171" s="486">
        <f t="shared" si="225"/>
        <v>0</v>
      </c>
      <c r="AG171" s="501">
        <v>0</v>
      </c>
      <c r="AH171" s="501">
        <v>0</v>
      </c>
      <c r="AI171" s="501">
        <v>0</v>
      </c>
      <c r="AJ171" s="501">
        <v>0</v>
      </c>
      <c r="AK171" s="501">
        <v>0</v>
      </c>
      <c r="AL171" s="501">
        <f t="shared" si="291"/>
        <v>0</v>
      </c>
      <c r="AM171" s="501">
        <f t="shared" si="292"/>
        <v>0</v>
      </c>
      <c r="AN171" s="502">
        <f t="shared" si="226"/>
        <v>0</v>
      </c>
      <c r="AO171" s="499">
        <f t="shared" si="293"/>
        <v>3411161</v>
      </c>
      <c r="AP171" s="486">
        <f t="shared" si="294"/>
        <v>2386718</v>
      </c>
      <c r="AQ171" s="486">
        <f t="shared" si="295"/>
        <v>41740</v>
      </c>
      <c r="AR171" s="486">
        <f t="shared" si="296"/>
        <v>4884</v>
      </c>
      <c r="AS171" s="486">
        <f t="shared" si="297"/>
        <v>819168</v>
      </c>
      <c r="AT171" s="486">
        <f t="shared" si="297"/>
        <v>47735</v>
      </c>
      <c r="AU171" s="486">
        <f t="shared" si="298"/>
        <v>115800</v>
      </c>
      <c r="AV171" s="501">
        <f t="shared" si="299"/>
        <v>5.0318000000000005</v>
      </c>
      <c r="AW171" s="501">
        <f t="shared" si="300"/>
        <v>3.2835999999999999</v>
      </c>
      <c r="AX171" s="502">
        <f t="shared" si="300"/>
        <v>1.7482000000000006</v>
      </c>
    </row>
    <row r="172" spans="1:50" s="695" customFormat="1" ht="12.75" customHeight="1" x14ac:dyDescent="0.2">
      <c r="A172" s="720">
        <v>31</v>
      </c>
      <c r="B172" s="721">
        <v>4431</v>
      </c>
      <c r="C172" s="721">
        <v>600074820</v>
      </c>
      <c r="D172" s="721">
        <v>70981515</v>
      </c>
      <c r="E172" s="722" t="s">
        <v>209</v>
      </c>
      <c r="F172" s="721">
        <v>3117</v>
      </c>
      <c r="G172" s="531" t="s">
        <v>318</v>
      </c>
      <c r="H172" s="767" t="s">
        <v>284</v>
      </c>
      <c r="I172" s="495">
        <v>1077276</v>
      </c>
      <c r="J172" s="496">
        <v>782973</v>
      </c>
      <c r="K172" s="475">
        <v>0</v>
      </c>
      <c r="L172" s="475">
        <v>0</v>
      </c>
      <c r="M172" s="319">
        <v>264644</v>
      </c>
      <c r="N172" s="319">
        <v>15659</v>
      </c>
      <c r="O172" s="496">
        <v>14000</v>
      </c>
      <c r="P172" s="497">
        <v>2.3000000000000003</v>
      </c>
      <c r="Q172" s="412">
        <v>2.3000000000000003</v>
      </c>
      <c r="R172" s="764">
        <v>0</v>
      </c>
      <c r="S172" s="530">
        <f t="shared" si="285"/>
        <v>0</v>
      </c>
      <c r="T172" s="486">
        <v>0</v>
      </c>
      <c r="U172" s="486">
        <v>0</v>
      </c>
      <c r="V172" s="486">
        <f t="shared" si="286"/>
        <v>0</v>
      </c>
      <c r="W172" s="486">
        <v>0</v>
      </c>
      <c r="X172" s="486">
        <v>0</v>
      </c>
      <c r="Y172" s="486">
        <f t="shared" si="287"/>
        <v>0</v>
      </c>
      <c r="Z172" s="486">
        <f t="shared" si="288"/>
        <v>0</v>
      </c>
      <c r="AA172" s="319">
        <f t="shared" si="289"/>
        <v>0</v>
      </c>
      <c r="AB172" s="178">
        <f t="shared" si="290"/>
        <v>0</v>
      </c>
      <c r="AC172" s="486">
        <v>0</v>
      </c>
      <c r="AD172" s="486">
        <v>0</v>
      </c>
      <c r="AE172" s="486">
        <f t="shared" si="224"/>
        <v>0</v>
      </c>
      <c r="AF172" s="486">
        <f t="shared" si="225"/>
        <v>0</v>
      </c>
      <c r="AG172" s="501">
        <v>0</v>
      </c>
      <c r="AH172" s="501">
        <v>0</v>
      </c>
      <c r="AI172" s="501">
        <v>0</v>
      </c>
      <c r="AJ172" s="501">
        <v>0</v>
      </c>
      <c r="AK172" s="501">
        <v>0</v>
      </c>
      <c r="AL172" s="501">
        <f t="shared" si="291"/>
        <v>0</v>
      </c>
      <c r="AM172" s="501">
        <f t="shared" si="292"/>
        <v>0</v>
      </c>
      <c r="AN172" s="502">
        <f t="shared" si="226"/>
        <v>0</v>
      </c>
      <c r="AO172" s="499">
        <f t="shared" si="293"/>
        <v>1077276</v>
      </c>
      <c r="AP172" s="486">
        <f t="shared" si="294"/>
        <v>782973</v>
      </c>
      <c r="AQ172" s="486">
        <f t="shared" si="295"/>
        <v>0</v>
      </c>
      <c r="AR172" s="486">
        <f t="shared" si="296"/>
        <v>0</v>
      </c>
      <c r="AS172" s="486">
        <f t="shared" si="297"/>
        <v>264644</v>
      </c>
      <c r="AT172" s="486">
        <f t="shared" si="297"/>
        <v>15659</v>
      </c>
      <c r="AU172" s="486">
        <f t="shared" si="298"/>
        <v>14000</v>
      </c>
      <c r="AV172" s="501">
        <f t="shared" si="299"/>
        <v>2.3000000000000003</v>
      </c>
      <c r="AW172" s="501">
        <f t="shared" si="300"/>
        <v>2.3000000000000003</v>
      </c>
      <c r="AX172" s="502">
        <f t="shared" si="300"/>
        <v>0</v>
      </c>
    </row>
    <row r="173" spans="1:50" s="695" customFormat="1" ht="12.75" customHeight="1" x14ac:dyDescent="0.2">
      <c r="A173" s="720">
        <v>31</v>
      </c>
      <c r="B173" s="721">
        <v>4431</v>
      </c>
      <c r="C173" s="721">
        <v>600074820</v>
      </c>
      <c r="D173" s="721">
        <v>70981515</v>
      </c>
      <c r="E173" s="722" t="s">
        <v>209</v>
      </c>
      <c r="F173" s="721">
        <v>3141</v>
      </c>
      <c r="G173" s="531" t="s">
        <v>321</v>
      </c>
      <c r="H173" s="767" t="s">
        <v>284</v>
      </c>
      <c r="I173" s="495">
        <v>905026</v>
      </c>
      <c r="J173" s="496">
        <v>663280</v>
      </c>
      <c r="K173" s="475">
        <v>0</v>
      </c>
      <c r="L173" s="475">
        <v>0</v>
      </c>
      <c r="M173" s="319">
        <v>224188</v>
      </c>
      <c r="N173" s="319">
        <v>13266</v>
      </c>
      <c r="O173" s="496">
        <v>4292</v>
      </c>
      <c r="P173" s="497">
        <v>2.25</v>
      </c>
      <c r="Q173" s="412">
        <v>0</v>
      </c>
      <c r="R173" s="764">
        <v>2.25</v>
      </c>
      <c r="S173" s="530">
        <f t="shared" si="285"/>
        <v>0</v>
      </c>
      <c r="T173" s="486">
        <v>0</v>
      </c>
      <c r="U173" s="486">
        <v>0</v>
      </c>
      <c r="V173" s="486">
        <f t="shared" si="286"/>
        <v>0</v>
      </c>
      <c r="W173" s="486">
        <v>0</v>
      </c>
      <c r="X173" s="486">
        <v>0</v>
      </c>
      <c r="Y173" s="486">
        <f t="shared" si="287"/>
        <v>0</v>
      </c>
      <c r="Z173" s="486">
        <f t="shared" si="288"/>
        <v>0</v>
      </c>
      <c r="AA173" s="319">
        <f t="shared" si="289"/>
        <v>0</v>
      </c>
      <c r="AB173" s="178">
        <f t="shared" si="290"/>
        <v>0</v>
      </c>
      <c r="AC173" s="486">
        <v>0</v>
      </c>
      <c r="AD173" s="486">
        <v>0</v>
      </c>
      <c r="AE173" s="486">
        <f t="shared" si="224"/>
        <v>0</v>
      </c>
      <c r="AF173" s="486">
        <f t="shared" si="225"/>
        <v>0</v>
      </c>
      <c r="AG173" s="501">
        <v>0</v>
      </c>
      <c r="AH173" s="501">
        <v>0</v>
      </c>
      <c r="AI173" s="501">
        <v>0</v>
      </c>
      <c r="AJ173" s="501">
        <v>0</v>
      </c>
      <c r="AK173" s="501">
        <v>0</v>
      </c>
      <c r="AL173" s="501">
        <f t="shared" si="291"/>
        <v>0</v>
      </c>
      <c r="AM173" s="501">
        <f t="shared" si="292"/>
        <v>0</v>
      </c>
      <c r="AN173" s="502">
        <f t="shared" si="226"/>
        <v>0</v>
      </c>
      <c r="AO173" s="499">
        <f t="shared" si="293"/>
        <v>905026</v>
      </c>
      <c r="AP173" s="486">
        <f t="shared" si="294"/>
        <v>663280</v>
      </c>
      <c r="AQ173" s="486">
        <f t="shared" si="295"/>
        <v>0</v>
      </c>
      <c r="AR173" s="486">
        <f t="shared" si="296"/>
        <v>0</v>
      </c>
      <c r="AS173" s="486">
        <f t="shared" si="297"/>
        <v>224188</v>
      </c>
      <c r="AT173" s="486">
        <f t="shared" si="297"/>
        <v>13266</v>
      </c>
      <c r="AU173" s="486">
        <f t="shared" si="298"/>
        <v>4292</v>
      </c>
      <c r="AV173" s="501">
        <f t="shared" si="299"/>
        <v>2.25</v>
      </c>
      <c r="AW173" s="501">
        <f t="shared" si="300"/>
        <v>0</v>
      </c>
      <c r="AX173" s="502">
        <f t="shared" si="300"/>
        <v>2.25</v>
      </c>
    </row>
    <row r="174" spans="1:50" s="695" customFormat="1" ht="12.75" customHeight="1" x14ac:dyDescent="0.2">
      <c r="A174" s="720">
        <v>31</v>
      </c>
      <c r="B174" s="721">
        <v>4431</v>
      </c>
      <c r="C174" s="721">
        <v>600074820</v>
      </c>
      <c r="D174" s="721">
        <v>70981515</v>
      </c>
      <c r="E174" s="722" t="s">
        <v>209</v>
      </c>
      <c r="F174" s="721">
        <v>3143</v>
      </c>
      <c r="G174" s="531" t="s">
        <v>634</v>
      </c>
      <c r="H174" s="701" t="s">
        <v>283</v>
      </c>
      <c r="I174" s="495">
        <v>885883</v>
      </c>
      <c r="J174" s="496">
        <v>652344</v>
      </c>
      <c r="K174" s="475">
        <v>0</v>
      </c>
      <c r="L174" s="475">
        <v>0</v>
      </c>
      <c r="M174" s="319">
        <v>220492</v>
      </c>
      <c r="N174" s="319">
        <v>13047</v>
      </c>
      <c r="O174" s="496">
        <v>0</v>
      </c>
      <c r="P174" s="497">
        <v>1.3478000000000001</v>
      </c>
      <c r="Q174" s="412">
        <v>1.3478000000000001</v>
      </c>
      <c r="R174" s="764">
        <v>0</v>
      </c>
      <c r="S174" s="530">
        <f t="shared" si="285"/>
        <v>0</v>
      </c>
      <c r="T174" s="486">
        <v>0</v>
      </c>
      <c r="U174" s="486">
        <v>0</v>
      </c>
      <c r="V174" s="486">
        <f t="shared" si="286"/>
        <v>0</v>
      </c>
      <c r="W174" s="486">
        <v>0</v>
      </c>
      <c r="X174" s="486">
        <v>0</v>
      </c>
      <c r="Y174" s="486">
        <f t="shared" si="287"/>
        <v>0</v>
      </c>
      <c r="Z174" s="486">
        <f t="shared" si="288"/>
        <v>0</v>
      </c>
      <c r="AA174" s="319">
        <f t="shared" si="289"/>
        <v>0</v>
      </c>
      <c r="AB174" s="178">
        <f t="shared" si="290"/>
        <v>0</v>
      </c>
      <c r="AC174" s="486">
        <v>0</v>
      </c>
      <c r="AD174" s="486">
        <v>0</v>
      </c>
      <c r="AE174" s="486">
        <f t="shared" si="224"/>
        <v>0</v>
      </c>
      <c r="AF174" s="486">
        <f t="shared" si="225"/>
        <v>0</v>
      </c>
      <c r="AG174" s="501">
        <v>0</v>
      </c>
      <c r="AH174" s="501">
        <v>0</v>
      </c>
      <c r="AI174" s="501">
        <v>0</v>
      </c>
      <c r="AJ174" s="501">
        <v>0</v>
      </c>
      <c r="AK174" s="501">
        <v>0</v>
      </c>
      <c r="AL174" s="501">
        <f t="shared" si="291"/>
        <v>0</v>
      </c>
      <c r="AM174" s="501">
        <f t="shared" si="292"/>
        <v>0</v>
      </c>
      <c r="AN174" s="502">
        <f t="shared" si="226"/>
        <v>0</v>
      </c>
      <c r="AO174" s="499">
        <f t="shared" si="293"/>
        <v>885883</v>
      </c>
      <c r="AP174" s="486">
        <f t="shared" si="294"/>
        <v>652344</v>
      </c>
      <c r="AQ174" s="486">
        <f t="shared" si="295"/>
        <v>0</v>
      </c>
      <c r="AR174" s="486">
        <f t="shared" si="296"/>
        <v>0</v>
      </c>
      <c r="AS174" s="486">
        <f t="shared" si="297"/>
        <v>220492</v>
      </c>
      <c r="AT174" s="486">
        <f t="shared" si="297"/>
        <v>13047</v>
      </c>
      <c r="AU174" s="486">
        <f t="shared" si="298"/>
        <v>0</v>
      </c>
      <c r="AV174" s="501">
        <f t="shared" si="299"/>
        <v>1.3478000000000001</v>
      </c>
      <c r="AW174" s="501">
        <f t="shared" si="300"/>
        <v>1.3478000000000001</v>
      </c>
      <c r="AX174" s="502">
        <f t="shared" si="300"/>
        <v>0</v>
      </c>
    </row>
    <row r="175" spans="1:50" s="695" customFormat="1" ht="12.75" customHeight="1" x14ac:dyDescent="0.2">
      <c r="A175" s="720">
        <v>31</v>
      </c>
      <c r="B175" s="721">
        <v>4431</v>
      </c>
      <c r="C175" s="721">
        <v>600074820</v>
      </c>
      <c r="D175" s="721">
        <v>70981515</v>
      </c>
      <c r="E175" s="722" t="s">
        <v>209</v>
      </c>
      <c r="F175" s="721">
        <v>3143</v>
      </c>
      <c r="G175" s="531" t="s">
        <v>635</v>
      </c>
      <c r="H175" s="701" t="s">
        <v>284</v>
      </c>
      <c r="I175" s="495">
        <v>15449</v>
      </c>
      <c r="J175" s="496">
        <v>10890</v>
      </c>
      <c r="K175" s="475">
        <v>0</v>
      </c>
      <c r="L175" s="475">
        <v>0</v>
      </c>
      <c r="M175" s="319">
        <v>3681</v>
      </c>
      <c r="N175" s="319">
        <v>218</v>
      </c>
      <c r="O175" s="496">
        <v>660</v>
      </c>
      <c r="P175" s="497">
        <v>0.05</v>
      </c>
      <c r="Q175" s="412">
        <v>0</v>
      </c>
      <c r="R175" s="764">
        <v>0.05</v>
      </c>
      <c r="S175" s="530">
        <f t="shared" si="285"/>
        <v>0</v>
      </c>
      <c r="T175" s="486">
        <v>0</v>
      </c>
      <c r="U175" s="486">
        <v>0</v>
      </c>
      <c r="V175" s="486">
        <f t="shared" si="286"/>
        <v>0</v>
      </c>
      <c r="W175" s="486">
        <v>0</v>
      </c>
      <c r="X175" s="486">
        <v>0</v>
      </c>
      <c r="Y175" s="486">
        <f t="shared" si="287"/>
        <v>0</v>
      </c>
      <c r="Z175" s="486">
        <f t="shared" si="288"/>
        <v>0</v>
      </c>
      <c r="AA175" s="319">
        <f t="shared" si="289"/>
        <v>0</v>
      </c>
      <c r="AB175" s="178">
        <f t="shared" si="290"/>
        <v>0</v>
      </c>
      <c r="AC175" s="486">
        <v>0</v>
      </c>
      <c r="AD175" s="486">
        <v>0</v>
      </c>
      <c r="AE175" s="486">
        <f t="shared" si="224"/>
        <v>0</v>
      </c>
      <c r="AF175" s="486">
        <f t="shared" si="225"/>
        <v>0</v>
      </c>
      <c r="AG175" s="501">
        <v>0</v>
      </c>
      <c r="AH175" s="501">
        <v>0</v>
      </c>
      <c r="AI175" s="501">
        <v>0</v>
      </c>
      <c r="AJ175" s="501">
        <v>0</v>
      </c>
      <c r="AK175" s="501">
        <v>0</v>
      </c>
      <c r="AL175" s="501">
        <f t="shared" si="291"/>
        <v>0</v>
      </c>
      <c r="AM175" s="501">
        <f t="shared" si="292"/>
        <v>0</v>
      </c>
      <c r="AN175" s="502">
        <f t="shared" si="226"/>
        <v>0</v>
      </c>
      <c r="AO175" s="499">
        <f t="shared" si="293"/>
        <v>15449</v>
      </c>
      <c r="AP175" s="486">
        <f t="shared" si="294"/>
        <v>10890</v>
      </c>
      <c r="AQ175" s="486">
        <f t="shared" si="295"/>
        <v>0</v>
      </c>
      <c r="AR175" s="486">
        <f t="shared" si="296"/>
        <v>0</v>
      </c>
      <c r="AS175" s="486">
        <f t="shared" si="297"/>
        <v>3681</v>
      </c>
      <c r="AT175" s="486">
        <f t="shared" si="297"/>
        <v>218</v>
      </c>
      <c r="AU175" s="486">
        <f t="shared" si="298"/>
        <v>660</v>
      </c>
      <c r="AV175" s="501">
        <f t="shared" si="299"/>
        <v>0.05</v>
      </c>
      <c r="AW175" s="501">
        <f t="shared" si="300"/>
        <v>0</v>
      </c>
      <c r="AX175" s="502">
        <f t="shared" si="300"/>
        <v>0.05</v>
      </c>
    </row>
    <row r="176" spans="1:50" s="695" customFormat="1" ht="12.75" customHeight="1" x14ac:dyDescent="0.2">
      <c r="A176" s="282">
        <v>31</v>
      </c>
      <c r="B176" s="27">
        <v>4431</v>
      </c>
      <c r="C176" s="27">
        <v>600074820</v>
      </c>
      <c r="D176" s="27">
        <v>70981515</v>
      </c>
      <c r="E176" s="292" t="s">
        <v>210</v>
      </c>
      <c r="F176" s="27"/>
      <c r="G176" s="281"/>
      <c r="H176" s="377"/>
      <c r="I176" s="6">
        <v>9022674</v>
      </c>
      <c r="J176" s="10">
        <v>6454776</v>
      </c>
      <c r="K176" s="10">
        <v>71740</v>
      </c>
      <c r="L176" s="10">
        <v>4884</v>
      </c>
      <c r="M176" s="10">
        <v>2204310</v>
      </c>
      <c r="N176" s="10">
        <v>129096</v>
      </c>
      <c r="O176" s="10">
        <v>162752</v>
      </c>
      <c r="P176" s="11">
        <v>15.64</v>
      </c>
      <c r="Q176" s="11">
        <v>10.77</v>
      </c>
      <c r="R176" s="32">
        <v>4.87</v>
      </c>
      <c r="S176" s="6">
        <f t="shared" ref="S176:AX176" si="301">SUM(S170:S175)</f>
        <v>0</v>
      </c>
      <c r="T176" s="10">
        <f t="shared" si="301"/>
        <v>0</v>
      </c>
      <c r="U176" s="10">
        <f t="shared" si="301"/>
        <v>0</v>
      </c>
      <c r="V176" s="10">
        <f t="shared" si="301"/>
        <v>0</v>
      </c>
      <c r="W176" s="10">
        <f t="shared" si="301"/>
        <v>0</v>
      </c>
      <c r="X176" s="10">
        <f t="shared" si="301"/>
        <v>0</v>
      </c>
      <c r="Y176" s="10">
        <f t="shared" si="301"/>
        <v>0</v>
      </c>
      <c r="Z176" s="10">
        <f t="shared" si="301"/>
        <v>0</v>
      </c>
      <c r="AA176" s="10">
        <f t="shared" si="301"/>
        <v>0</v>
      </c>
      <c r="AB176" s="10">
        <f t="shared" si="301"/>
        <v>0</v>
      </c>
      <c r="AC176" s="10">
        <f t="shared" si="301"/>
        <v>0</v>
      </c>
      <c r="AD176" s="10">
        <f t="shared" si="301"/>
        <v>0</v>
      </c>
      <c r="AE176" s="10">
        <f t="shared" si="301"/>
        <v>0</v>
      </c>
      <c r="AF176" s="10">
        <f t="shared" si="301"/>
        <v>0</v>
      </c>
      <c r="AG176" s="11">
        <f t="shared" si="301"/>
        <v>0</v>
      </c>
      <c r="AH176" s="11">
        <f t="shared" si="301"/>
        <v>0</v>
      </c>
      <c r="AI176" s="11">
        <f t="shared" si="301"/>
        <v>0</v>
      </c>
      <c r="AJ176" s="11">
        <f t="shared" si="301"/>
        <v>0</v>
      </c>
      <c r="AK176" s="11">
        <f t="shared" si="301"/>
        <v>0</v>
      </c>
      <c r="AL176" s="11">
        <f t="shared" si="301"/>
        <v>0</v>
      </c>
      <c r="AM176" s="11">
        <f t="shared" si="301"/>
        <v>0</v>
      </c>
      <c r="AN176" s="75">
        <f t="shared" si="301"/>
        <v>0</v>
      </c>
      <c r="AO176" s="271">
        <f t="shared" si="301"/>
        <v>9022674</v>
      </c>
      <c r="AP176" s="10">
        <f t="shared" si="301"/>
        <v>6454776</v>
      </c>
      <c r="AQ176" s="71">
        <f t="shared" si="301"/>
        <v>71740</v>
      </c>
      <c r="AR176" s="71">
        <f t="shared" si="301"/>
        <v>4884</v>
      </c>
      <c r="AS176" s="10">
        <f t="shared" si="301"/>
        <v>2204310</v>
      </c>
      <c r="AT176" s="10">
        <f t="shared" si="301"/>
        <v>129096</v>
      </c>
      <c r="AU176" s="10">
        <f t="shared" si="301"/>
        <v>162752</v>
      </c>
      <c r="AV176" s="11">
        <f t="shared" si="301"/>
        <v>15.64</v>
      </c>
      <c r="AW176" s="11">
        <f t="shared" si="301"/>
        <v>10.77</v>
      </c>
      <c r="AX176" s="75">
        <f t="shared" si="301"/>
        <v>4.87</v>
      </c>
    </row>
    <row r="177" spans="1:50" s="695" customFormat="1" ht="12.75" customHeight="1" x14ac:dyDescent="0.2">
      <c r="A177" s="720">
        <v>32</v>
      </c>
      <c r="B177" s="721">
        <v>4416</v>
      </c>
      <c r="C177" s="721">
        <v>600074153</v>
      </c>
      <c r="D177" s="721">
        <v>71013105</v>
      </c>
      <c r="E177" s="722" t="s">
        <v>211</v>
      </c>
      <c r="F177" s="721">
        <v>3111</v>
      </c>
      <c r="G177" s="531" t="s">
        <v>317</v>
      </c>
      <c r="H177" s="767" t="s">
        <v>283</v>
      </c>
      <c r="I177" s="495">
        <v>3330410</v>
      </c>
      <c r="J177" s="496">
        <v>2417667</v>
      </c>
      <c r="K177" s="496">
        <v>0</v>
      </c>
      <c r="L177" s="496">
        <v>0</v>
      </c>
      <c r="M177" s="496">
        <v>817094</v>
      </c>
      <c r="N177" s="496">
        <v>48348</v>
      </c>
      <c r="O177" s="496">
        <v>47301</v>
      </c>
      <c r="P177" s="497">
        <v>5.7497999999999996</v>
      </c>
      <c r="Q177" s="412">
        <v>4.3600000000000003</v>
      </c>
      <c r="R177" s="764">
        <v>1.3897999999999993</v>
      </c>
      <c r="S177" s="530">
        <f t="shared" ref="S177:S181" si="302">W177*-1</f>
        <v>0</v>
      </c>
      <c r="T177" s="486">
        <v>0</v>
      </c>
      <c r="U177" s="486">
        <v>0</v>
      </c>
      <c r="V177" s="486">
        <f>SUM(S177:U177)</f>
        <v>0</v>
      </c>
      <c r="W177" s="486">
        <v>0</v>
      </c>
      <c r="X177" s="486">
        <v>0</v>
      </c>
      <c r="Y177" s="486">
        <f>SUM(W177:X177)</f>
        <v>0</v>
      </c>
      <c r="Z177" s="486">
        <f>V177+Y177</f>
        <v>0</v>
      </c>
      <c r="AA177" s="319">
        <f>ROUND((V177+W177)*33.8%,0)</f>
        <v>0</v>
      </c>
      <c r="AB177" s="178">
        <f>ROUND(V177*2%,0)</f>
        <v>0</v>
      </c>
      <c r="AC177" s="486">
        <v>0</v>
      </c>
      <c r="AD177" s="486">
        <v>0</v>
      </c>
      <c r="AE177" s="486">
        <f t="shared" si="224"/>
        <v>0</v>
      </c>
      <c r="AF177" s="486">
        <f t="shared" si="225"/>
        <v>0</v>
      </c>
      <c r="AG177" s="501">
        <v>0</v>
      </c>
      <c r="AH177" s="501">
        <v>0</v>
      </c>
      <c r="AI177" s="501">
        <v>0</v>
      </c>
      <c r="AJ177" s="501">
        <v>0</v>
      </c>
      <c r="AK177" s="501">
        <v>0</v>
      </c>
      <c r="AL177" s="501">
        <f t="shared" ref="AL177:AL181" si="303">AG177+AI177+AJ177</f>
        <v>0</v>
      </c>
      <c r="AM177" s="501">
        <f t="shared" ref="AM177:AM181" si="304">AH177+AK177</f>
        <v>0</v>
      </c>
      <c r="AN177" s="502">
        <f t="shared" si="226"/>
        <v>0</v>
      </c>
      <c r="AO177" s="499">
        <f>I177+AF177</f>
        <v>3330410</v>
      </c>
      <c r="AP177" s="486">
        <f>J177+V177</f>
        <v>2417667</v>
      </c>
      <c r="AQ177" s="486">
        <f>K177+Y177</f>
        <v>0</v>
      </c>
      <c r="AR177" s="486">
        <f>L177</f>
        <v>0</v>
      </c>
      <c r="AS177" s="486">
        <f t="shared" ref="AS177:AT181" si="305">M177+AA177</f>
        <v>817094</v>
      </c>
      <c r="AT177" s="486">
        <f t="shared" si="305"/>
        <v>48348</v>
      </c>
      <c r="AU177" s="486">
        <f>O177+AE177</f>
        <v>47301</v>
      </c>
      <c r="AV177" s="501">
        <f>P177+AN177</f>
        <v>5.7497999999999996</v>
      </c>
      <c r="AW177" s="501">
        <f t="shared" ref="AW177:AX181" si="306">Q177+AL177</f>
        <v>4.3600000000000003</v>
      </c>
      <c r="AX177" s="502">
        <f t="shared" si="306"/>
        <v>1.3897999999999993</v>
      </c>
    </row>
    <row r="178" spans="1:50" s="695" customFormat="1" ht="12.75" customHeight="1" x14ac:dyDescent="0.2">
      <c r="A178" s="720">
        <v>32</v>
      </c>
      <c r="B178" s="721">
        <v>4416</v>
      </c>
      <c r="C178" s="721">
        <v>600074153</v>
      </c>
      <c r="D178" s="721">
        <v>71013105</v>
      </c>
      <c r="E178" s="722" t="s">
        <v>211</v>
      </c>
      <c r="F178" s="721">
        <v>3111</v>
      </c>
      <c r="G178" s="531" t="s">
        <v>318</v>
      </c>
      <c r="H178" s="767" t="s">
        <v>284</v>
      </c>
      <c r="I178" s="495">
        <v>845495</v>
      </c>
      <c r="J178" s="496">
        <v>622603</v>
      </c>
      <c r="K178" s="475">
        <v>0</v>
      </c>
      <c r="L178" s="475">
        <v>0</v>
      </c>
      <c r="M178" s="319">
        <v>210440</v>
      </c>
      <c r="N178" s="319">
        <v>12452</v>
      </c>
      <c r="O178" s="496">
        <v>0</v>
      </c>
      <c r="P178" s="497">
        <v>1.8399999999999999</v>
      </c>
      <c r="Q178" s="412">
        <v>1.8399999999999999</v>
      </c>
      <c r="R178" s="764">
        <v>0</v>
      </c>
      <c r="S178" s="530">
        <f t="shared" si="302"/>
        <v>0</v>
      </c>
      <c r="T178" s="486">
        <v>0</v>
      </c>
      <c r="U178" s="486">
        <v>0</v>
      </c>
      <c r="V178" s="486">
        <f>SUM(S178:U178)</f>
        <v>0</v>
      </c>
      <c r="W178" s="486">
        <v>0</v>
      </c>
      <c r="X178" s="486">
        <v>0</v>
      </c>
      <c r="Y178" s="486">
        <f>SUM(W178:X178)</f>
        <v>0</v>
      </c>
      <c r="Z178" s="486">
        <f>V178+Y178</f>
        <v>0</v>
      </c>
      <c r="AA178" s="319">
        <f>ROUND((V178+W178)*33.8%,0)</f>
        <v>0</v>
      </c>
      <c r="AB178" s="178">
        <f>ROUND(V178*2%,0)</f>
        <v>0</v>
      </c>
      <c r="AC178" s="486">
        <v>0</v>
      </c>
      <c r="AD178" s="486">
        <v>0</v>
      </c>
      <c r="AE178" s="486">
        <f t="shared" si="224"/>
        <v>0</v>
      </c>
      <c r="AF178" s="486">
        <f t="shared" si="225"/>
        <v>0</v>
      </c>
      <c r="AG178" s="501">
        <v>0</v>
      </c>
      <c r="AH178" s="501">
        <v>0</v>
      </c>
      <c r="AI178" s="501">
        <v>0</v>
      </c>
      <c r="AJ178" s="501">
        <v>0</v>
      </c>
      <c r="AK178" s="501">
        <v>0</v>
      </c>
      <c r="AL178" s="501">
        <f t="shared" si="303"/>
        <v>0</v>
      </c>
      <c r="AM178" s="501">
        <f t="shared" si="304"/>
        <v>0</v>
      </c>
      <c r="AN178" s="502">
        <f t="shared" si="226"/>
        <v>0</v>
      </c>
      <c r="AO178" s="499">
        <f>I178+AF178</f>
        <v>845495</v>
      </c>
      <c r="AP178" s="486">
        <f>J178+V178</f>
        <v>622603</v>
      </c>
      <c r="AQ178" s="486">
        <f>K178+Y178</f>
        <v>0</v>
      </c>
      <c r="AR178" s="486">
        <f>L178</f>
        <v>0</v>
      </c>
      <c r="AS178" s="486">
        <f t="shared" si="305"/>
        <v>210440</v>
      </c>
      <c r="AT178" s="486">
        <f t="shared" si="305"/>
        <v>12452</v>
      </c>
      <c r="AU178" s="486">
        <f>O178+AE178</f>
        <v>0</v>
      </c>
      <c r="AV178" s="501">
        <f>P178+AN178</f>
        <v>1.8399999999999999</v>
      </c>
      <c r="AW178" s="501">
        <f t="shared" si="306"/>
        <v>1.8399999999999999</v>
      </c>
      <c r="AX178" s="502">
        <f t="shared" si="306"/>
        <v>0</v>
      </c>
    </row>
    <row r="179" spans="1:50" s="695" customFormat="1" ht="12.75" customHeight="1" x14ac:dyDescent="0.2">
      <c r="A179" s="720">
        <v>32</v>
      </c>
      <c r="B179" s="721">
        <v>4416</v>
      </c>
      <c r="C179" s="721">
        <v>600074153</v>
      </c>
      <c r="D179" s="721">
        <v>71013105</v>
      </c>
      <c r="E179" s="712" t="s">
        <v>211</v>
      </c>
      <c r="F179" s="721">
        <v>3141</v>
      </c>
      <c r="G179" s="531" t="s">
        <v>321</v>
      </c>
      <c r="H179" s="767" t="s">
        <v>284</v>
      </c>
      <c r="I179" s="495">
        <v>780824</v>
      </c>
      <c r="J179" s="496">
        <v>572070</v>
      </c>
      <c r="K179" s="475">
        <v>0</v>
      </c>
      <c r="L179" s="475">
        <v>0</v>
      </c>
      <c r="M179" s="319">
        <v>193360</v>
      </c>
      <c r="N179" s="319">
        <v>11442</v>
      </c>
      <c r="O179" s="496">
        <v>3952</v>
      </c>
      <c r="P179" s="497">
        <v>1.95</v>
      </c>
      <c r="Q179" s="412">
        <v>0</v>
      </c>
      <c r="R179" s="764">
        <v>1.95</v>
      </c>
      <c r="S179" s="530">
        <f t="shared" si="302"/>
        <v>0</v>
      </c>
      <c r="T179" s="486">
        <v>0</v>
      </c>
      <c r="U179" s="486">
        <v>0</v>
      </c>
      <c r="V179" s="486">
        <f>SUM(S179:U179)</f>
        <v>0</v>
      </c>
      <c r="W179" s="486">
        <v>0</v>
      </c>
      <c r="X179" s="486">
        <v>0</v>
      </c>
      <c r="Y179" s="486">
        <f>SUM(W179:X179)</f>
        <v>0</v>
      </c>
      <c r="Z179" s="486">
        <f>V179+Y179</f>
        <v>0</v>
      </c>
      <c r="AA179" s="319">
        <f>ROUND((V179+W179)*33.8%,0)</f>
        <v>0</v>
      </c>
      <c r="AB179" s="178">
        <f>ROUND(V179*2%,0)</f>
        <v>0</v>
      </c>
      <c r="AC179" s="486">
        <v>0</v>
      </c>
      <c r="AD179" s="486">
        <v>0</v>
      </c>
      <c r="AE179" s="486">
        <f t="shared" si="224"/>
        <v>0</v>
      </c>
      <c r="AF179" s="486">
        <f t="shared" si="225"/>
        <v>0</v>
      </c>
      <c r="AG179" s="501">
        <v>0</v>
      </c>
      <c r="AH179" s="501">
        <v>0</v>
      </c>
      <c r="AI179" s="501">
        <v>0</v>
      </c>
      <c r="AJ179" s="501">
        <v>0</v>
      </c>
      <c r="AK179" s="501">
        <v>0</v>
      </c>
      <c r="AL179" s="501">
        <f t="shared" si="303"/>
        <v>0</v>
      </c>
      <c r="AM179" s="501">
        <f t="shared" si="304"/>
        <v>0</v>
      </c>
      <c r="AN179" s="502">
        <f t="shared" si="226"/>
        <v>0</v>
      </c>
      <c r="AO179" s="499">
        <f>I179+AF179</f>
        <v>780824</v>
      </c>
      <c r="AP179" s="486">
        <f>J179+V179</f>
        <v>572070</v>
      </c>
      <c r="AQ179" s="486">
        <f>K179+Y179</f>
        <v>0</v>
      </c>
      <c r="AR179" s="486">
        <f>L179</f>
        <v>0</v>
      </c>
      <c r="AS179" s="486">
        <f t="shared" si="305"/>
        <v>193360</v>
      </c>
      <c r="AT179" s="486">
        <f t="shared" si="305"/>
        <v>11442</v>
      </c>
      <c r="AU179" s="486">
        <f>O179+AE179</f>
        <v>3952</v>
      </c>
      <c r="AV179" s="501">
        <f>P179+AN179</f>
        <v>1.95</v>
      </c>
      <c r="AW179" s="501">
        <f t="shared" si="306"/>
        <v>0</v>
      </c>
      <c r="AX179" s="502">
        <f t="shared" si="306"/>
        <v>1.95</v>
      </c>
    </row>
    <row r="180" spans="1:50" s="695" customFormat="1" ht="12.75" customHeight="1" x14ac:dyDescent="0.2">
      <c r="A180" s="720">
        <v>32</v>
      </c>
      <c r="B180" s="721">
        <v>4416</v>
      </c>
      <c r="C180" s="721">
        <v>600074153</v>
      </c>
      <c r="D180" s="721">
        <v>71013105</v>
      </c>
      <c r="E180" s="722" t="s">
        <v>211</v>
      </c>
      <c r="F180" s="721">
        <v>3143</v>
      </c>
      <c r="G180" s="531" t="s">
        <v>634</v>
      </c>
      <c r="H180" s="701" t="s">
        <v>283</v>
      </c>
      <c r="I180" s="495">
        <v>885653</v>
      </c>
      <c r="J180" s="496">
        <v>652114</v>
      </c>
      <c r="K180" s="496">
        <v>0</v>
      </c>
      <c r="L180" s="496">
        <v>0</v>
      </c>
      <c r="M180" s="496">
        <v>220492</v>
      </c>
      <c r="N180" s="496">
        <v>13047</v>
      </c>
      <c r="O180" s="496">
        <v>0</v>
      </c>
      <c r="P180" s="497">
        <v>1.7641</v>
      </c>
      <c r="Q180" s="412">
        <v>1.7641</v>
      </c>
      <c r="R180" s="764">
        <v>0</v>
      </c>
      <c r="S180" s="530">
        <f t="shared" si="302"/>
        <v>0</v>
      </c>
      <c r="T180" s="486">
        <v>0</v>
      </c>
      <c r="U180" s="486">
        <v>0</v>
      </c>
      <c r="V180" s="486">
        <f>SUM(S180:U180)</f>
        <v>0</v>
      </c>
      <c r="W180" s="486">
        <v>0</v>
      </c>
      <c r="X180" s="486">
        <v>0</v>
      </c>
      <c r="Y180" s="486">
        <f>SUM(W180:X180)</f>
        <v>0</v>
      </c>
      <c r="Z180" s="486">
        <f>V180+Y180</f>
        <v>0</v>
      </c>
      <c r="AA180" s="319">
        <f>ROUND((V180+W180)*33.8%,0)</f>
        <v>0</v>
      </c>
      <c r="AB180" s="178">
        <f>ROUND(V180*2%,0)</f>
        <v>0</v>
      </c>
      <c r="AC180" s="486">
        <v>0</v>
      </c>
      <c r="AD180" s="486">
        <v>0</v>
      </c>
      <c r="AE180" s="486">
        <f t="shared" si="224"/>
        <v>0</v>
      </c>
      <c r="AF180" s="486">
        <f t="shared" si="225"/>
        <v>0</v>
      </c>
      <c r="AG180" s="501">
        <v>0</v>
      </c>
      <c r="AH180" s="501">
        <v>0</v>
      </c>
      <c r="AI180" s="501">
        <v>0</v>
      </c>
      <c r="AJ180" s="501">
        <v>0</v>
      </c>
      <c r="AK180" s="501">
        <v>0</v>
      </c>
      <c r="AL180" s="501">
        <f t="shared" si="303"/>
        <v>0</v>
      </c>
      <c r="AM180" s="501">
        <f t="shared" si="304"/>
        <v>0</v>
      </c>
      <c r="AN180" s="502">
        <f t="shared" si="226"/>
        <v>0</v>
      </c>
      <c r="AO180" s="499">
        <f>I180+AF180</f>
        <v>885653</v>
      </c>
      <c r="AP180" s="486">
        <f>J180+V180</f>
        <v>652114</v>
      </c>
      <c r="AQ180" s="486">
        <f>K180+Y180</f>
        <v>0</v>
      </c>
      <c r="AR180" s="486">
        <f>L180</f>
        <v>0</v>
      </c>
      <c r="AS180" s="486">
        <f t="shared" si="305"/>
        <v>220492</v>
      </c>
      <c r="AT180" s="486">
        <f t="shared" si="305"/>
        <v>13047</v>
      </c>
      <c r="AU180" s="486">
        <f>O180+AE180</f>
        <v>0</v>
      </c>
      <c r="AV180" s="501">
        <f>P180+AN180</f>
        <v>1.7641</v>
      </c>
      <c r="AW180" s="501">
        <f t="shared" si="306"/>
        <v>1.7641</v>
      </c>
      <c r="AX180" s="502">
        <f t="shared" si="306"/>
        <v>0</v>
      </c>
    </row>
    <row r="181" spans="1:50" s="695" customFormat="1" ht="12.75" customHeight="1" x14ac:dyDescent="0.2">
      <c r="A181" s="720">
        <v>32</v>
      </c>
      <c r="B181" s="721">
        <v>4416</v>
      </c>
      <c r="C181" s="721">
        <v>600074153</v>
      </c>
      <c r="D181" s="721">
        <v>71013105</v>
      </c>
      <c r="E181" s="722" t="s">
        <v>211</v>
      </c>
      <c r="F181" s="721">
        <v>3143</v>
      </c>
      <c r="G181" s="531" t="s">
        <v>635</v>
      </c>
      <c r="H181" s="701" t="s">
        <v>284</v>
      </c>
      <c r="I181" s="495">
        <v>28088</v>
      </c>
      <c r="J181" s="496">
        <v>19800</v>
      </c>
      <c r="K181" s="475">
        <v>0</v>
      </c>
      <c r="L181" s="475">
        <v>0</v>
      </c>
      <c r="M181" s="319">
        <v>6692</v>
      </c>
      <c r="N181" s="319">
        <v>396</v>
      </c>
      <c r="O181" s="496">
        <v>1200</v>
      </c>
      <c r="P181" s="497">
        <v>0.08</v>
      </c>
      <c r="Q181" s="412">
        <v>0</v>
      </c>
      <c r="R181" s="764">
        <v>0.08</v>
      </c>
      <c r="S181" s="530">
        <f t="shared" si="302"/>
        <v>0</v>
      </c>
      <c r="T181" s="486">
        <v>0</v>
      </c>
      <c r="U181" s="486">
        <v>0</v>
      </c>
      <c r="V181" s="486">
        <f>SUM(S181:U181)</f>
        <v>0</v>
      </c>
      <c r="W181" s="486">
        <v>0</v>
      </c>
      <c r="X181" s="486">
        <v>0</v>
      </c>
      <c r="Y181" s="486">
        <f>SUM(W181:X181)</f>
        <v>0</v>
      </c>
      <c r="Z181" s="486">
        <f>V181+Y181</f>
        <v>0</v>
      </c>
      <c r="AA181" s="319">
        <f>ROUND((V181+W181)*33.8%,0)</f>
        <v>0</v>
      </c>
      <c r="AB181" s="178">
        <f>ROUND(V181*2%,0)</f>
        <v>0</v>
      </c>
      <c r="AC181" s="486">
        <v>0</v>
      </c>
      <c r="AD181" s="486">
        <v>0</v>
      </c>
      <c r="AE181" s="486">
        <f t="shared" si="224"/>
        <v>0</v>
      </c>
      <c r="AF181" s="486">
        <f t="shared" si="225"/>
        <v>0</v>
      </c>
      <c r="AG181" s="501">
        <v>0</v>
      </c>
      <c r="AH181" s="501">
        <v>0</v>
      </c>
      <c r="AI181" s="501">
        <v>0</v>
      </c>
      <c r="AJ181" s="501">
        <v>0</v>
      </c>
      <c r="AK181" s="501">
        <v>0</v>
      </c>
      <c r="AL181" s="501">
        <f t="shared" si="303"/>
        <v>0</v>
      </c>
      <c r="AM181" s="501">
        <f t="shared" si="304"/>
        <v>0</v>
      </c>
      <c r="AN181" s="502">
        <f t="shared" si="226"/>
        <v>0</v>
      </c>
      <c r="AO181" s="499">
        <f>I181+AF181</f>
        <v>28088</v>
      </c>
      <c r="AP181" s="486">
        <f>J181+V181</f>
        <v>19800</v>
      </c>
      <c r="AQ181" s="486">
        <f>K181+Y181</f>
        <v>0</v>
      </c>
      <c r="AR181" s="486">
        <f>L181</f>
        <v>0</v>
      </c>
      <c r="AS181" s="486">
        <f t="shared" si="305"/>
        <v>6692</v>
      </c>
      <c r="AT181" s="486">
        <f t="shared" si="305"/>
        <v>396</v>
      </c>
      <c r="AU181" s="486">
        <f>O181+AE181</f>
        <v>1200</v>
      </c>
      <c r="AV181" s="501">
        <f>P181+AN181</f>
        <v>0.08</v>
      </c>
      <c r="AW181" s="501">
        <f t="shared" si="306"/>
        <v>0</v>
      </c>
      <c r="AX181" s="502">
        <f t="shared" si="306"/>
        <v>0.08</v>
      </c>
    </row>
    <row r="182" spans="1:50" s="695" customFormat="1" ht="12.75" customHeight="1" x14ac:dyDescent="0.2">
      <c r="A182" s="282">
        <v>32</v>
      </c>
      <c r="B182" s="27">
        <v>4416</v>
      </c>
      <c r="C182" s="27">
        <v>600074153</v>
      </c>
      <c r="D182" s="27">
        <v>71013105</v>
      </c>
      <c r="E182" s="292" t="s">
        <v>212</v>
      </c>
      <c r="F182" s="27"/>
      <c r="G182" s="281"/>
      <c r="H182" s="377"/>
      <c r="I182" s="5">
        <v>5870470</v>
      </c>
      <c r="J182" s="8">
        <v>4284254</v>
      </c>
      <c r="K182" s="8">
        <v>0</v>
      </c>
      <c r="L182" s="8">
        <v>0</v>
      </c>
      <c r="M182" s="8">
        <v>1448078</v>
      </c>
      <c r="N182" s="8">
        <v>85685</v>
      </c>
      <c r="O182" s="8">
        <v>52453</v>
      </c>
      <c r="P182" s="9">
        <v>11.383899999999999</v>
      </c>
      <c r="Q182" s="9">
        <v>7.9641000000000002</v>
      </c>
      <c r="R182" s="33">
        <v>3.4197999999999995</v>
      </c>
      <c r="S182" s="5">
        <f t="shared" ref="S182:AX182" si="307">SUM(S177:S181)</f>
        <v>0</v>
      </c>
      <c r="T182" s="8">
        <f t="shared" si="307"/>
        <v>0</v>
      </c>
      <c r="U182" s="8">
        <f t="shared" si="307"/>
        <v>0</v>
      </c>
      <c r="V182" s="8">
        <f t="shared" si="307"/>
        <v>0</v>
      </c>
      <c r="W182" s="8">
        <f t="shared" si="307"/>
        <v>0</v>
      </c>
      <c r="X182" s="8">
        <f t="shared" si="307"/>
        <v>0</v>
      </c>
      <c r="Y182" s="8">
        <f t="shared" si="307"/>
        <v>0</v>
      </c>
      <c r="Z182" s="8">
        <f t="shared" si="307"/>
        <v>0</v>
      </c>
      <c r="AA182" s="8">
        <f t="shared" si="307"/>
        <v>0</v>
      </c>
      <c r="AB182" s="8">
        <f t="shared" si="307"/>
        <v>0</v>
      </c>
      <c r="AC182" s="8">
        <f t="shared" si="307"/>
        <v>0</v>
      </c>
      <c r="AD182" s="8">
        <f t="shared" si="307"/>
        <v>0</v>
      </c>
      <c r="AE182" s="8">
        <f t="shared" si="307"/>
        <v>0</v>
      </c>
      <c r="AF182" s="8">
        <f t="shared" si="307"/>
        <v>0</v>
      </c>
      <c r="AG182" s="9">
        <f t="shared" si="307"/>
        <v>0</v>
      </c>
      <c r="AH182" s="9">
        <f t="shared" si="307"/>
        <v>0</v>
      </c>
      <c r="AI182" s="9">
        <f t="shared" si="307"/>
        <v>0</v>
      </c>
      <c r="AJ182" s="9">
        <f t="shared" si="307"/>
        <v>0</v>
      </c>
      <c r="AK182" s="9">
        <f t="shared" si="307"/>
        <v>0</v>
      </c>
      <c r="AL182" s="9">
        <f t="shared" si="307"/>
        <v>0</v>
      </c>
      <c r="AM182" s="9">
        <f t="shared" si="307"/>
        <v>0</v>
      </c>
      <c r="AN182" s="74">
        <f t="shared" si="307"/>
        <v>0</v>
      </c>
      <c r="AO182" s="270">
        <f t="shared" si="307"/>
        <v>5870470</v>
      </c>
      <c r="AP182" s="8">
        <f t="shared" si="307"/>
        <v>4284254</v>
      </c>
      <c r="AQ182" s="38">
        <f t="shared" si="307"/>
        <v>0</v>
      </c>
      <c r="AR182" s="38">
        <f t="shared" si="307"/>
        <v>0</v>
      </c>
      <c r="AS182" s="8">
        <f t="shared" si="307"/>
        <v>1448078</v>
      </c>
      <c r="AT182" s="8">
        <f t="shared" si="307"/>
        <v>85685</v>
      </c>
      <c r="AU182" s="8">
        <f t="shared" si="307"/>
        <v>52453</v>
      </c>
      <c r="AV182" s="9">
        <f t="shared" si="307"/>
        <v>11.383899999999999</v>
      </c>
      <c r="AW182" s="9">
        <f t="shared" si="307"/>
        <v>7.9641000000000002</v>
      </c>
      <c r="AX182" s="74">
        <f t="shared" si="307"/>
        <v>3.4197999999999995</v>
      </c>
    </row>
    <row r="183" spans="1:50" s="695" customFormat="1" ht="12.75" customHeight="1" x14ac:dyDescent="0.2">
      <c r="A183" s="720">
        <v>33</v>
      </c>
      <c r="B183" s="721">
        <v>4447</v>
      </c>
      <c r="C183" s="721">
        <v>600074749</v>
      </c>
      <c r="D183" s="721">
        <v>70695962</v>
      </c>
      <c r="E183" s="722" t="s">
        <v>213</v>
      </c>
      <c r="F183" s="721">
        <v>3113</v>
      </c>
      <c r="G183" s="531" t="s">
        <v>320</v>
      </c>
      <c r="H183" s="767" t="s">
        <v>283</v>
      </c>
      <c r="I183" s="495">
        <v>12068080</v>
      </c>
      <c r="J183" s="496">
        <v>8609065</v>
      </c>
      <c r="K183" s="496">
        <v>51770</v>
      </c>
      <c r="L183" s="496">
        <v>51770</v>
      </c>
      <c r="M183" s="496">
        <v>2909864</v>
      </c>
      <c r="N183" s="496">
        <v>172181</v>
      </c>
      <c r="O183" s="496">
        <v>325200</v>
      </c>
      <c r="P183" s="497">
        <v>15.548300000000001</v>
      </c>
      <c r="Q183" s="412">
        <v>11.39</v>
      </c>
      <c r="R183" s="764">
        <v>4.1583000000000006</v>
      </c>
      <c r="S183" s="530">
        <f t="shared" ref="S183:S185" si="308">W183*-1</f>
        <v>0</v>
      </c>
      <c r="T183" s="486">
        <v>0</v>
      </c>
      <c r="U183" s="486">
        <v>0</v>
      </c>
      <c r="V183" s="486">
        <f>SUM(S183:U183)</f>
        <v>0</v>
      </c>
      <c r="W183" s="486">
        <v>0</v>
      </c>
      <c r="X183" s="486">
        <v>0</v>
      </c>
      <c r="Y183" s="486">
        <f>SUM(W183:X183)</f>
        <v>0</v>
      </c>
      <c r="Z183" s="486">
        <f>V183+Y183</f>
        <v>0</v>
      </c>
      <c r="AA183" s="319">
        <f>ROUND((V183+W183)*33.8%,0)</f>
        <v>0</v>
      </c>
      <c r="AB183" s="178">
        <f>ROUND(V183*2%,0)</f>
        <v>0</v>
      </c>
      <c r="AC183" s="486">
        <v>0</v>
      </c>
      <c r="AD183" s="486">
        <v>0</v>
      </c>
      <c r="AE183" s="486">
        <f t="shared" si="224"/>
        <v>0</v>
      </c>
      <c r="AF183" s="486">
        <f t="shared" si="225"/>
        <v>0</v>
      </c>
      <c r="AG183" s="501">
        <v>0</v>
      </c>
      <c r="AH183" s="501">
        <v>0</v>
      </c>
      <c r="AI183" s="501">
        <v>0</v>
      </c>
      <c r="AJ183" s="501">
        <v>0</v>
      </c>
      <c r="AK183" s="501">
        <v>0</v>
      </c>
      <c r="AL183" s="501">
        <f t="shared" ref="AL183:AL185" si="309">AG183+AI183+AJ183</f>
        <v>0</v>
      </c>
      <c r="AM183" s="501">
        <f t="shared" ref="AM183:AM185" si="310">AH183+AK183</f>
        <v>0</v>
      </c>
      <c r="AN183" s="502">
        <f t="shared" si="226"/>
        <v>0</v>
      </c>
      <c r="AO183" s="499">
        <f>I183+AF183</f>
        <v>12068080</v>
      </c>
      <c r="AP183" s="486">
        <f>J183+V183</f>
        <v>8609065</v>
      </c>
      <c r="AQ183" s="486">
        <f>K183+Y183</f>
        <v>51770</v>
      </c>
      <c r="AR183" s="486">
        <f>L183</f>
        <v>51770</v>
      </c>
      <c r="AS183" s="486">
        <f t="shared" ref="AS183:AT185" si="311">M183+AA183</f>
        <v>2909864</v>
      </c>
      <c r="AT183" s="486">
        <f t="shared" si="311"/>
        <v>172181</v>
      </c>
      <c r="AU183" s="486">
        <f>O183+AE183</f>
        <v>325200</v>
      </c>
      <c r="AV183" s="501">
        <f>P183+AN183</f>
        <v>15.548300000000001</v>
      </c>
      <c r="AW183" s="501">
        <f t="shared" ref="AW183:AX185" si="312">Q183+AL183</f>
        <v>11.39</v>
      </c>
      <c r="AX183" s="502">
        <f t="shared" si="312"/>
        <v>4.1583000000000006</v>
      </c>
    </row>
    <row r="184" spans="1:50" s="695" customFormat="1" ht="12.75" customHeight="1" x14ac:dyDescent="0.2">
      <c r="A184" s="720">
        <v>33</v>
      </c>
      <c r="B184" s="721">
        <v>4447</v>
      </c>
      <c r="C184" s="721">
        <v>600074749</v>
      </c>
      <c r="D184" s="721">
        <v>70695962</v>
      </c>
      <c r="E184" s="722" t="s">
        <v>213</v>
      </c>
      <c r="F184" s="721">
        <v>3113</v>
      </c>
      <c r="G184" s="531" t="s">
        <v>318</v>
      </c>
      <c r="H184" s="767" t="s">
        <v>284</v>
      </c>
      <c r="I184" s="495">
        <v>1306743</v>
      </c>
      <c r="J184" s="496">
        <v>962256</v>
      </c>
      <c r="K184" s="475">
        <v>0</v>
      </c>
      <c r="L184" s="475">
        <v>0</v>
      </c>
      <c r="M184" s="319">
        <v>325242</v>
      </c>
      <c r="N184" s="319">
        <v>19245</v>
      </c>
      <c r="O184" s="496">
        <v>0</v>
      </c>
      <c r="P184" s="497">
        <v>2.82</v>
      </c>
      <c r="Q184" s="412">
        <v>2.82</v>
      </c>
      <c r="R184" s="764">
        <v>0</v>
      </c>
      <c r="S184" s="530">
        <f t="shared" si="308"/>
        <v>0</v>
      </c>
      <c r="T184" s="486">
        <v>0</v>
      </c>
      <c r="U184" s="486">
        <v>0</v>
      </c>
      <c r="V184" s="486">
        <f>SUM(S184:U184)</f>
        <v>0</v>
      </c>
      <c r="W184" s="486">
        <v>0</v>
      </c>
      <c r="X184" s="486">
        <v>0</v>
      </c>
      <c r="Y184" s="486">
        <f>SUM(W184:X184)</f>
        <v>0</v>
      </c>
      <c r="Z184" s="486">
        <f>V184+Y184</f>
        <v>0</v>
      </c>
      <c r="AA184" s="319">
        <f>ROUND((V184+W184)*33.8%,0)</f>
        <v>0</v>
      </c>
      <c r="AB184" s="178">
        <f>ROUND(V184*2%,0)</f>
        <v>0</v>
      </c>
      <c r="AC184" s="486">
        <v>0</v>
      </c>
      <c r="AD184" s="486">
        <v>0</v>
      </c>
      <c r="AE184" s="486">
        <f t="shared" si="224"/>
        <v>0</v>
      </c>
      <c r="AF184" s="486">
        <f t="shared" si="225"/>
        <v>0</v>
      </c>
      <c r="AG184" s="501">
        <v>0</v>
      </c>
      <c r="AH184" s="501">
        <v>0</v>
      </c>
      <c r="AI184" s="501">
        <v>0</v>
      </c>
      <c r="AJ184" s="501">
        <v>0</v>
      </c>
      <c r="AK184" s="501">
        <v>0</v>
      </c>
      <c r="AL184" s="501">
        <f t="shared" si="309"/>
        <v>0</v>
      </c>
      <c r="AM184" s="501">
        <f t="shared" si="310"/>
        <v>0</v>
      </c>
      <c r="AN184" s="502">
        <f t="shared" si="226"/>
        <v>0</v>
      </c>
      <c r="AO184" s="499">
        <f>I184+AF184</f>
        <v>1306743</v>
      </c>
      <c r="AP184" s="486">
        <f>J184+V184</f>
        <v>962256</v>
      </c>
      <c r="AQ184" s="486">
        <f>K184+Y184</f>
        <v>0</v>
      </c>
      <c r="AR184" s="486">
        <f>L184</f>
        <v>0</v>
      </c>
      <c r="AS184" s="486">
        <f t="shared" si="311"/>
        <v>325242</v>
      </c>
      <c r="AT184" s="486">
        <f t="shared" si="311"/>
        <v>19245</v>
      </c>
      <c r="AU184" s="486">
        <f>O184+AE184</f>
        <v>0</v>
      </c>
      <c r="AV184" s="501">
        <f>P184+AN184</f>
        <v>2.82</v>
      </c>
      <c r="AW184" s="501">
        <f t="shared" si="312"/>
        <v>2.82</v>
      </c>
      <c r="AX184" s="502">
        <f t="shared" si="312"/>
        <v>0</v>
      </c>
    </row>
    <row r="185" spans="1:50" s="695" customFormat="1" ht="12.75" customHeight="1" x14ac:dyDescent="0.2">
      <c r="A185" s="720">
        <v>33</v>
      </c>
      <c r="B185" s="721">
        <v>4447</v>
      </c>
      <c r="C185" s="721">
        <v>600074749</v>
      </c>
      <c r="D185" s="721">
        <v>70695962</v>
      </c>
      <c r="E185" s="722" t="s">
        <v>213</v>
      </c>
      <c r="F185" s="721">
        <v>3141</v>
      </c>
      <c r="G185" s="531" t="s">
        <v>321</v>
      </c>
      <c r="H185" s="767" t="s">
        <v>284</v>
      </c>
      <c r="I185" s="495">
        <v>955266</v>
      </c>
      <c r="J185" s="496">
        <v>698226</v>
      </c>
      <c r="K185" s="475">
        <v>0</v>
      </c>
      <c r="L185" s="475">
        <v>0</v>
      </c>
      <c r="M185" s="319">
        <v>236000</v>
      </c>
      <c r="N185" s="319">
        <v>13964</v>
      </c>
      <c r="O185" s="496">
        <v>7076</v>
      </c>
      <c r="P185" s="497">
        <v>2.37</v>
      </c>
      <c r="Q185" s="412">
        <v>0</v>
      </c>
      <c r="R185" s="764">
        <v>2.37</v>
      </c>
      <c r="S185" s="530">
        <f t="shared" si="308"/>
        <v>0</v>
      </c>
      <c r="T185" s="486">
        <v>0</v>
      </c>
      <c r="U185" s="486">
        <v>0</v>
      </c>
      <c r="V185" s="486">
        <f>SUM(S185:U185)</f>
        <v>0</v>
      </c>
      <c r="W185" s="486">
        <v>0</v>
      </c>
      <c r="X185" s="486">
        <v>0</v>
      </c>
      <c r="Y185" s="486">
        <f>SUM(W185:X185)</f>
        <v>0</v>
      </c>
      <c r="Z185" s="486">
        <f>V185+Y185</f>
        <v>0</v>
      </c>
      <c r="AA185" s="319">
        <f>ROUND((V185+W185)*33.8%,0)</f>
        <v>0</v>
      </c>
      <c r="AB185" s="178">
        <f>ROUND(V185*2%,0)</f>
        <v>0</v>
      </c>
      <c r="AC185" s="486">
        <v>0</v>
      </c>
      <c r="AD185" s="486">
        <v>0</v>
      </c>
      <c r="AE185" s="486">
        <f t="shared" si="224"/>
        <v>0</v>
      </c>
      <c r="AF185" s="486">
        <f t="shared" si="225"/>
        <v>0</v>
      </c>
      <c r="AG185" s="501">
        <v>0</v>
      </c>
      <c r="AH185" s="501">
        <v>0</v>
      </c>
      <c r="AI185" s="501">
        <v>0</v>
      </c>
      <c r="AJ185" s="501">
        <v>0</v>
      </c>
      <c r="AK185" s="501">
        <v>0</v>
      </c>
      <c r="AL185" s="501">
        <f t="shared" si="309"/>
        <v>0</v>
      </c>
      <c r="AM185" s="501">
        <f t="shared" si="310"/>
        <v>0</v>
      </c>
      <c r="AN185" s="502">
        <f t="shared" si="226"/>
        <v>0</v>
      </c>
      <c r="AO185" s="499">
        <f>I185+AF185</f>
        <v>955266</v>
      </c>
      <c r="AP185" s="486">
        <f>J185+V185</f>
        <v>698226</v>
      </c>
      <c r="AQ185" s="486">
        <f>K185+Y185</f>
        <v>0</v>
      </c>
      <c r="AR185" s="486">
        <f>L185</f>
        <v>0</v>
      </c>
      <c r="AS185" s="486">
        <f t="shared" si="311"/>
        <v>236000</v>
      </c>
      <c r="AT185" s="486">
        <f t="shared" si="311"/>
        <v>13964</v>
      </c>
      <c r="AU185" s="486">
        <f>O185+AE185</f>
        <v>7076</v>
      </c>
      <c r="AV185" s="501">
        <f>P185+AN185</f>
        <v>2.37</v>
      </c>
      <c r="AW185" s="501">
        <f t="shared" si="312"/>
        <v>0</v>
      </c>
      <c r="AX185" s="502">
        <f t="shared" si="312"/>
        <v>2.37</v>
      </c>
    </row>
    <row r="186" spans="1:50" s="695" customFormat="1" ht="12.75" customHeight="1" x14ac:dyDescent="0.2">
      <c r="A186" s="282">
        <v>33</v>
      </c>
      <c r="B186" s="27">
        <v>4447</v>
      </c>
      <c r="C186" s="27">
        <v>600074749</v>
      </c>
      <c r="D186" s="27">
        <v>70695962</v>
      </c>
      <c r="E186" s="292" t="s">
        <v>214</v>
      </c>
      <c r="F186" s="27"/>
      <c r="G186" s="281"/>
      <c r="H186" s="377"/>
      <c r="I186" s="5">
        <v>14330089</v>
      </c>
      <c r="J186" s="8">
        <v>10269547</v>
      </c>
      <c r="K186" s="8">
        <v>51770</v>
      </c>
      <c r="L186" s="8">
        <v>51770</v>
      </c>
      <c r="M186" s="8">
        <v>3471106</v>
      </c>
      <c r="N186" s="8">
        <v>205390</v>
      </c>
      <c r="O186" s="8">
        <v>332276</v>
      </c>
      <c r="P186" s="9">
        <v>20.738300000000002</v>
      </c>
      <c r="Q186" s="9">
        <v>14.21</v>
      </c>
      <c r="R186" s="33">
        <v>6.5283000000000007</v>
      </c>
      <c r="S186" s="5">
        <f t="shared" ref="S186:AX186" si="313">SUM(S183:S185)</f>
        <v>0</v>
      </c>
      <c r="T186" s="8">
        <f t="shared" si="313"/>
        <v>0</v>
      </c>
      <c r="U186" s="8">
        <f t="shared" si="313"/>
        <v>0</v>
      </c>
      <c r="V186" s="8">
        <f t="shared" si="313"/>
        <v>0</v>
      </c>
      <c r="W186" s="8">
        <f t="shared" si="313"/>
        <v>0</v>
      </c>
      <c r="X186" s="8">
        <f t="shared" si="313"/>
        <v>0</v>
      </c>
      <c r="Y186" s="8">
        <f t="shared" si="313"/>
        <v>0</v>
      </c>
      <c r="Z186" s="8">
        <f t="shared" si="313"/>
        <v>0</v>
      </c>
      <c r="AA186" s="8">
        <f t="shared" si="313"/>
        <v>0</v>
      </c>
      <c r="AB186" s="8">
        <f t="shared" si="313"/>
        <v>0</v>
      </c>
      <c r="AC186" s="8">
        <f t="shared" si="313"/>
        <v>0</v>
      </c>
      <c r="AD186" s="8">
        <f t="shared" si="313"/>
        <v>0</v>
      </c>
      <c r="AE186" s="8">
        <f t="shared" si="313"/>
        <v>0</v>
      </c>
      <c r="AF186" s="8">
        <f t="shared" si="313"/>
        <v>0</v>
      </c>
      <c r="AG186" s="9">
        <f t="shared" si="313"/>
        <v>0</v>
      </c>
      <c r="AH186" s="9">
        <f t="shared" si="313"/>
        <v>0</v>
      </c>
      <c r="AI186" s="9">
        <f t="shared" si="313"/>
        <v>0</v>
      </c>
      <c r="AJ186" s="9">
        <f t="shared" si="313"/>
        <v>0</v>
      </c>
      <c r="AK186" s="9">
        <f t="shared" si="313"/>
        <v>0</v>
      </c>
      <c r="AL186" s="9">
        <f t="shared" si="313"/>
        <v>0</v>
      </c>
      <c r="AM186" s="9">
        <f t="shared" si="313"/>
        <v>0</v>
      </c>
      <c r="AN186" s="74">
        <f t="shared" si="313"/>
        <v>0</v>
      </c>
      <c r="AO186" s="270">
        <f t="shared" si="313"/>
        <v>14330089</v>
      </c>
      <c r="AP186" s="8">
        <f t="shared" si="313"/>
        <v>10269547</v>
      </c>
      <c r="AQ186" s="38">
        <f t="shared" si="313"/>
        <v>51770</v>
      </c>
      <c r="AR186" s="38">
        <f t="shared" si="313"/>
        <v>51770</v>
      </c>
      <c r="AS186" s="8">
        <f t="shared" si="313"/>
        <v>3471106</v>
      </c>
      <c r="AT186" s="8">
        <f t="shared" si="313"/>
        <v>205390</v>
      </c>
      <c r="AU186" s="8">
        <f t="shared" si="313"/>
        <v>332276</v>
      </c>
      <c r="AV186" s="9">
        <f t="shared" si="313"/>
        <v>20.738300000000002</v>
      </c>
      <c r="AW186" s="9">
        <f t="shared" si="313"/>
        <v>14.21</v>
      </c>
      <c r="AX186" s="74">
        <f t="shared" si="313"/>
        <v>6.5283000000000007</v>
      </c>
    </row>
    <row r="187" spans="1:50" s="695" customFormat="1" ht="12.75" customHeight="1" x14ac:dyDescent="0.2">
      <c r="A187" s="720">
        <v>34</v>
      </c>
      <c r="B187" s="721">
        <v>4449</v>
      </c>
      <c r="C187" s="721">
        <v>650037090</v>
      </c>
      <c r="D187" s="721">
        <v>72744171</v>
      </c>
      <c r="E187" s="722" t="s">
        <v>215</v>
      </c>
      <c r="F187" s="721">
        <v>3111</v>
      </c>
      <c r="G187" s="531" t="s">
        <v>317</v>
      </c>
      <c r="H187" s="767" t="s">
        <v>283</v>
      </c>
      <c r="I187" s="495">
        <v>2208626</v>
      </c>
      <c r="J187" s="496">
        <v>1910196</v>
      </c>
      <c r="K187" s="496">
        <v>0</v>
      </c>
      <c r="L187" s="496">
        <v>0</v>
      </c>
      <c r="M187" s="496">
        <v>261931</v>
      </c>
      <c r="N187" s="496">
        <v>15499</v>
      </c>
      <c r="O187" s="496">
        <v>21000</v>
      </c>
      <c r="P187" s="497">
        <v>4.9218000000000002</v>
      </c>
      <c r="Q187" s="412">
        <v>4</v>
      </c>
      <c r="R187" s="764">
        <v>0.92179999999999995</v>
      </c>
      <c r="S187" s="530">
        <f t="shared" ref="S187:S192" si="314">W187*-1</f>
        <v>0</v>
      </c>
      <c r="T187" s="486">
        <v>0</v>
      </c>
      <c r="U187" s="486">
        <v>0</v>
      </c>
      <c r="V187" s="486">
        <f t="shared" ref="V187:V192" si="315">SUM(S187:U187)</f>
        <v>0</v>
      </c>
      <c r="W187" s="486">
        <v>0</v>
      </c>
      <c r="X187" s="486">
        <v>0</v>
      </c>
      <c r="Y187" s="486">
        <f t="shared" ref="Y187:Y192" si="316">SUM(W187:X187)</f>
        <v>0</v>
      </c>
      <c r="Z187" s="486">
        <f t="shared" ref="Z187:Z192" si="317">V187+Y187</f>
        <v>0</v>
      </c>
      <c r="AA187" s="319">
        <f t="shared" ref="AA187:AA192" si="318">ROUND((V187+W187)*33.8%,0)</f>
        <v>0</v>
      </c>
      <c r="AB187" s="178">
        <f t="shared" ref="AB187:AB192" si="319">ROUND(V187*2%,0)</f>
        <v>0</v>
      </c>
      <c r="AC187" s="486">
        <v>0</v>
      </c>
      <c r="AD187" s="486">
        <v>0</v>
      </c>
      <c r="AE187" s="486">
        <f t="shared" si="224"/>
        <v>0</v>
      </c>
      <c r="AF187" s="486">
        <f t="shared" si="225"/>
        <v>0</v>
      </c>
      <c r="AG187" s="501">
        <v>0</v>
      </c>
      <c r="AH187" s="501">
        <v>0</v>
      </c>
      <c r="AI187" s="501">
        <v>0</v>
      </c>
      <c r="AJ187" s="501">
        <v>0</v>
      </c>
      <c r="AK187" s="501">
        <v>0</v>
      </c>
      <c r="AL187" s="501">
        <f t="shared" ref="AL187:AL192" si="320">AG187+AI187+AJ187</f>
        <v>0</v>
      </c>
      <c r="AM187" s="501">
        <f t="shared" ref="AM187:AM192" si="321">AH187+AK187</f>
        <v>0</v>
      </c>
      <c r="AN187" s="502">
        <f t="shared" si="226"/>
        <v>0</v>
      </c>
      <c r="AO187" s="499">
        <f t="shared" ref="AO187:AO192" si="322">I187+AF187</f>
        <v>2208626</v>
      </c>
      <c r="AP187" s="486">
        <f t="shared" ref="AP187:AP192" si="323">J187+V187</f>
        <v>1910196</v>
      </c>
      <c r="AQ187" s="486">
        <f t="shared" ref="AQ187:AQ192" si="324">K187+Y187</f>
        <v>0</v>
      </c>
      <c r="AR187" s="486">
        <f t="shared" ref="AR187:AR192" si="325">L187</f>
        <v>0</v>
      </c>
      <c r="AS187" s="486">
        <f t="shared" ref="AS187:AT192" si="326">M187+AA187</f>
        <v>261931</v>
      </c>
      <c r="AT187" s="486">
        <f t="shared" si="326"/>
        <v>15499</v>
      </c>
      <c r="AU187" s="486">
        <f t="shared" ref="AU187:AU192" si="327">O187+AE187</f>
        <v>21000</v>
      </c>
      <c r="AV187" s="501">
        <f t="shared" ref="AV187:AV192" si="328">P187+AN187</f>
        <v>4.9218000000000002</v>
      </c>
      <c r="AW187" s="501">
        <f t="shared" ref="AW187:AX192" si="329">Q187+AL187</f>
        <v>4</v>
      </c>
      <c r="AX187" s="502">
        <f t="shared" si="329"/>
        <v>0.92179999999999995</v>
      </c>
    </row>
    <row r="188" spans="1:50" s="695" customFormat="1" ht="12.75" customHeight="1" x14ac:dyDescent="0.2">
      <c r="A188" s="720">
        <v>34</v>
      </c>
      <c r="B188" s="721">
        <v>4449</v>
      </c>
      <c r="C188" s="721">
        <v>650037090</v>
      </c>
      <c r="D188" s="721">
        <v>72744171</v>
      </c>
      <c r="E188" s="722" t="s">
        <v>215</v>
      </c>
      <c r="F188" s="721">
        <v>3113</v>
      </c>
      <c r="G188" s="531" t="s">
        <v>320</v>
      </c>
      <c r="H188" s="767" t="s">
        <v>283</v>
      </c>
      <c r="I188" s="495">
        <v>12070356</v>
      </c>
      <c r="J188" s="496">
        <v>8271056</v>
      </c>
      <c r="K188" s="496">
        <v>105720</v>
      </c>
      <c r="L188" s="496">
        <v>20720</v>
      </c>
      <c r="M188" s="496">
        <v>3194648</v>
      </c>
      <c r="N188" s="496">
        <v>187332</v>
      </c>
      <c r="O188" s="496">
        <v>311600</v>
      </c>
      <c r="P188" s="497">
        <v>16.895300000000002</v>
      </c>
      <c r="Q188" s="412">
        <v>12.168100000000001</v>
      </c>
      <c r="R188" s="764">
        <v>4.7272000000000016</v>
      </c>
      <c r="S188" s="530">
        <f t="shared" si="314"/>
        <v>0</v>
      </c>
      <c r="T188" s="486">
        <v>0</v>
      </c>
      <c r="U188" s="486">
        <v>0</v>
      </c>
      <c r="V188" s="486">
        <f t="shared" si="315"/>
        <v>0</v>
      </c>
      <c r="W188" s="486">
        <v>0</v>
      </c>
      <c r="X188" s="486">
        <v>0</v>
      </c>
      <c r="Y188" s="486">
        <f t="shared" si="316"/>
        <v>0</v>
      </c>
      <c r="Z188" s="486">
        <f t="shared" si="317"/>
        <v>0</v>
      </c>
      <c r="AA188" s="319">
        <f t="shared" si="318"/>
        <v>0</v>
      </c>
      <c r="AB188" s="178">
        <f t="shared" si="319"/>
        <v>0</v>
      </c>
      <c r="AC188" s="486">
        <v>0</v>
      </c>
      <c r="AD188" s="486">
        <v>0</v>
      </c>
      <c r="AE188" s="486">
        <f t="shared" si="224"/>
        <v>0</v>
      </c>
      <c r="AF188" s="486">
        <f t="shared" si="225"/>
        <v>0</v>
      </c>
      <c r="AG188" s="501">
        <v>0</v>
      </c>
      <c r="AH188" s="501">
        <v>0</v>
      </c>
      <c r="AI188" s="501">
        <v>0</v>
      </c>
      <c r="AJ188" s="501">
        <v>0</v>
      </c>
      <c r="AK188" s="501">
        <v>0</v>
      </c>
      <c r="AL188" s="501">
        <f t="shared" si="320"/>
        <v>0</v>
      </c>
      <c r="AM188" s="501">
        <f t="shared" si="321"/>
        <v>0</v>
      </c>
      <c r="AN188" s="502">
        <f t="shared" si="226"/>
        <v>0</v>
      </c>
      <c r="AO188" s="499">
        <f t="shared" si="322"/>
        <v>12070356</v>
      </c>
      <c r="AP188" s="486">
        <f t="shared" si="323"/>
        <v>8271056</v>
      </c>
      <c r="AQ188" s="486">
        <f t="shared" si="324"/>
        <v>105720</v>
      </c>
      <c r="AR188" s="486">
        <f t="shared" si="325"/>
        <v>20720</v>
      </c>
      <c r="AS188" s="486">
        <f t="shared" si="326"/>
        <v>3194648</v>
      </c>
      <c r="AT188" s="486">
        <f t="shared" si="326"/>
        <v>187332</v>
      </c>
      <c r="AU188" s="486">
        <f t="shared" si="327"/>
        <v>311600</v>
      </c>
      <c r="AV188" s="501">
        <f t="shared" si="328"/>
        <v>16.895300000000002</v>
      </c>
      <c r="AW188" s="501">
        <f t="shared" si="329"/>
        <v>12.168100000000001</v>
      </c>
      <c r="AX188" s="502">
        <f t="shared" si="329"/>
        <v>4.7272000000000016</v>
      </c>
    </row>
    <row r="189" spans="1:50" s="695" customFormat="1" ht="12.75" customHeight="1" x14ac:dyDescent="0.2">
      <c r="A189" s="720">
        <v>34</v>
      </c>
      <c r="B189" s="721">
        <v>4449</v>
      </c>
      <c r="C189" s="721">
        <v>650037090</v>
      </c>
      <c r="D189" s="721">
        <v>72744171</v>
      </c>
      <c r="E189" s="722" t="s">
        <v>215</v>
      </c>
      <c r="F189" s="721">
        <v>3113</v>
      </c>
      <c r="G189" s="531" t="s">
        <v>318</v>
      </c>
      <c r="H189" s="767" t="s">
        <v>284</v>
      </c>
      <c r="I189" s="495">
        <v>762848</v>
      </c>
      <c r="J189" s="496">
        <v>561007</v>
      </c>
      <c r="K189" s="475">
        <v>0</v>
      </c>
      <c r="L189" s="475">
        <v>0</v>
      </c>
      <c r="M189" s="319">
        <v>189621</v>
      </c>
      <c r="N189" s="319">
        <v>11220</v>
      </c>
      <c r="O189" s="496">
        <v>1000</v>
      </c>
      <c r="P189" s="497">
        <v>1.64</v>
      </c>
      <c r="Q189" s="412">
        <v>1.64</v>
      </c>
      <c r="R189" s="764">
        <v>0</v>
      </c>
      <c r="S189" s="530">
        <f t="shared" si="314"/>
        <v>0</v>
      </c>
      <c r="T189" s="486">
        <v>0</v>
      </c>
      <c r="U189" s="486">
        <v>0</v>
      </c>
      <c r="V189" s="486">
        <f t="shared" si="315"/>
        <v>0</v>
      </c>
      <c r="W189" s="486">
        <v>0</v>
      </c>
      <c r="X189" s="486">
        <v>0</v>
      </c>
      <c r="Y189" s="486">
        <f t="shared" si="316"/>
        <v>0</v>
      </c>
      <c r="Z189" s="486">
        <f t="shared" si="317"/>
        <v>0</v>
      </c>
      <c r="AA189" s="319">
        <f t="shared" si="318"/>
        <v>0</v>
      </c>
      <c r="AB189" s="178">
        <f t="shared" si="319"/>
        <v>0</v>
      </c>
      <c r="AC189" s="486">
        <v>0</v>
      </c>
      <c r="AD189" s="486">
        <v>0</v>
      </c>
      <c r="AE189" s="486">
        <f t="shared" si="224"/>
        <v>0</v>
      </c>
      <c r="AF189" s="486">
        <f t="shared" si="225"/>
        <v>0</v>
      </c>
      <c r="AG189" s="501">
        <v>0</v>
      </c>
      <c r="AH189" s="501">
        <v>0</v>
      </c>
      <c r="AI189" s="501">
        <v>0</v>
      </c>
      <c r="AJ189" s="501">
        <v>0</v>
      </c>
      <c r="AK189" s="501">
        <v>0</v>
      </c>
      <c r="AL189" s="501">
        <f t="shared" si="320"/>
        <v>0</v>
      </c>
      <c r="AM189" s="501">
        <f t="shared" si="321"/>
        <v>0</v>
      </c>
      <c r="AN189" s="502">
        <f t="shared" si="226"/>
        <v>0</v>
      </c>
      <c r="AO189" s="499">
        <f t="shared" si="322"/>
        <v>762848</v>
      </c>
      <c r="AP189" s="486">
        <f t="shared" si="323"/>
        <v>561007</v>
      </c>
      <c r="AQ189" s="486">
        <f t="shared" si="324"/>
        <v>0</v>
      </c>
      <c r="AR189" s="486">
        <f t="shared" si="325"/>
        <v>0</v>
      </c>
      <c r="AS189" s="486">
        <f t="shared" si="326"/>
        <v>189621</v>
      </c>
      <c r="AT189" s="486">
        <f t="shared" si="326"/>
        <v>11220</v>
      </c>
      <c r="AU189" s="486">
        <f t="shared" si="327"/>
        <v>1000</v>
      </c>
      <c r="AV189" s="501">
        <f t="shared" si="328"/>
        <v>1.64</v>
      </c>
      <c r="AW189" s="501">
        <f t="shared" si="329"/>
        <v>1.64</v>
      </c>
      <c r="AX189" s="502">
        <f t="shared" si="329"/>
        <v>0</v>
      </c>
    </row>
    <row r="190" spans="1:50" s="695" customFormat="1" ht="12.75" customHeight="1" x14ac:dyDescent="0.2">
      <c r="A190" s="720">
        <v>34</v>
      </c>
      <c r="B190" s="721">
        <v>4449</v>
      </c>
      <c r="C190" s="721">
        <v>650037090</v>
      </c>
      <c r="D190" s="721">
        <v>72744171</v>
      </c>
      <c r="E190" s="722" t="s">
        <v>215</v>
      </c>
      <c r="F190" s="721">
        <v>3141</v>
      </c>
      <c r="G190" s="531" t="s">
        <v>321</v>
      </c>
      <c r="H190" s="767" t="s">
        <v>284</v>
      </c>
      <c r="I190" s="495">
        <v>1053780</v>
      </c>
      <c r="J190" s="496">
        <v>771666</v>
      </c>
      <c r="K190" s="475">
        <v>0</v>
      </c>
      <c r="L190" s="475">
        <v>0</v>
      </c>
      <c r="M190" s="319">
        <v>260823</v>
      </c>
      <c r="N190" s="319">
        <v>15433</v>
      </c>
      <c r="O190" s="496">
        <v>5858</v>
      </c>
      <c r="P190" s="497">
        <v>2.6300000000000003</v>
      </c>
      <c r="Q190" s="412">
        <v>0</v>
      </c>
      <c r="R190" s="764">
        <v>2.6300000000000003</v>
      </c>
      <c r="S190" s="530">
        <f t="shared" si="314"/>
        <v>0</v>
      </c>
      <c r="T190" s="486">
        <v>0</v>
      </c>
      <c r="U190" s="486">
        <v>0</v>
      </c>
      <c r="V190" s="486">
        <f t="shared" si="315"/>
        <v>0</v>
      </c>
      <c r="W190" s="486">
        <v>0</v>
      </c>
      <c r="X190" s="486">
        <v>0</v>
      </c>
      <c r="Y190" s="486">
        <f t="shared" si="316"/>
        <v>0</v>
      </c>
      <c r="Z190" s="486">
        <f t="shared" si="317"/>
        <v>0</v>
      </c>
      <c r="AA190" s="319">
        <f t="shared" si="318"/>
        <v>0</v>
      </c>
      <c r="AB190" s="178">
        <f t="shared" si="319"/>
        <v>0</v>
      </c>
      <c r="AC190" s="486">
        <v>0</v>
      </c>
      <c r="AD190" s="486">
        <v>0</v>
      </c>
      <c r="AE190" s="486">
        <f t="shared" si="224"/>
        <v>0</v>
      </c>
      <c r="AF190" s="486">
        <f t="shared" si="225"/>
        <v>0</v>
      </c>
      <c r="AG190" s="501">
        <v>0</v>
      </c>
      <c r="AH190" s="501">
        <v>0</v>
      </c>
      <c r="AI190" s="501">
        <v>0</v>
      </c>
      <c r="AJ190" s="501">
        <v>0</v>
      </c>
      <c r="AK190" s="501">
        <v>0</v>
      </c>
      <c r="AL190" s="501">
        <f t="shared" si="320"/>
        <v>0</v>
      </c>
      <c r="AM190" s="501">
        <f t="shared" si="321"/>
        <v>0</v>
      </c>
      <c r="AN190" s="502">
        <f t="shared" si="226"/>
        <v>0</v>
      </c>
      <c r="AO190" s="499">
        <f t="shared" si="322"/>
        <v>1053780</v>
      </c>
      <c r="AP190" s="486">
        <f t="shared" si="323"/>
        <v>771666</v>
      </c>
      <c r="AQ190" s="486">
        <f t="shared" si="324"/>
        <v>0</v>
      </c>
      <c r="AR190" s="486">
        <f t="shared" si="325"/>
        <v>0</v>
      </c>
      <c r="AS190" s="486">
        <f t="shared" si="326"/>
        <v>260823</v>
      </c>
      <c r="AT190" s="486">
        <f t="shared" si="326"/>
        <v>15433</v>
      </c>
      <c r="AU190" s="486">
        <f t="shared" si="327"/>
        <v>5858</v>
      </c>
      <c r="AV190" s="501">
        <f t="shared" si="328"/>
        <v>2.6300000000000003</v>
      </c>
      <c r="AW190" s="501">
        <f t="shared" si="329"/>
        <v>0</v>
      </c>
      <c r="AX190" s="502">
        <f t="shared" si="329"/>
        <v>2.6300000000000003</v>
      </c>
    </row>
    <row r="191" spans="1:50" s="695" customFormat="1" ht="12.75" customHeight="1" x14ac:dyDescent="0.2">
      <c r="A191" s="720">
        <v>34</v>
      </c>
      <c r="B191" s="721">
        <v>4449</v>
      </c>
      <c r="C191" s="721">
        <v>650037090</v>
      </c>
      <c r="D191" s="721">
        <v>72744171</v>
      </c>
      <c r="E191" s="722" t="s">
        <v>215</v>
      </c>
      <c r="F191" s="721">
        <v>3143</v>
      </c>
      <c r="G191" s="531" t="s">
        <v>634</v>
      </c>
      <c r="H191" s="701" t="s">
        <v>283</v>
      </c>
      <c r="I191" s="495">
        <v>846195</v>
      </c>
      <c r="J191" s="496">
        <v>612656</v>
      </c>
      <c r="K191" s="496">
        <v>0</v>
      </c>
      <c r="L191" s="496">
        <v>0</v>
      </c>
      <c r="M191" s="496">
        <v>220492</v>
      </c>
      <c r="N191" s="496">
        <v>13047</v>
      </c>
      <c r="O191" s="496">
        <v>0</v>
      </c>
      <c r="P191" s="497">
        <v>1.4</v>
      </c>
      <c r="Q191" s="412">
        <v>1.4</v>
      </c>
      <c r="R191" s="764">
        <v>0</v>
      </c>
      <c r="S191" s="530">
        <f t="shared" si="314"/>
        <v>0</v>
      </c>
      <c r="T191" s="486">
        <v>0</v>
      </c>
      <c r="U191" s="486">
        <v>0</v>
      </c>
      <c r="V191" s="486">
        <f t="shared" si="315"/>
        <v>0</v>
      </c>
      <c r="W191" s="486">
        <v>0</v>
      </c>
      <c r="X191" s="486">
        <v>0</v>
      </c>
      <c r="Y191" s="486">
        <f t="shared" si="316"/>
        <v>0</v>
      </c>
      <c r="Z191" s="486">
        <f t="shared" si="317"/>
        <v>0</v>
      </c>
      <c r="AA191" s="319">
        <f t="shared" si="318"/>
        <v>0</v>
      </c>
      <c r="AB191" s="178">
        <f t="shared" si="319"/>
        <v>0</v>
      </c>
      <c r="AC191" s="486">
        <v>0</v>
      </c>
      <c r="AD191" s="486">
        <v>0</v>
      </c>
      <c r="AE191" s="486">
        <f t="shared" si="224"/>
        <v>0</v>
      </c>
      <c r="AF191" s="486">
        <f t="shared" si="225"/>
        <v>0</v>
      </c>
      <c r="AG191" s="501">
        <v>0</v>
      </c>
      <c r="AH191" s="501">
        <v>0</v>
      </c>
      <c r="AI191" s="501">
        <v>0</v>
      </c>
      <c r="AJ191" s="501">
        <v>0</v>
      </c>
      <c r="AK191" s="501">
        <v>0</v>
      </c>
      <c r="AL191" s="501">
        <f t="shared" si="320"/>
        <v>0</v>
      </c>
      <c r="AM191" s="501">
        <f t="shared" si="321"/>
        <v>0</v>
      </c>
      <c r="AN191" s="502">
        <f t="shared" si="226"/>
        <v>0</v>
      </c>
      <c r="AO191" s="499">
        <f t="shared" si="322"/>
        <v>846195</v>
      </c>
      <c r="AP191" s="486">
        <f t="shared" si="323"/>
        <v>612656</v>
      </c>
      <c r="AQ191" s="486">
        <f t="shared" si="324"/>
        <v>0</v>
      </c>
      <c r="AR191" s="486">
        <f t="shared" si="325"/>
        <v>0</v>
      </c>
      <c r="AS191" s="486">
        <f t="shared" si="326"/>
        <v>220492</v>
      </c>
      <c r="AT191" s="486">
        <f t="shared" si="326"/>
        <v>13047</v>
      </c>
      <c r="AU191" s="486">
        <f t="shared" si="327"/>
        <v>0</v>
      </c>
      <c r="AV191" s="501">
        <f t="shared" si="328"/>
        <v>1.4</v>
      </c>
      <c r="AW191" s="501">
        <f t="shared" si="329"/>
        <v>1.4</v>
      </c>
      <c r="AX191" s="502">
        <f t="shared" si="329"/>
        <v>0</v>
      </c>
    </row>
    <row r="192" spans="1:50" s="695" customFormat="1" ht="12.75" customHeight="1" x14ac:dyDescent="0.2">
      <c r="A192" s="720">
        <v>34</v>
      </c>
      <c r="B192" s="721">
        <v>4449</v>
      </c>
      <c r="C192" s="721">
        <v>650037090</v>
      </c>
      <c r="D192" s="721">
        <v>72744171</v>
      </c>
      <c r="E192" s="722" t="s">
        <v>215</v>
      </c>
      <c r="F192" s="721">
        <v>3143</v>
      </c>
      <c r="G192" s="531" t="s">
        <v>635</v>
      </c>
      <c r="H192" s="701" t="s">
        <v>284</v>
      </c>
      <c r="I192" s="495">
        <v>152843</v>
      </c>
      <c r="J192" s="496">
        <v>111555</v>
      </c>
      <c r="K192" s="475">
        <v>0</v>
      </c>
      <c r="L192" s="475">
        <v>0</v>
      </c>
      <c r="M192" s="319">
        <v>37706</v>
      </c>
      <c r="N192" s="319">
        <v>2232</v>
      </c>
      <c r="O192" s="496">
        <v>1350</v>
      </c>
      <c r="P192" s="497">
        <v>0.61</v>
      </c>
      <c r="Q192" s="412">
        <v>0.52</v>
      </c>
      <c r="R192" s="764">
        <v>0.09</v>
      </c>
      <c r="S192" s="530">
        <f t="shared" si="314"/>
        <v>0</v>
      </c>
      <c r="T192" s="486">
        <v>0</v>
      </c>
      <c r="U192" s="486">
        <v>0</v>
      </c>
      <c r="V192" s="486">
        <f t="shared" si="315"/>
        <v>0</v>
      </c>
      <c r="W192" s="486">
        <v>0</v>
      </c>
      <c r="X192" s="486">
        <v>0</v>
      </c>
      <c r="Y192" s="486">
        <f t="shared" si="316"/>
        <v>0</v>
      </c>
      <c r="Z192" s="486">
        <f t="shared" si="317"/>
        <v>0</v>
      </c>
      <c r="AA192" s="319">
        <f t="shared" si="318"/>
        <v>0</v>
      </c>
      <c r="AB192" s="178">
        <f t="shared" si="319"/>
        <v>0</v>
      </c>
      <c r="AC192" s="486">
        <v>0</v>
      </c>
      <c r="AD192" s="486">
        <v>0</v>
      </c>
      <c r="AE192" s="486">
        <f t="shared" si="224"/>
        <v>0</v>
      </c>
      <c r="AF192" s="486">
        <f t="shared" si="225"/>
        <v>0</v>
      </c>
      <c r="AG192" s="501">
        <v>0</v>
      </c>
      <c r="AH192" s="501">
        <v>0</v>
      </c>
      <c r="AI192" s="501">
        <v>0</v>
      </c>
      <c r="AJ192" s="501">
        <v>0</v>
      </c>
      <c r="AK192" s="501">
        <v>0</v>
      </c>
      <c r="AL192" s="501">
        <f t="shared" si="320"/>
        <v>0</v>
      </c>
      <c r="AM192" s="501">
        <f t="shared" si="321"/>
        <v>0</v>
      </c>
      <c r="AN192" s="502">
        <f t="shared" si="226"/>
        <v>0</v>
      </c>
      <c r="AO192" s="499">
        <f t="shared" si="322"/>
        <v>152843</v>
      </c>
      <c r="AP192" s="486">
        <f t="shared" si="323"/>
        <v>111555</v>
      </c>
      <c r="AQ192" s="486">
        <f t="shared" si="324"/>
        <v>0</v>
      </c>
      <c r="AR192" s="486">
        <f t="shared" si="325"/>
        <v>0</v>
      </c>
      <c r="AS192" s="486">
        <f t="shared" si="326"/>
        <v>37706</v>
      </c>
      <c r="AT192" s="486">
        <f t="shared" si="326"/>
        <v>2232</v>
      </c>
      <c r="AU192" s="486">
        <f t="shared" si="327"/>
        <v>1350</v>
      </c>
      <c r="AV192" s="501">
        <f t="shared" si="328"/>
        <v>0.61</v>
      </c>
      <c r="AW192" s="501">
        <f t="shared" si="329"/>
        <v>0.52</v>
      </c>
      <c r="AX192" s="502">
        <f t="shared" si="329"/>
        <v>0.09</v>
      </c>
    </row>
    <row r="193" spans="1:50" s="695" customFormat="1" ht="12.75" customHeight="1" x14ac:dyDescent="0.2">
      <c r="A193" s="282">
        <v>34</v>
      </c>
      <c r="B193" s="27">
        <v>4449</v>
      </c>
      <c r="C193" s="27">
        <v>650037090</v>
      </c>
      <c r="D193" s="27">
        <v>72744171</v>
      </c>
      <c r="E193" s="292" t="s">
        <v>216</v>
      </c>
      <c r="F193" s="27"/>
      <c r="G193" s="281"/>
      <c r="H193" s="377"/>
      <c r="I193" s="5">
        <v>17094648</v>
      </c>
      <c r="J193" s="8">
        <v>12238136</v>
      </c>
      <c r="K193" s="8">
        <v>105720</v>
      </c>
      <c r="L193" s="8">
        <v>20720</v>
      </c>
      <c r="M193" s="8">
        <v>4165221</v>
      </c>
      <c r="N193" s="8">
        <v>244763</v>
      </c>
      <c r="O193" s="8">
        <v>340808</v>
      </c>
      <c r="P193" s="9">
        <v>28.097100000000001</v>
      </c>
      <c r="Q193" s="9">
        <v>19.728100000000001</v>
      </c>
      <c r="R193" s="33">
        <v>8.3690000000000015</v>
      </c>
      <c r="S193" s="5">
        <f t="shared" ref="S193:AX193" si="330">SUM(S187:S192)</f>
        <v>0</v>
      </c>
      <c r="T193" s="8">
        <f t="shared" si="330"/>
        <v>0</v>
      </c>
      <c r="U193" s="8">
        <f t="shared" si="330"/>
        <v>0</v>
      </c>
      <c r="V193" s="8">
        <f t="shared" si="330"/>
        <v>0</v>
      </c>
      <c r="W193" s="8">
        <f t="shared" si="330"/>
        <v>0</v>
      </c>
      <c r="X193" s="8">
        <f t="shared" si="330"/>
        <v>0</v>
      </c>
      <c r="Y193" s="8">
        <f t="shared" si="330"/>
        <v>0</v>
      </c>
      <c r="Z193" s="8">
        <f t="shared" si="330"/>
        <v>0</v>
      </c>
      <c r="AA193" s="8">
        <f t="shared" si="330"/>
        <v>0</v>
      </c>
      <c r="AB193" s="8">
        <f t="shared" si="330"/>
        <v>0</v>
      </c>
      <c r="AC193" s="8">
        <f t="shared" si="330"/>
        <v>0</v>
      </c>
      <c r="AD193" s="8">
        <f t="shared" si="330"/>
        <v>0</v>
      </c>
      <c r="AE193" s="8">
        <f t="shared" si="330"/>
        <v>0</v>
      </c>
      <c r="AF193" s="8">
        <f t="shared" si="330"/>
        <v>0</v>
      </c>
      <c r="AG193" s="9">
        <f t="shared" si="330"/>
        <v>0</v>
      </c>
      <c r="AH193" s="9">
        <f t="shared" si="330"/>
        <v>0</v>
      </c>
      <c r="AI193" s="9">
        <f t="shared" si="330"/>
        <v>0</v>
      </c>
      <c r="AJ193" s="9">
        <f t="shared" si="330"/>
        <v>0</v>
      </c>
      <c r="AK193" s="9">
        <f t="shared" si="330"/>
        <v>0</v>
      </c>
      <c r="AL193" s="9">
        <f t="shared" si="330"/>
        <v>0</v>
      </c>
      <c r="AM193" s="9">
        <f t="shared" si="330"/>
        <v>0</v>
      </c>
      <c r="AN193" s="74">
        <f t="shared" si="330"/>
        <v>0</v>
      </c>
      <c r="AO193" s="270">
        <f t="shared" si="330"/>
        <v>17094648</v>
      </c>
      <c r="AP193" s="8">
        <f t="shared" si="330"/>
        <v>12238136</v>
      </c>
      <c r="AQ193" s="38">
        <f t="shared" si="330"/>
        <v>105720</v>
      </c>
      <c r="AR193" s="38">
        <f t="shared" si="330"/>
        <v>20720</v>
      </c>
      <c r="AS193" s="8">
        <f t="shared" si="330"/>
        <v>4165221</v>
      </c>
      <c r="AT193" s="8">
        <f t="shared" si="330"/>
        <v>244763</v>
      </c>
      <c r="AU193" s="8">
        <f t="shared" si="330"/>
        <v>340808</v>
      </c>
      <c r="AV193" s="9">
        <f t="shared" si="330"/>
        <v>28.097100000000001</v>
      </c>
      <c r="AW193" s="9">
        <f t="shared" si="330"/>
        <v>19.728100000000001</v>
      </c>
      <c r="AX193" s="74">
        <f t="shared" si="330"/>
        <v>8.3690000000000015</v>
      </c>
    </row>
    <row r="194" spans="1:50" s="695" customFormat="1" ht="12.75" customHeight="1" x14ac:dyDescent="0.2">
      <c r="A194" s="720">
        <v>35</v>
      </c>
      <c r="B194" s="721">
        <v>4401</v>
      </c>
      <c r="C194" s="721">
        <v>600074196</v>
      </c>
      <c r="D194" s="721">
        <v>71011129</v>
      </c>
      <c r="E194" s="722" t="s">
        <v>217</v>
      </c>
      <c r="F194" s="721">
        <v>3111</v>
      </c>
      <c r="G194" s="531" t="s">
        <v>317</v>
      </c>
      <c r="H194" s="767" t="s">
        <v>283</v>
      </c>
      <c r="I194" s="495">
        <v>2999238</v>
      </c>
      <c r="J194" s="496">
        <v>2132959</v>
      </c>
      <c r="K194" s="496">
        <v>60000</v>
      </c>
      <c r="L194" s="496">
        <v>0</v>
      </c>
      <c r="M194" s="496">
        <v>741220</v>
      </c>
      <c r="N194" s="496">
        <v>42659</v>
      </c>
      <c r="O194" s="496">
        <v>22400</v>
      </c>
      <c r="P194" s="497">
        <v>5.0697999999999999</v>
      </c>
      <c r="Q194" s="412">
        <v>4</v>
      </c>
      <c r="R194" s="764">
        <v>1.0698000000000001</v>
      </c>
      <c r="S194" s="530">
        <f t="shared" ref="S194:S196" si="331">W194*-1</f>
        <v>0</v>
      </c>
      <c r="T194" s="486">
        <v>0</v>
      </c>
      <c r="U194" s="486">
        <v>0</v>
      </c>
      <c r="V194" s="486">
        <f>SUM(S194:U194)</f>
        <v>0</v>
      </c>
      <c r="W194" s="486">
        <v>0</v>
      </c>
      <c r="X194" s="486">
        <v>0</v>
      </c>
      <c r="Y194" s="486">
        <f>SUM(W194:X194)</f>
        <v>0</v>
      </c>
      <c r="Z194" s="486">
        <f>V194+Y194</f>
        <v>0</v>
      </c>
      <c r="AA194" s="319">
        <f>ROUND((V194+W194)*33.8%,0)</f>
        <v>0</v>
      </c>
      <c r="AB194" s="178">
        <f>ROUND(V194*2%,0)</f>
        <v>0</v>
      </c>
      <c r="AC194" s="486">
        <v>0</v>
      </c>
      <c r="AD194" s="486">
        <v>0</v>
      </c>
      <c r="AE194" s="486">
        <f t="shared" si="224"/>
        <v>0</v>
      </c>
      <c r="AF194" s="486">
        <f t="shared" si="225"/>
        <v>0</v>
      </c>
      <c r="AG194" s="501">
        <v>0</v>
      </c>
      <c r="AH194" s="501">
        <v>0</v>
      </c>
      <c r="AI194" s="501">
        <v>0</v>
      </c>
      <c r="AJ194" s="501">
        <v>0</v>
      </c>
      <c r="AK194" s="501">
        <v>0</v>
      </c>
      <c r="AL194" s="501">
        <f t="shared" ref="AL194:AL196" si="332">AG194+AI194+AJ194</f>
        <v>0</v>
      </c>
      <c r="AM194" s="501">
        <f t="shared" ref="AM194:AM196" si="333">AH194+AK194</f>
        <v>0</v>
      </c>
      <c r="AN194" s="502">
        <f t="shared" si="226"/>
        <v>0</v>
      </c>
      <c r="AO194" s="499">
        <f>I194+AF194</f>
        <v>2999238</v>
      </c>
      <c r="AP194" s="486">
        <f>J194+V194</f>
        <v>2132959</v>
      </c>
      <c r="AQ194" s="486">
        <f>K194+Y194</f>
        <v>60000</v>
      </c>
      <c r="AR194" s="486">
        <f>L194</f>
        <v>0</v>
      </c>
      <c r="AS194" s="486">
        <f t="shared" ref="AS194:AT196" si="334">M194+AA194</f>
        <v>741220</v>
      </c>
      <c r="AT194" s="486">
        <f t="shared" si="334"/>
        <v>42659</v>
      </c>
      <c r="AU194" s="486">
        <f>O194+AE194</f>
        <v>22400</v>
      </c>
      <c r="AV194" s="501">
        <f>P194+AN194</f>
        <v>5.0697999999999999</v>
      </c>
      <c r="AW194" s="501">
        <f t="shared" ref="AW194:AX196" si="335">Q194+AL194</f>
        <v>4</v>
      </c>
      <c r="AX194" s="502">
        <f t="shared" si="335"/>
        <v>1.0698000000000001</v>
      </c>
    </row>
    <row r="195" spans="1:50" s="695" customFormat="1" ht="12.75" customHeight="1" x14ac:dyDescent="0.2">
      <c r="A195" s="720">
        <v>35</v>
      </c>
      <c r="B195" s="721">
        <v>4401</v>
      </c>
      <c r="C195" s="721">
        <v>600074196</v>
      </c>
      <c r="D195" s="721">
        <v>71011129</v>
      </c>
      <c r="E195" s="722" t="s">
        <v>217</v>
      </c>
      <c r="F195" s="721">
        <v>3111</v>
      </c>
      <c r="G195" s="531" t="s">
        <v>318</v>
      </c>
      <c r="H195" s="767" t="s">
        <v>284</v>
      </c>
      <c r="I195" s="495">
        <v>253240</v>
      </c>
      <c r="J195" s="496">
        <v>186480</v>
      </c>
      <c r="K195" s="475">
        <v>0</v>
      </c>
      <c r="L195" s="475">
        <v>0</v>
      </c>
      <c r="M195" s="319">
        <v>63030</v>
      </c>
      <c r="N195" s="319">
        <v>3730</v>
      </c>
      <c r="O195" s="496">
        <v>0</v>
      </c>
      <c r="P195" s="497">
        <v>0.75</v>
      </c>
      <c r="Q195" s="412">
        <v>0.75</v>
      </c>
      <c r="R195" s="764">
        <v>0</v>
      </c>
      <c r="S195" s="530">
        <f t="shared" si="331"/>
        <v>0</v>
      </c>
      <c r="T195" s="486">
        <v>0</v>
      </c>
      <c r="U195" s="486">
        <v>0</v>
      </c>
      <c r="V195" s="486">
        <f>SUM(S195:U195)</f>
        <v>0</v>
      </c>
      <c r="W195" s="486">
        <v>0</v>
      </c>
      <c r="X195" s="486">
        <v>0</v>
      </c>
      <c r="Y195" s="486">
        <f>SUM(W195:X195)</f>
        <v>0</v>
      </c>
      <c r="Z195" s="486">
        <f>V195+Y195</f>
        <v>0</v>
      </c>
      <c r="AA195" s="319">
        <f>ROUND((V195+W195)*33.8%,0)</f>
        <v>0</v>
      </c>
      <c r="AB195" s="178">
        <f>ROUND(V195*2%,0)</f>
        <v>0</v>
      </c>
      <c r="AC195" s="486">
        <v>0</v>
      </c>
      <c r="AD195" s="486">
        <v>0</v>
      </c>
      <c r="AE195" s="486">
        <f t="shared" si="224"/>
        <v>0</v>
      </c>
      <c r="AF195" s="486">
        <f t="shared" si="225"/>
        <v>0</v>
      </c>
      <c r="AG195" s="501">
        <v>0</v>
      </c>
      <c r="AH195" s="501">
        <v>0</v>
      </c>
      <c r="AI195" s="501">
        <v>0</v>
      </c>
      <c r="AJ195" s="501">
        <v>0</v>
      </c>
      <c r="AK195" s="501">
        <v>0</v>
      </c>
      <c r="AL195" s="501">
        <f t="shared" si="332"/>
        <v>0</v>
      </c>
      <c r="AM195" s="501">
        <f t="shared" si="333"/>
        <v>0</v>
      </c>
      <c r="AN195" s="502">
        <f t="shared" si="226"/>
        <v>0</v>
      </c>
      <c r="AO195" s="499">
        <f>I195+AF195</f>
        <v>253240</v>
      </c>
      <c r="AP195" s="486">
        <f>J195+V195</f>
        <v>186480</v>
      </c>
      <c r="AQ195" s="486">
        <f>K195+Y195</f>
        <v>0</v>
      </c>
      <c r="AR195" s="486">
        <f>L195</f>
        <v>0</v>
      </c>
      <c r="AS195" s="486">
        <f t="shared" si="334"/>
        <v>63030</v>
      </c>
      <c r="AT195" s="486">
        <f t="shared" si="334"/>
        <v>3730</v>
      </c>
      <c r="AU195" s="486">
        <f>O195+AE195</f>
        <v>0</v>
      </c>
      <c r="AV195" s="501">
        <f>P195+AN195</f>
        <v>0.75</v>
      </c>
      <c r="AW195" s="501">
        <f t="shared" si="335"/>
        <v>0.75</v>
      </c>
      <c r="AX195" s="502">
        <f t="shared" si="335"/>
        <v>0</v>
      </c>
    </row>
    <row r="196" spans="1:50" s="695" customFormat="1" ht="12.75" customHeight="1" x14ac:dyDescent="0.2">
      <c r="A196" s="720">
        <v>35</v>
      </c>
      <c r="B196" s="721">
        <v>4401</v>
      </c>
      <c r="C196" s="721">
        <v>600074196</v>
      </c>
      <c r="D196" s="721">
        <v>71011129</v>
      </c>
      <c r="E196" s="712" t="s">
        <v>217</v>
      </c>
      <c r="F196" s="721">
        <v>3141</v>
      </c>
      <c r="G196" s="531" t="s">
        <v>321</v>
      </c>
      <c r="H196" s="767" t="s">
        <v>284</v>
      </c>
      <c r="I196" s="495">
        <v>193477</v>
      </c>
      <c r="J196" s="496">
        <v>141549</v>
      </c>
      <c r="K196" s="475">
        <v>0</v>
      </c>
      <c r="L196" s="475">
        <v>0</v>
      </c>
      <c r="M196" s="319">
        <v>47843</v>
      </c>
      <c r="N196" s="319">
        <v>2831</v>
      </c>
      <c r="O196" s="496">
        <v>1254</v>
      </c>
      <c r="P196" s="497">
        <v>0.48</v>
      </c>
      <c r="Q196" s="412">
        <v>0</v>
      </c>
      <c r="R196" s="764">
        <v>0.48</v>
      </c>
      <c r="S196" s="530">
        <f t="shared" si="331"/>
        <v>0</v>
      </c>
      <c r="T196" s="486">
        <v>0</v>
      </c>
      <c r="U196" s="486">
        <v>0</v>
      </c>
      <c r="V196" s="486">
        <f>SUM(S196:U196)</f>
        <v>0</v>
      </c>
      <c r="W196" s="486">
        <v>0</v>
      </c>
      <c r="X196" s="486">
        <v>0</v>
      </c>
      <c r="Y196" s="486">
        <f>SUM(W196:X196)</f>
        <v>0</v>
      </c>
      <c r="Z196" s="486">
        <f>V196+Y196</f>
        <v>0</v>
      </c>
      <c r="AA196" s="319">
        <f>ROUND((V196+W196)*33.8%,0)</f>
        <v>0</v>
      </c>
      <c r="AB196" s="178">
        <f>ROUND(V196*2%,0)</f>
        <v>0</v>
      </c>
      <c r="AC196" s="486">
        <v>0</v>
      </c>
      <c r="AD196" s="486">
        <v>0</v>
      </c>
      <c r="AE196" s="486">
        <f t="shared" si="224"/>
        <v>0</v>
      </c>
      <c r="AF196" s="486">
        <f t="shared" si="225"/>
        <v>0</v>
      </c>
      <c r="AG196" s="501">
        <v>0</v>
      </c>
      <c r="AH196" s="501">
        <v>0</v>
      </c>
      <c r="AI196" s="501">
        <v>0</v>
      </c>
      <c r="AJ196" s="501">
        <v>0</v>
      </c>
      <c r="AK196" s="501">
        <v>0</v>
      </c>
      <c r="AL196" s="501">
        <f t="shared" si="332"/>
        <v>0</v>
      </c>
      <c r="AM196" s="501">
        <f t="shared" si="333"/>
        <v>0</v>
      </c>
      <c r="AN196" s="502">
        <f t="shared" si="226"/>
        <v>0</v>
      </c>
      <c r="AO196" s="499">
        <f>I196+AF196</f>
        <v>193477</v>
      </c>
      <c r="AP196" s="486">
        <f>J196+V196</f>
        <v>141549</v>
      </c>
      <c r="AQ196" s="486">
        <f>K196+Y196</f>
        <v>0</v>
      </c>
      <c r="AR196" s="486">
        <f>L196</f>
        <v>0</v>
      </c>
      <c r="AS196" s="486">
        <f t="shared" si="334"/>
        <v>47843</v>
      </c>
      <c r="AT196" s="486">
        <f t="shared" si="334"/>
        <v>2831</v>
      </c>
      <c r="AU196" s="486">
        <f>O196+AE196</f>
        <v>1254</v>
      </c>
      <c r="AV196" s="501">
        <f>P196+AN196</f>
        <v>0.48</v>
      </c>
      <c r="AW196" s="501">
        <f t="shared" si="335"/>
        <v>0</v>
      </c>
      <c r="AX196" s="502">
        <f t="shared" si="335"/>
        <v>0.48</v>
      </c>
    </row>
    <row r="197" spans="1:50" s="695" customFormat="1" ht="12.75" customHeight="1" x14ac:dyDescent="0.2">
      <c r="A197" s="282">
        <v>35</v>
      </c>
      <c r="B197" s="27">
        <v>4401</v>
      </c>
      <c r="C197" s="27">
        <v>600074196</v>
      </c>
      <c r="D197" s="27">
        <v>71011129</v>
      </c>
      <c r="E197" s="292" t="s">
        <v>218</v>
      </c>
      <c r="F197" s="27"/>
      <c r="G197" s="281"/>
      <c r="H197" s="377"/>
      <c r="I197" s="5">
        <v>3445955</v>
      </c>
      <c r="J197" s="8">
        <v>2460988</v>
      </c>
      <c r="K197" s="8">
        <v>60000</v>
      </c>
      <c r="L197" s="8">
        <v>0</v>
      </c>
      <c r="M197" s="8">
        <v>852093</v>
      </c>
      <c r="N197" s="8">
        <v>49220</v>
      </c>
      <c r="O197" s="8">
        <v>23654</v>
      </c>
      <c r="P197" s="9">
        <v>6.2997999999999994</v>
      </c>
      <c r="Q197" s="9">
        <v>4.75</v>
      </c>
      <c r="R197" s="33">
        <v>1.5498000000000001</v>
      </c>
      <c r="S197" s="5">
        <f t="shared" ref="S197:AX197" si="336">SUM(S194:S196)</f>
        <v>0</v>
      </c>
      <c r="T197" s="8">
        <f t="shared" si="336"/>
        <v>0</v>
      </c>
      <c r="U197" s="8">
        <f t="shared" si="336"/>
        <v>0</v>
      </c>
      <c r="V197" s="8">
        <f t="shared" si="336"/>
        <v>0</v>
      </c>
      <c r="W197" s="8">
        <f t="shared" si="336"/>
        <v>0</v>
      </c>
      <c r="X197" s="8">
        <f t="shared" si="336"/>
        <v>0</v>
      </c>
      <c r="Y197" s="8">
        <f t="shared" si="336"/>
        <v>0</v>
      </c>
      <c r="Z197" s="8">
        <f t="shared" si="336"/>
        <v>0</v>
      </c>
      <c r="AA197" s="8">
        <f t="shared" si="336"/>
        <v>0</v>
      </c>
      <c r="AB197" s="8">
        <f t="shared" si="336"/>
        <v>0</v>
      </c>
      <c r="AC197" s="8">
        <f t="shared" si="336"/>
        <v>0</v>
      </c>
      <c r="AD197" s="8">
        <f t="shared" si="336"/>
        <v>0</v>
      </c>
      <c r="AE197" s="8">
        <f t="shared" si="336"/>
        <v>0</v>
      </c>
      <c r="AF197" s="8">
        <f t="shared" si="336"/>
        <v>0</v>
      </c>
      <c r="AG197" s="9">
        <f t="shared" si="336"/>
        <v>0</v>
      </c>
      <c r="AH197" s="9">
        <f t="shared" si="336"/>
        <v>0</v>
      </c>
      <c r="AI197" s="9">
        <f t="shared" si="336"/>
        <v>0</v>
      </c>
      <c r="AJ197" s="9">
        <f t="shared" si="336"/>
        <v>0</v>
      </c>
      <c r="AK197" s="9">
        <f t="shared" si="336"/>
        <v>0</v>
      </c>
      <c r="AL197" s="9">
        <f t="shared" si="336"/>
        <v>0</v>
      </c>
      <c r="AM197" s="9">
        <f t="shared" si="336"/>
        <v>0</v>
      </c>
      <c r="AN197" s="74">
        <f t="shared" si="336"/>
        <v>0</v>
      </c>
      <c r="AO197" s="270">
        <f t="shared" si="336"/>
        <v>3445955</v>
      </c>
      <c r="AP197" s="8">
        <f t="shared" si="336"/>
        <v>2460988</v>
      </c>
      <c r="AQ197" s="38">
        <f t="shared" si="336"/>
        <v>60000</v>
      </c>
      <c r="AR197" s="38">
        <f t="shared" si="336"/>
        <v>0</v>
      </c>
      <c r="AS197" s="8">
        <f t="shared" si="336"/>
        <v>852093</v>
      </c>
      <c r="AT197" s="8">
        <f t="shared" si="336"/>
        <v>49220</v>
      </c>
      <c r="AU197" s="8">
        <f t="shared" si="336"/>
        <v>23654</v>
      </c>
      <c r="AV197" s="9">
        <f t="shared" si="336"/>
        <v>6.2997999999999994</v>
      </c>
      <c r="AW197" s="9">
        <f t="shared" si="336"/>
        <v>4.75</v>
      </c>
      <c r="AX197" s="74">
        <f t="shared" si="336"/>
        <v>1.5498000000000001</v>
      </c>
    </row>
    <row r="198" spans="1:50" s="695" customFormat="1" ht="12.75" customHeight="1" x14ac:dyDescent="0.2">
      <c r="A198" s="720">
        <v>36</v>
      </c>
      <c r="B198" s="721">
        <v>4453</v>
      </c>
      <c r="C198" s="721">
        <v>600074790</v>
      </c>
      <c r="D198" s="721">
        <v>71011111</v>
      </c>
      <c r="E198" s="722" t="s">
        <v>219</v>
      </c>
      <c r="F198" s="721">
        <v>3113</v>
      </c>
      <c r="G198" s="531" t="s">
        <v>320</v>
      </c>
      <c r="H198" s="767" t="s">
        <v>283</v>
      </c>
      <c r="I198" s="495">
        <v>11109947</v>
      </c>
      <c r="J198" s="496">
        <v>7918505</v>
      </c>
      <c r="K198" s="496">
        <v>52940</v>
      </c>
      <c r="L198" s="496">
        <v>22940</v>
      </c>
      <c r="M198" s="496">
        <v>2633286</v>
      </c>
      <c r="N198" s="496">
        <v>155216</v>
      </c>
      <c r="O198" s="496">
        <v>350000</v>
      </c>
      <c r="P198" s="497">
        <v>15.989900000000002</v>
      </c>
      <c r="Q198" s="412">
        <v>11.515400000000001</v>
      </c>
      <c r="R198" s="764">
        <v>4.4745000000000008</v>
      </c>
      <c r="S198" s="530">
        <f t="shared" ref="S198:S202" si="337">W198*-1</f>
        <v>0</v>
      </c>
      <c r="T198" s="486">
        <v>0</v>
      </c>
      <c r="U198" s="486">
        <v>0</v>
      </c>
      <c r="V198" s="486">
        <f>SUM(S198:U198)</f>
        <v>0</v>
      </c>
      <c r="W198" s="486">
        <v>0</v>
      </c>
      <c r="X198" s="486">
        <v>0</v>
      </c>
      <c r="Y198" s="486">
        <f>SUM(W198:X198)</f>
        <v>0</v>
      </c>
      <c r="Z198" s="486">
        <f>V198+Y198</f>
        <v>0</v>
      </c>
      <c r="AA198" s="319">
        <f>ROUND((V198+W198)*33.8%,0)</f>
        <v>0</v>
      </c>
      <c r="AB198" s="178">
        <f>ROUND(V198*2%,0)</f>
        <v>0</v>
      </c>
      <c r="AC198" s="486">
        <v>0</v>
      </c>
      <c r="AD198" s="486">
        <v>0</v>
      </c>
      <c r="AE198" s="486">
        <f t="shared" si="224"/>
        <v>0</v>
      </c>
      <c r="AF198" s="486">
        <f t="shared" si="225"/>
        <v>0</v>
      </c>
      <c r="AG198" s="501">
        <v>0</v>
      </c>
      <c r="AH198" s="501">
        <v>0</v>
      </c>
      <c r="AI198" s="501">
        <v>0</v>
      </c>
      <c r="AJ198" s="501">
        <v>0</v>
      </c>
      <c r="AK198" s="501">
        <v>0</v>
      </c>
      <c r="AL198" s="501">
        <f t="shared" ref="AL198:AL202" si="338">AG198+AI198+AJ198</f>
        <v>0</v>
      </c>
      <c r="AM198" s="501">
        <f t="shared" ref="AM198:AM202" si="339">AH198+AK198</f>
        <v>0</v>
      </c>
      <c r="AN198" s="502">
        <f t="shared" si="226"/>
        <v>0</v>
      </c>
      <c r="AO198" s="499">
        <f>I198+AF198</f>
        <v>11109947</v>
      </c>
      <c r="AP198" s="486">
        <f>J198+V198</f>
        <v>7918505</v>
      </c>
      <c r="AQ198" s="486">
        <f>K198+Y198</f>
        <v>52940</v>
      </c>
      <c r="AR198" s="486">
        <f>L198</f>
        <v>22940</v>
      </c>
      <c r="AS198" s="486">
        <f t="shared" ref="AS198:AT202" si="340">M198+AA198</f>
        <v>2633286</v>
      </c>
      <c r="AT198" s="486">
        <f t="shared" si="340"/>
        <v>155216</v>
      </c>
      <c r="AU198" s="486">
        <f>O198+AE198</f>
        <v>350000</v>
      </c>
      <c r="AV198" s="501">
        <f>P198+AN198</f>
        <v>15.989900000000002</v>
      </c>
      <c r="AW198" s="501">
        <f t="shared" ref="AW198:AX202" si="341">Q198+AL198</f>
        <v>11.515400000000001</v>
      </c>
      <c r="AX198" s="502">
        <f t="shared" si="341"/>
        <v>4.4745000000000008</v>
      </c>
    </row>
    <row r="199" spans="1:50" s="695" customFormat="1" ht="12.75" customHeight="1" x14ac:dyDescent="0.2">
      <c r="A199" s="720">
        <v>36</v>
      </c>
      <c r="B199" s="721">
        <v>4453</v>
      </c>
      <c r="C199" s="721">
        <v>600074790</v>
      </c>
      <c r="D199" s="721">
        <v>71011111</v>
      </c>
      <c r="E199" s="722" t="s">
        <v>219</v>
      </c>
      <c r="F199" s="721">
        <v>3113</v>
      </c>
      <c r="G199" s="531" t="s">
        <v>318</v>
      </c>
      <c r="H199" s="767" t="s">
        <v>284</v>
      </c>
      <c r="I199" s="495">
        <v>503138</v>
      </c>
      <c r="J199" s="496">
        <v>367922</v>
      </c>
      <c r="K199" s="475">
        <v>0</v>
      </c>
      <c r="L199" s="475">
        <v>0</v>
      </c>
      <c r="M199" s="319">
        <v>124358</v>
      </c>
      <c r="N199" s="319">
        <v>7358</v>
      </c>
      <c r="O199" s="496">
        <v>3500</v>
      </c>
      <c r="P199" s="497">
        <v>1.08</v>
      </c>
      <c r="Q199" s="412">
        <v>1.08</v>
      </c>
      <c r="R199" s="764">
        <v>0</v>
      </c>
      <c r="S199" s="530">
        <f t="shared" si="337"/>
        <v>0</v>
      </c>
      <c r="T199" s="486">
        <v>0</v>
      </c>
      <c r="U199" s="486">
        <v>0</v>
      </c>
      <c r="V199" s="486">
        <f>SUM(S199:U199)</f>
        <v>0</v>
      </c>
      <c r="W199" s="486">
        <v>0</v>
      </c>
      <c r="X199" s="486">
        <v>0</v>
      </c>
      <c r="Y199" s="486">
        <f>SUM(W199:X199)</f>
        <v>0</v>
      </c>
      <c r="Z199" s="486">
        <f>V199+Y199</f>
        <v>0</v>
      </c>
      <c r="AA199" s="319">
        <f>ROUND((V199+W199)*33.8%,0)</f>
        <v>0</v>
      </c>
      <c r="AB199" s="178">
        <f>ROUND(V199*2%,0)</f>
        <v>0</v>
      </c>
      <c r="AC199" s="486">
        <v>0</v>
      </c>
      <c r="AD199" s="486">
        <v>0</v>
      </c>
      <c r="AE199" s="486">
        <f t="shared" si="224"/>
        <v>0</v>
      </c>
      <c r="AF199" s="486">
        <f t="shared" si="225"/>
        <v>0</v>
      </c>
      <c r="AG199" s="501">
        <v>0</v>
      </c>
      <c r="AH199" s="501">
        <v>0</v>
      </c>
      <c r="AI199" s="501">
        <v>0</v>
      </c>
      <c r="AJ199" s="501">
        <v>0</v>
      </c>
      <c r="AK199" s="501">
        <v>0</v>
      </c>
      <c r="AL199" s="501">
        <f t="shared" si="338"/>
        <v>0</v>
      </c>
      <c r="AM199" s="501">
        <f t="shared" si="339"/>
        <v>0</v>
      </c>
      <c r="AN199" s="502">
        <f t="shared" si="226"/>
        <v>0</v>
      </c>
      <c r="AO199" s="499">
        <f>I199+AF199</f>
        <v>503138</v>
      </c>
      <c r="AP199" s="486">
        <f>J199+V199</f>
        <v>367922</v>
      </c>
      <c r="AQ199" s="486">
        <f>K199+Y199</f>
        <v>0</v>
      </c>
      <c r="AR199" s="486">
        <f>L199</f>
        <v>0</v>
      </c>
      <c r="AS199" s="486">
        <f t="shared" si="340"/>
        <v>124358</v>
      </c>
      <c r="AT199" s="486">
        <f t="shared" si="340"/>
        <v>7358</v>
      </c>
      <c r="AU199" s="486">
        <f>O199+AE199</f>
        <v>3500</v>
      </c>
      <c r="AV199" s="501">
        <f>P199+AN199</f>
        <v>1.08</v>
      </c>
      <c r="AW199" s="501">
        <f t="shared" si="341"/>
        <v>1.08</v>
      </c>
      <c r="AX199" s="502">
        <f t="shared" si="341"/>
        <v>0</v>
      </c>
    </row>
    <row r="200" spans="1:50" s="695" customFormat="1" ht="12.75" customHeight="1" x14ac:dyDescent="0.2">
      <c r="A200" s="720">
        <v>36</v>
      </c>
      <c r="B200" s="721">
        <v>4453</v>
      </c>
      <c r="C200" s="721">
        <v>600074790</v>
      </c>
      <c r="D200" s="721">
        <v>71011111</v>
      </c>
      <c r="E200" s="722" t="s">
        <v>219</v>
      </c>
      <c r="F200" s="721">
        <v>3141</v>
      </c>
      <c r="G200" s="531" t="s">
        <v>321</v>
      </c>
      <c r="H200" s="767" t="s">
        <v>284</v>
      </c>
      <c r="I200" s="495">
        <v>1246847</v>
      </c>
      <c r="J200" s="496">
        <v>912016</v>
      </c>
      <c r="K200" s="475">
        <v>0</v>
      </c>
      <c r="L200" s="475">
        <v>0</v>
      </c>
      <c r="M200" s="319">
        <v>308261</v>
      </c>
      <c r="N200" s="319">
        <v>18240</v>
      </c>
      <c r="O200" s="496">
        <v>8330</v>
      </c>
      <c r="P200" s="497">
        <v>3.1</v>
      </c>
      <c r="Q200" s="412">
        <v>0</v>
      </c>
      <c r="R200" s="764">
        <v>3.1</v>
      </c>
      <c r="S200" s="530">
        <f t="shared" si="337"/>
        <v>0</v>
      </c>
      <c r="T200" s="486">
        <v>0</v>
      </c>
      <c r="U200" s="486">
        <v>0</v>
      </c>
      <c r="V200" s="486">
        <f>SUM(S200:U200)</f>
        <v>0</v>
      </c>
      <c r="W200" s="486">
        <v>0</v>
      </c>
      <c r="X200" s="486">
        <v>0</v>
      </c>
      <c r="Y200" s="486">
        <f>SUM(W200:X200)</f>
        <v>0</v>
      </c>
      <c r="Z200" s="486">
        <f>V200+Y200</f>
        <v>0</v>
      </c>
      <c r="AA200" s="319">
        <f>ROUND((V200+W200)*33.8%,0)</f>
        <v>0</v>
      </c>
      <c r="AB200" s="178">
        <f>ROUND(V200*2%,0)</f>
        <v>0</v>
      </c>
      <c r="AC200" s="486">
        <v>0</v>
      </c>
      <c r="AD200" s="486">
        <v>0</v>
      </c>
      <c r="AE200" s="486">
        <f t="shared" si="224"/>
        <v>0</v>
      </c>
      <c r="AF200" s="486">
        <f t="shared" si="225"/>
        <v>0</v>
      </c>
      <c r="AG200" s="501">
        <v>0</v>
      </c>
      <c r="AH200" s="501">
        <v>0</v>
      </c>
      <c r="AI200" s="501">
        <v>0</v>
      </c>
      <c r="AJ200" s="501">
        <v>0</v>
      </c>
      <c r="AK200" s="501">
        <v>0</v>
      </c>
      <c r="AL200" s="501">
        <f t="shared" si="338"/>
        <v>0</v>
      </c>
      <c r="AM200" s="501">
        <f t="shared" si="339"/>
        <v>0</v>
      </c>
      <c r="AN200" s="502">
        <f t="shared" si="226"/>
        <v>0</v>
      </c>
      <c r="AO200" s="499">
        <f>I200+AF200</f>
        <v>1246847</v>
      </c>
      <c r="AP200" s="486">
        <f>J200+V200</f>
        <v>912016</v>
      </c>
      <c r="AQ200" s="486">
        <f>K200+Y200</f>
        <v>0</v>
      </c>
      <c r="AR200" s="486">
        <f>L200</f>
        <v>0</v>
      </c>
      <c r="AS200" s="486">
        <f t="shared" si="340"/>
        <v>308261</v>
      </c>
      <c r="AT200" s="486">
        <f t="shared" si="340"/>
        <v>18240</v>
      </c>
      <c r="AU200" s="486">
        <f>O200+AE200</f>
        <v>8330</v>
      </c>
      <c r="AV200" s="501">
        <f>P200+AN200</f>
        <v>3.1</v>
      </c>
      <c r="AW200" s="501">
        <f t="shared" si="341"/>
        <v>0</v>
      </c>
      <c r="AX200" s="502">
        <f t="shared" si="341"/>
        <v>3.1</v>
      </c>
    </row>
    <row r="201" spans="1:50" s="695" customFormat="1" ht="12.75" customHeight="1" x14ac:dyDescent="0.2">
      <c r="A201" s="720">
        <v>36</v>
      </c>
      <c r="B201" s="721">
        <v>4453</v>
      </c>
      <c r="C201" s="721">
        <v>600074790</v>
      </c>
      <c r="D201" s="721">
        <v>71011111</v>
      </c>
      <c r="E201" s="712" t="s">
        <v>219</v>
      </c>
      <c r="F201" s="721">
        <v>3143</v>
      </c>
      <c r="G201" s="531" t="s">
        <v>634</v>
      </c>
      <c r="H201" s="701" t="s">
        <v>283</v>
      </c>
      <c r="I201" s="495">
        <v>728165</v>
      </c>
      <c r="J201" s="496">
        <v>494626</v>
      </c>
      <c r="K201" s="496">
        <v>0</v>
      </c>
      <c r="L201" s="496">
        <v>0</v>
      </c>
      <c r="M201" s="496">
        <v>220492</v>
      </c>
      <c r="N201" s="496">
        <v>13047</v>
      </c>
      <c r="O201" s="496">
        <v>0</v>
      </c>
      <c r="P201" s="497">
        <v>1.2916000000000001</v>
      </c>
      <c r="Q201" s="412">
        <v>1.2916000000000001</v>
      </c>
      <c r="R201" s="764">
        <v>0</v>
      </c>
      <c r="S201" s="530">
        <f t="shared" si="337"/>
        <v>0</v>
      </c>
      <c r="T201" s="486">
        <v>0</v>
      </c>
      <c r="U201" s="486">
        <v>0</v>
      </c>
      <c r="V201" s="486">
        <f>SUM(S201:U201)</f>
        <v>0</v>
      </c>
      <c r="W201" s="486">
        <v>0</v>
      </c>
      <c r="X201" s="486">
        <v>0</v>
      </c>
      <c r="Y201" s="486">
        <f>SUM(W201:X201)</f>
        <v>0</v>
      </c>
      <c r="Z201" s="486">
        <f>V201+Y201</f>
        <v>0</v>
      </c>
      <c r="AA201" s="319">
        <f>ROUND((V201+W201)*33.8%,0)</f>
        <v>0</v>
      </c>
      <c r="AB201" s="178">
        <f>ROUND(V201*2%,0)</f>
        <v>0</v>
      </c>
      <c r="AC201" s="486">
        <v>0</v>
      </c>
      <c r="AD201" s="486">
        <v>0</v>
      </c>
      <c r="AE201" s="486">
        <f t="shared" si="224"/>
        <v>0</v>
      </c>
      <c r="AF201" s="486">
        <f t="shared" si="225"/>
        <v>0</v>
      </c>
      <c r="AG201" s="501">
        <v>0</v>
      </c>
      <c r="AH201" s="501">
        <v>0</v>
      </c>
      <c r="AI201" s="501">
        <v>0</v>
      </c>
      <c r="AJ201" s="501">
        <v>0</v>
      </c>
      <c r="AK201" s="501">
        <v>0</v>
      </c>
      <c r="AL201" s="501">
        <f t="shared" si="338"/>
        <v>0</v>
      </c>
      <c r="AM201" s="501">
        <f t="shared" si="339"/>
        <v>0</v>
      </c>
      <c r="AN201" s="502">
        <f t="shared" si="226"/>
        <v>0</v>
      </c>
      <c r="AO201" s="499">
        <f>I201+AF201</f>
        <v>728165</v>
      </c>
      <c r="AP201" s="486">
        <f>J201+V201</f>
        <v>494626</v>
      </c>
      <c r="AQ201" s="486">
        <f>K201+Y201</f>
        <v>0</v>
      </c>
      <c r="AR201" s="486">
        <f>L201</f>
        <v>0</v>
      </c>
      <c r="AS201" s="486">
        <f t="shared" si="340"/>
        <v>220492</v>
      </c>
      <c r="AT201" s="486">
        <f t="shared" si="340"/>
        <v>13047</v>
      </c>
      <c r="AU201" s="486">
        <f>O201+AE201</f>
        <v>0</v>
      </c>
      <c r="AV201" s="501">
        <f>P201+AN201</f>
        <v>1.2916000000000001</v>
      </c>
      <c r="AW201" s="501">
        <f t="shared" si="341"/>
        <v>1.2916000000000001</v>
      </c>
      <c r="AX201" s="502">
        <f t="shared" si="341"/>
        <v>0</v>
      </c>
    </row>
    <row r="202" spans="1:50" s="695" customFormat="1" ht="12.75" customHeight="1" x14ac:dyDescent="0.2">
      <c r="A202" s="720">
        <v>36</v>
      </c>
      <c r="B202" s="721">
        <v>4453</v>
      </c>
      <c r="C202" s="721">
        <v>600074790</v>
      </c>
      <c r="D202" s="721">
        <v>71011111</v>
      </c>
      <c r="E202" s="712" t="s">
        <v>219</v>
      </c>
      <c r="F202" s="721">
        <v>3143</v>
      </c>
      <c r="G202" s="531" t="s">
        <v>635</v>
      </c>
      <c r="H202" s="701" t="s">
        <v>284</v>
      </c>
      <c r="I202" s="495">
        <v>35111</v>
      </c>
      <c r="J202" s="496">
        <v>24750</v>
      </c>
      <c r="K202" s="475">
        <v>0</v>
      </c>
      <c r="L202" s="475">
        <v>0</v>
      </c>
      <c r="M202" s="319">
        <v>8366</v>
      </c>
      <c r="N202" s="319">
        <v>495</v>
      </c>
      <c r="O202" s="496">
        <v>1500</v>
      </c>
      <c r="P202" s="497">
        <v>0.1</v>
      </c>
      <c r="Q202" s="412">
        <v>0</v>
      </c>
      <c r="R202" s="764">
        <v>0.1</v>
      </c>
      <c r="S202" s="530">
        <f t="shared" si="337"/>
        <v>0</v>
      </c>
      <c r="T202" s="486">
        <v>0</v>
      </c>
      <c r="U202" s="486">
        <v>0</v>
      </c>
      <c r="V202" s="486">
        <f>SUM(S202:U202)</f>
        <v>0</v>
      </c>
      <c r="W202" s="486">
        <v>0</v>
      </c>
      <c r="X202" s="486">
        <v>0</v>
      </c>
      <c r="Y202" s="486">
        <f>SUM(W202:X202)</f>
        <v>0</v>
      </c>
      <c r="Z202" s="486">
        <f>V202+Y202</f>
        <v>0</v>
      </c>
      <c r="AA202" s="319">
        <f>ROUND((V202+W202)*33.8%,0)</f>
        <v>0</v>
      </c>
      <c r="AB202" s="178">
        <f>ROUND(V202*2%,0)</f>
        <v>0</v>
      </c>
      <c r="AC202" s="486">
        <v>0</v>
      </c>
      <c r="AD202" s="486">
        <v>0</v>
      </c>
      <c r="AE202" s="486">
        <f t="shared" si="224"/>
        <v>0</v>
      </c>
      <c r="AF202" s="486">
        <f t="shared" si="225"/>
        <v>0</v>
      </c>
      <c r="AG202" s="501">
        <v>0</v>
      </c>
      <c r="AH202" s="501">
        <v>0</v>
      </c>
      <c r="AI202" s="501">
        <v>0</v>
      </c>
      <c r="AJ202" s="501">
        <v>0</v>
      </c>
      <c r="AK202" s="501">
        <v>0</v>
      </c>
      <c r="AL202" s="501">
        <f t="shared" si="338"/>
        <v>0</v>
      </c>
      <c r="AM202" s="501">
        <f t="shared" si="339"/>
        <v>0</v>
      </c>
      <c r="AN202" s="502">
        <f t="shared" si="226"/>
        <v>0</v>
      </c>
      <c r="AO202" s="499">
        <f>I202+AF202</f>
        <v>35111</v>
      </c>
      <c r="AP202" s="486">
        <f>J202+V202</f>
        <v>24750</v>
      </c>
      <c r="AQ202" s="486">
        <f>K202+Y202</f>
        <v>0</v>
      </c>
      <c r="AR202" s="486">
        <f>L202</f>
        <v>0</v>
      </c>
      <c r="AS202" s="486">
        <f t="shared" si="340"/>
        <v>8366</v>
      </c>
      <c r="AT202" s="486">
        <f t="shared" si="340"/>
        <v>495</v>
      </c>
      <c r="AU202" s="486">
        <f>O202+AE202</f>
        <v>1500</v>
      </c>
      <c r="AV202" s="501">
        <f>P202+AN202</f>
        <v>0.1</v>
      </c>
      <c r="AW202" s="501">
        <f t="shared" si="341"/>
        <v>0</v>
      </c>
      <c r="AX202" s="502">
        <f t="shared" si="341"/>
        <v>0.1</v>
      </c>
    </row>
    <row r="203" spans="1:50" s="695" customFormat="1" ht="12.75" customHeight="1" x14ac:dyDescent="0.2">
      <c r="A203" s="282">
        <v>36</v>
      </c>
      <c r="B203" s="27">
        <v>4453</v>
      </c>
      <c r="C203" s="27">
        <v>600074790</v>
      </c>
      <c r="D203" s="27">
        <v>71011111</v>
      </c>
      <c r="E203" s="292" t="s">
        <v>220</v>
      </c>
      <c r="F203" s="27"/>
      <c r="G203" s="281"/>
      <c r="H203" s="377"/>
      <c r="I203" s="5">
        <v>13623208</v>
      </c>
      <c r="J203" s="8">
        <v>9717819</v>
      </c>
      <c r="K203" s="8">
        <v>52940</v>
      </c>
      <c r="L203" s="8">
        <v>22940</v>
      </c>
      <c r="M203" s="8">
        <v>3294763</v>
      </c>
      <c r="N203" s="8">
        <v>194356</v>
      </c>
      <c r="O203" s="8">
        <v>363330</v>
      </c>
      <c r="P203" s="9">
        <v>21.561500000000006</v>
      </c>
      <c r="Q203" s="9">
        <v>13.887000000000002</v>
      </c>
      <c r="R203" s="33">
        <v>7.6745000000000001</v>
      </c>
      <c r="S203" s="5">
        <f t="shared" ref="S203:AX203" si="342">SUM(S198:S202)</f>
        <v>0</v>
      </c>
      <c r="T203" s="8">
        <f t="shared" si="342"/>
        <v>0</v>
      </c>
      <c r="U203" s="8">
        <f t="shared" si="342"/>
        <v>0</v>
      </c>
      <c r="V203" s="8">
        <f t="shared" si="342"/>
        <v>0</v>
      </c>
      <c r="W203" s="8">
        <f t="shared" si="342"/>
        <v>0</v>
      </c>
      <c r="X203" s="8">
        <f t="shared" si="342"/>
        <v>0</v>
      </c>
      <c r="Y203" s="8">
        <f t="shared" si="342"/>
        <v>0</v>
      </c>
      <c r="Z203" s="8">
        <f t="shared" si="342"/>
        <v>0</v>
      </c>
      <c r="AA203" s="8">
        <f t="shared" si="342"/>
        <v>0</v>
      </c>
      <c r="AB203" s="8">
        <f t="shared" si="342"/>
        <v>0</v>
      </c>
      <c r="AC203" s="8">
        <f t="shared" si="342"/>
        <v>0</v>
      </c>
      <c r="AD203" s="8">
        <f t="shared" si="342"/>
        <v>0</v>
      </c>
      <c r="AE203" s="8">
        <f t="shared" si="342"/>
        <v>0</v>
      </c>
      <c r="AF203" s="8">
        <f t="shared" si="342"/>
        <v>0</v>
      </c>
      <c r="AG203" s="9">
        <f t="shared" si="342"/>
        <v>0</v>
      </c>
      <c r="AH203" s="9">
        <f t="shared" si="342"/>
        <v>0</v>
      </c>
      <c r="AI203" s="9">
        <f t="shared" si="342"/>
        <v>0</v>
      </c>
      <c r="AJ203" s="9">
        <f t="shared" si="342"/>
        <v>0</v>
      </c>
      <c r="AK203" s="9">
        <f t="shared" si="342"/>
        <v>0</v>
      </c>
      <c r="AL203" s="9">
        <f t="shared" si="342"/>
        <v>0</v>
      </c>
      <c r="AM203" s="9">
        <f t="shared" si="342"/>
        <v>0</v>
      </c>
      <c r="AN203" s="74">
        <f t="shared" si="342"/>
        <v>0</v>
      </c>
      <c r="AO203" s="270">
        <f t="shared" si="342"/>
        <v>13623208</v>
      </c>
      <c r="AP203" s="8">
        <f t="shared" si="342"/>
        <v>9717819</v>
      </c>
      <c r="AQ203" s="38">
        <f t="shared" si="342"/>
        <v>52940</v>
      </c>
      <c r="AR203" s="38">
        <f t="shared" si="342"/>
        <v>22940</v>
      </c>
      <c r="AS203" s="8">
        <f t="shared" si="342"/>
        <v>3294763</v>
      </c>
      <c r="AT203" s="8">
        <f t="shared" si="342"/>
        <v>194356</v>
      </c>
      <c r="AU203" s="8">
        <f t="shared" si="342"/>
        <v>363330</v>
      </c>
      <c r="AV203" s="9">
        <f t="shared" si="342"/>
        <v>21.561500000000006</v>
      </c>
      <c r="AW203" s="9">
        <f t="shared" si="342"/>
        <v>13.887000000000002</v>
      </c>
      <c r="AX203" s="74">
        <f t="shared" si="342"/>
        <v>7.6745000000000001</v>
      </c>
    </row>
    <row r="204" spans="1:50" s="695" customFormat="1" ht="12.75" customHeight="1" x14ac:dyDescent="0.2">
      <c r="A204" s="720">
        <v>37</v>
      </c>
      <c r="B204" s="721">
        <v>4467</v>
      </c>
      <c r="C204" s="721">
        <v>600074935</v>
      </c>
      <c r="D204" s="721">
        <v>48282545</v>
      </c>
      <c r="E204" s="722" t="s">
        <v>221</v>
      </c>
      <c r="F204" s="721">
        <v>3111</v>
      </c>
      <c r="G204" s="531" t="s">
        <v>317</v>
      </c>
      <c r="H204" s="767" t="s">
        <v>283</v>
      </c>
      <c r="I204" s="495">
        <v>6786449</v>
      </c>
      <c r="J204" s="496">
        <v>6459810</v>
      </c>
      <c r="K204" s="496">
        <v>0</v>
      </c>
      <c r="L204" s="496">
        <v>0</v>
      </c>
      <c r="M204" s="496">
        <v>220492</v>
      </c>
      <c r="N204" s="496">
        <v>13047</v>
      </c>
      <c r="O204" s="496">
        <v>93100</v>
      </c>
      <c r="P204" s="497">
        <v>15.000999999999999</v>
      </c>
      <c r="Q204" s="412">
        <v>11.935499999999999</v>
      </c>
      <c r="R204" s="764">
        <v>3.0655000000000001</v>
      </c>
      <c r="S204" s="530">
        <f t="shared" ref="S204:S218" si="343">W204*-1</f>
        <v>0</v>
      </c>
      <c r="T204" s="486">
        <v>0</v>
      </c>
      <c r="U204" s="486">
        <v>0</v>
      </c>
      <c r="V204" s="486">
        <f t="shared" ref="V204:V211" si="344">SUM(S204:U204)</f>
        <v>0</v>
      </c>
      <c r="W204" s="486">
        <v>0</v>
      </c>
      <c r="X204" s="486">
        <v>0</v>
      </c>
      <c r="Y204" s="486">
        <f t="shared" ref="Y204:Y211" si="345">SUM(W204:X204)</f>
        <v>0</v>
      </c>
      <c r="Z204" s="486">
        <f t="shared" ref="Z204:Z211" si="346">V204+Y204</f>
        <v>0</v>
      </c>
      <c r="AA204" s="319">
        <f t="shared" ref="AA204:AA211" si="347">ROUND((V204+W204)*33.8%,0)</f>
        <v>0</v>
      </c>
      <c r="AB204" s="178">
        <f t="shared" ref="AB204:AB211" si="348">ROUND(V204*2%,0)</f>
        <v>0</v>
      </c>
      <c r="AC204" s="486">
        <v>0</v>
      </c>
      <c r="AD204" s="486">
        <v>0</v>
      </c>
      <c r="AE204" s="486">
        <f t="shared" si="224"/>
        <v>0</v>
      </c>
      <c r="AF204" s="486">
        <f t="shared" si="225"/>
        <v>0</v>
      </c>
      <c r="AG204" s="501">
        <v>0</v>
      </c>
      <c r="AH204" s="501">
        <v>0</v>
      </c>
      <c r="AI204" s="501">
        <v>0</v>
      </c>
      <c r="AJ204" s="501">
        <v>0</v>
      </c>
      <c r="AK204" s="501">
        <v>0</v>
      </c>
      <c r="AL204" s="501">
        <f t="shared" ref="AL204:AL211" si="349">AG204+AI204+AJ204</f>
        <v>0</v>
      </c>
      <c r="AM204" s="501">
        <f t="shared" ref="AM204:AM211" si="350">AH204+AK204</f>
        <v>0</v>
      </c>
      <c r="AN204" s="502">
        <f t="shared" si="226"/>
        <v>0</v>
      </c>
      <c r="AO204" s="499">
        <f t="shared" ref="AO204:AO211" si="351">I204+AF204</f>
        <v>6786449</v>
      </c>
      <c r="AP204" s="486">
        <f t="shared" ref="AP204:AP211" si="352">J204+V204</f>
        <v>6459810</v>
      </c>
      <c r="AQ204" s="486">
        <f t="shared" ref="AQ204:AQ211" si="353">K204+Y204</f>
        <v>0</v>
      </c>
      <c r="AR204" s="486">
        <f t="shared" ref="AR204:AR211" si="354">L204</f>
        <v>0</v>
      </c>
      <c r="AS204" s="486">
        <f t="shared" ref="AS204:AT211" si="355">M204+AA204</f>
        <v>220492</v>
      </c>
      <c r="AT204" s="486">
        <f t="shared" si="355"/>
        <v>13047</v>
      </c>
      <c r="AU204" s="486">
        <f t="shared" ref="AU204:AU211" si="356">O204+AE204</f>
        <v>93100</v>
      </c>
      <c r="AV204" s="501">
        <f t="shared" ref="AV204:AV211" si="357">P204+AN204</f>
        <v>15.000999999999999</v>
      </c>
      <c r="AW204" s="501">
        <f t="shared" ref="AW204:AX211" si="358">Q204+AL204</f>
        <v>11.935499999999999</v>
      </c>
      <c r="AX204" s="502">
        <f t="shared" si="358"/>
        <v>3.0655000000000001</v>
      </c>
    </row>
    <row r="205" spans="1:50" s="695" customFormat="1" ht="12.75" customHeight="1" x14ac:dyDescent="0.2">
      <c r="A205" s="720">
        <v>37</v>
      </c>
      <c r="B205" s="721">
        <v>4467</v>
      </c>
      <c r="C205" s="721">
        <v>600074935</v>
      </c>
      <c r="D205" s="721">
        <v>48282545</v>
      </c>
      <c r="E205" s="722" t="s">
        <v>221</v>
      </c>
      <c r="F205" s="721">
        <v>3113</v>
      </c>
      <c r="G205" s="531" t="s">
        <v>320</v>
      </c>
      <c r="H205" s="767" t="s">
        <v>283</v>
      </c>
      <c r="I205" s="495">
        <v>31581269</v>
      </c>
      <c r="J205" s="496">
        <v>20555233</v>
      </c>
      <c r="K205" s="496">
        <v>289524</v>
      </c>
      <c r="L205" s="496">
        <v>209524</v>
      </c>
      <c r="M205" s="496">
        <v>9342785</v>
      </c>
      <c r="N205" s="496">
        <v>551227</v>
      </c>
      <c r="O205" s="496">
        <v>842500</v>
      </c>
      <c r="P205" s="497">
        <v>37.917499999999997</v>
      </c>
      <c r="Q205" s="412">
        <v>28.779999999999998</v>
      </c>
      <c r="R205" s="764">
        <v>9.1375000000000028</v>
      </c>
      <c r="S205" s="530">
        <f t="shared" si="343"/>
        <v>0</v>
      </c>
      <c r="T205" s="486">
        <v>0</v>
      </c>
      <c r="U205" s="486">
        <v>-51546</v>
      </c>
      <c r="V205" s="486">
        <f t="shared" si="344"/>
        <v>-51546</v>
      </c>
      <c r="W205" s="486">
        <v>0</v>
      </c>
      <c r="X205" s="486">
        <v>0</v>
      </c>
      <c r="Y205" s="486">
        <f t="shared" si="345"/>
        <v>0</v>
      </c>
      <c r="Z205" s="486">
        <f t="shared" si="346"/>
        <v>-51546</v>
      </c>
      <c r="AA205" s="319">
        <f t="shared" si="347"/>
        <v>-17423</v>
      </c>
      <c r="AB205" s="178">
        <f t="shared" si="348"/>
        <v>-1031</v>
      </c>
      <c r="AC205" s="486">
        <v>0</v>
      </c>
      <c r="AD205" s="486">
        <v>70000</v>
      </c>
      <c r="AE205" s="486">
        <f t="shared" si="224"/>
        <v>70000</v>
      </c>
      <c r="AF205" s="486">
        <f t="shared" si="225"/>
        <v>0</v>
      </c>
      <c r="AG205" s="501">
        <v>0</v>
      </c>
      <c r="AH205" s="501">
        <v>0</v>
      </c>
      <c r="AI205" s="501">
        <v>0</v>
      </c>
      <c r="AJ205" s="501">
        <v>0</v>
      </c>
      <c r="AK205" s="501">
        <v>0</v>
      </c>
      <c r="AL205" s="501">
        <f t="shared" si="349"/>
        <v>0</v>
      </c>
      <c r="AM205" s="501">
        <f t="shared" si="350"/>
        <v>0</v>
      </c>
      <c r="AN205" s="502">
        <f t="shared" si="226"/>
        <v>0</v>
      </c>
      <c r="AO205" s="499">
        <f t="shared" si="351"/>
        <v>31581269</v>
      </c>
      <c r="AP205" s="486">
        <f t="shared" si="352"/>
        <v>20503687</v>
      </c>
      <c r="AQ205" s="486">
        <f t="shared" si="353"/>
        <v>289524</v>
      </c>
      <c r="AR205" s="486">
        <f t="shared" si="354"/>
        <v>209524</v>
      </c>
      <c r="AS205" s="486">
        <f t="shared" si="355"/>
        <v>9325362</v>
      </c>
      <c r="AT205" s="486">
        <f t="shared" si="355"/>
        <v>550196</v>
      </c>
      <c r="AU205" s="486">
        <f t="shared" si="356"/>
        <v>912500</v>
      </c>
      <c r="AV205" s="501">
        <f t="shared" si="357"/>
        <v>37.917499999999997</v>
      </c>
      <c r="AW205" s="501">
        <f t="shared" si="358"/>
        <v>28.779999999999998</v>
      </c>
      <c r="AX205" s="502">
        <f t="shared" si="358"/>
        <v>9.1375000000000028</v>
      </c>
    </row>
    <row r="206" spans="1:50" s="695" customFormat="1" ht="12.75" customHeight="1" x14ac:dyDescent="0.2">
      <c r="A206" s="720">
        <v>37</v>
      </c>
      <c r="B206" s="721">
        <v>4467</v>
      </c>
      <c r="C206" s="721">
        <v>600074935</v>
      </c>
      <c r="D206" s="721">
        <v>48282545</v>
      </c>
      <c r="E206" s="722" t="s">
        <v>221</v>
      </c>
      <c r="F206" s="721">
        <v>3113</v>
      </c>
      <c r="G206" s="531" t="s">
        <v>319</v>
      </c>
      <c r="H206" s="767" t="s">
        <v>283</v>
      </c>
      <c r="I206" s="495">
        <v>1486841</v>
      </c>
      <c r="J206" s="496">
        <v>1253302</v>
      </c>
      <c r="K206" s="496">
        <v>0</v>
      </c>
      <c r="L206" s="496">
        <v>0</v>
      </c>
      <c r="M206" s="496">
        <v>220492</v>
      </c>
      <c r="N206" s="496">
        <v>13047</v>
      </c>
      <c r="O206" s="496">
        <v>0</v>
      </c>
      <c r="P206" s="497">
        <v>3.9167000000000001</v>
      </c>
      <c r="Q206" s="412">
        <v>3.9167000000000001</v>
      </c>
      <c r="R206" s="764">
        <v>0</v>
      </c>
      <c r="S206" s="530">
        <f t="shared" si="343"/>
        <v>0</v>
      </c>
      <c r="T206" s="486">
        <v>0</v>
      </c>
      <c r="U206" s="486">
        <v>0</v>
      </c>
      <c r="V206" s="486">
        <f t="shared" si="344"/>
        <v>0</v>
      </c>
      <c r="W206" s="486">
        <v>0</v>
      </c>
      <c r="X206" s="486">
        <v>0</v>
      </c>
      <c r="Y206" s="486">
        <f t="shared" si="345"/>
        <v>0</v>
      </c>
      <c r="Z206" s="486">
        <f t="shared" si="346"/>
        <v>0</v>
      </c>
      <c r="AA206" s="319">
        <f t="shared" si="347"/>
        <v>0</v>
      </c>
      <c r="AB206" s="178">
        <f t="shared" si="348"/>
        <v>0</v>
      </c>
      <c r="AC206" s="486">
        <v>0</v>
      </c>
      <c r="AD206" s="486">
        <v>0</v>
      </c>
      <c r="AE206" s="486">
        <f t="shared" si="224"/>
        <v>0</v>
      </c>
      <c r="AF206" s="486">
        <f t="shared" si="225"/>
        <v>0</v>
      </c>
      <c r="AG206" s="501">
        <v>0</v>
      </c>
      <c r="AH206" s="501">
        <v>0</v>
      </c>
      <c r="AI206" s="501">
        <v>0</v>
      </c>
      <c r="AJ206" s="501">
        <v>0</v>
      </c>
      <c r="AK206" s="501">
        <v>0</v>
      </c>
      <c r="AL206" s="501">
        <f t="shared" si="349"/>
        <v>0</v>
      </c>
      <c r="AM206" s="501">
        <f t="shared" si="350"/>
        <v>0</v>
      </c>
      <c r="AN206" s="502">
        <f t="shared" si="226"/>
        <v>0</v>
      </c>
      <c r="AO206" s="499">
        <f t="shared" si="351"/>
        <v>1486841</v>
      </c>
      <c r="AP206" s="486">
        <f t="shared" si="352"/>
        <v>1253302</v>
      </c>
      <c r="AQ206" s="486">
        <f t="shared" si="353"/>
        <v>0</v>
      </c>
      <c r="AR206" s="486">
        <f t="shared" si="354"/>
        <v>0</v>
      </c>
      <c r="AS206" s="486">
        <f t="shared" si="355"/>
        <v>220492</v>
      </c>
      <c r="AT206" s="486">
        <f t="shared" si="355"/>
        <v>13047</v>
      </c>
      <c r="AU206" s="486">
        <f t="shared" si="356"/>
        <v>0</v>
      </c>
      <c r="AV206" s="501">
        <f t="shared" si="357"/>
        <v>3.9167000000000001</v>
      </c>
      <c r="AW206" s="501">
        <f t="shared" si="358"/>
        <v>3.9167000000000001</v>
      </c>
      <c r="AX206" s="502">
        <f t="shared" si="358"/>
        <v>0</v>
      </c>
    </row>
    <row r="207" spans="1:50" s="695" customFormat="1" ht="12.75" customHeight="1" x14ac:dyDescent="0.2">
      <c r="A207" s="720">
        <v>37</v>
      </c>
      <c r="B207" s="721">
        <v>4467</v>
      </c>
      <c r="C207" s="721">
        <v>600074935</v>
      </c>
      <c r="D207" s="721">
        <v>48282545</v>
      </c>
      <c r="E207" s="722" t="s">
        <v>221</v>
      </c>
      <c r="F207" s="721">
        <v>3113</v>
      </c>
      <c r="G207" s="531" t="s">
        <v>318</v>
      </c>
      <c r="H207" s="767" t="s">
        <v>284</v>
      </c>
      <c r="I207" s="495">
        <v>4233792</v>
      </c>
      <c r="J207" s="496">
        <v>3107431</v>
      </c>
      <c r="K207" s="475">
        <v>0</v>
      </c>
      <c r="L207" s="475">
        <v>0</v>
      </c>
      <c r="M207" s="319">
        <v>1050312</v>
      </c>
      <c r="N207" s="319">
        <v>62149</v>
      </c>
      <c r="O207" s="496">
        <v>13900</v>
      </c>
      <c r="P207" s="497">
        <v>9.2900000000000009</v>
      </c>
      <c r="Q207" s="412">
        <v>9.2900000000000009</v>
      </c>
      <c r="R207" s="764">
        <v>0</v>
      </c>
      <c r="S207" s="530">
        <f t="shared" si="343"/>
        <v>0</v>
      </c>
      <c r="T207" s="486">
        <v>0</v>
      </c>
      <c r="U207" s="486">
        <v>0</v>
      </c>
      <c r="V207" s="486">
        <f t="shared" si="344"/>
        <v>0</v>
      </c>
      <c r="W207" s="486">
        <v>0</v>
      </c>
      <c r="X207" s="486">
        <v>0</v>
      </c>
      <c r="Y207" s="486">
        <f t="shared" si="345"/>
        <v>0</v>
      </c>
      <c r="Z207" s="486">
        <f t="shared" si="346"/>
        <v>0</v>
      </c>
      <c r="AA207" s="319">
        <f t="shared" si="347"/>
        <v>0</v>
      </c>
      <c r="AB207" s="178">
        <f t="shared" si="348"/>
        <v>0</v>
      </c>
      <c r="AC207" s="486">
        <v>0</v>
      </c>
      <c r="AD207" s="486">
        <v>0</v>
      </c>
      <c r="AE207" s="486">
        <f t="shared" ref="AE207:AE271" si="359">SUM(AC207:AD207)</f>
        <v>0</v>
      </c>
      <c r="AF207" s="486">
        <f t="shared" ref="AF207:AF271" si="360">Z207+AA207+AB207+AE207</f>
        <v>0</v>
      </c>
      <c r="AG207" s="501">
        <v>0</v>
      </c>
      <c r="AH207" s="501">
        <v>0</v>
      </c>
      <c r="AI207" s="501">
        <v>0</v>
      </c>
      <c r="AJ207" s="501">
        <v>0</v>
      </c>
      <c r="AK207" s="501">
        <v>0</v>
      </c>
      <c r="AL207" s="501">
        <f t="shared" si="349"/>
        <v>0</v>
      </c>
      <c r="AM207" s="501">
        <f t="shared" si="350"/>
        <v>0</v>
      </c>
      <c r="AN207" s="502">
        <f t="shared" ref="AN207:AN271" si="361">SUM(AL207:AM207)</f>
        <v>0</v>
      </c>
      <c r="AO207" s="499">
        <f t="shared" si="351"/>
        <v>4233792</v>
      </c>
      <c r="AP207" s="486">
        <f t="shared" si="352"/>
        <v>3107431</v>
      </c>
      <c r="AQ207" s="486">
        <f t="shared" si="353"/>
        <v>0</v>
      </c>
      <c r="AR207" s="486">
        <f t="shared" si="354"/>
        <v>0</v>
      </c>
      <c r="AS207" s="486">
        <f t="shared" si="355"/>
        <v>1050312</v>
      </c>
      <c r="AT207" s="486">
        <f t="shared" si="355"/>
        <v>62149</v>
      </c>
      <c r="AU207" s="486">
        <f t="shared" si="356"/>
        <v>13900</v>
      </c>
      <c r="AV207" s="501">
        <f t="shared" si="357"/>
        <v>9.2900000000000009</v>
      </c>
      <c r="AW207" s="501">
        <f t="shared" si="358"/>
        <v>9.2900000000000009</v>
      </c>
      <c r="AX207" s="502">
        <f t="shared" si="358"/>
        <v>0</v>
      </c>
    </row>
    <row r="208" spans="1:50" s="695" customFormat="1" ht="12.75" customHeight="1" x14ac:dyDescent="0.2">
      <c r="A208" s="720">
        <v>37</v>
      </c>
      <c r="B208" s="721">
        <v>4467</v>
      </c>
      <c r="C208" s="721">
        <v>600074935</v>
      </c>
      <c r="D208" s="721">
        <v>48282545</v>
      </c>
      <c r="E208" s="722" t="s">
        <v>221</v>
      </c>
      <c r="F208" s="721">
        <v>3141</v>
      </c>
      <c r="G208" s="531" t="s">
        <v>321</v>
      </c>
      <c r="H208" s="767" t="s">
        <v>284</v>
      </c>
      <c r="I208" s="495">
        <v>2779380</v>
      </c>
      <c r="J208" s="496">
        <v>2029947</v>
      </c>
      <c r="K208" s="475">
        <v>0</v>
      </c>
      <c r="L208" s="475">
        <v>0</v>
      </c>
      <c r="M208" s="319">
        <v>686122</v>
      </c>
      <c r="N208" s="319">
        <v>40599</v>
      </c>
      <c r="O208" s="496">
        <v>22712</v>
      </c>
      <c r="P208" s="497">
        <v>6.9</v>
      </c>
      <c r="Q208" s="412">
        <v>0</v>
      </c>
      <c r="R208" s="764">
        <v>6.9</v>
      </c>
      <c r="S208" s="530">
        <f t="shared" si="343"/>
        <v>0</v>
      </c>
      <c r="T208" s="486">
        <v>0</v>
      </c>
      <c r="U208" s="486">
        <v>0</v>
      </c>
      <c r="V208" s="486">
        <f t="shared" si="344"/>
        <v>0</v>
      </c>
      <c r="W208" s="486">
        <v>0</v>
      </c>
      <c r="X208" s="486">
        <v>0</v>
      </c>
      <c r="Y208" s="486">
        <f t="shared" si="345"/>
        <v>0</v>
      </c>
      <c r="Z208" s="486">
        <f t="shared" si="346"/>
        <v>0</v>
      </c>
      <c r="AA208" s="319">
        <f t="shared" si="347"/>
        <v>0</v>
      </c>
      <c r="AB208" s="178">
        <f t="shared" si="348"/>
        <v>0</v>
      </c>
      <c r="AC208" s="486">
        <v>0</v>
      </c>
      <c r="AD208" s="486">
        <v>0</v>
      </c>
      <c r="AE208" s="486">
        <f t="shared" si="359"/>
        <v>0</v>
      </c>
      <c r="AF208" s="486">
        <f t="shared" si="360"/>
        <v>0</v>
      </c>
      <c r="AG208" s="501">
        <v>0</v>
      </c>
      <c r="AH208" s="501">
        <v>0</v>
      </c>
      <c r="AI208" s="501">
        <v>0</v>
      </c>
      <c r="AJ208" s="501">
        <v>0</v>
      </c>
      <c r="AK208" s="501">
        <v>0</v>
      </c>
      <c r="AL208" s="501">
        <f t="shared" si="349"/>
        <v>0</v>
      </c>
      <c r="AM208" s="501">
        <f t="shared" si="350"/>
        <v>0</v>
      </c>
      <c r="AN208" s="502">
        <f t="shared" si="361"/>
        <v>0</v>
      </c>
      <c r="AO208" s="499">
        <f t="shared" si="351"/>
        <v>2779380</v>
      </c>
      <c r="AP208" s="486">
        <f t="shared" si="352"/>
        <v>2029947</v>
      </c>
      <c r="AQ208" s="486">
        <f t="shared" si="353"/>
        <v>0</v>
      </c>
      <c r="AR208" s="486">
        <f t="shared" si="354"/>
        <v>0</v>
      </c>
      <c r="AS208" s="486">
        <f t="shared" si="355"/>
        <v>686122</v>
      </c>
      <c r="AT208" s="486">
        <f t="shared" si="355"/>
        <v>40599</v>
      </c>
      <c r="AU208" s="486">
        <f t="shared" si="356"/>
        <v>22712</v>
      </c>
      <c r="AV208" s="501">
        <f t="shared" si="357"/>
        <v>6.9</v>
      </c>
      <c r="AW208" s="501">
        <f t="shared" si="358"/>
        <v>0</v>
      </c>
      <c r="AX208" s="502">
        <f t="shared" si="358"/>
        <v>6.9</v>
      </c>
    </row>
    <row r="209" spans="1:50" s="695" customFormat="1" ht="12.75" customHeight="1" x14ac:dyDescent="0.2">
      <c r="A209" s="720">
        <v>37</v>
      </c>
      <c r="B209" s="721">
        <v>4467</v>
      </c>
      <c r="C209" s="721">
        <v>600074935</v>
      </c>
      <c r="D209" s="721">
        <v>48282545</v>
      </c>
      <c r="E209" s="712" t="s">
        <v>221</v>
      </c>
      <c r="F209" s="721">
        <v>3143</v>
      </c>
      <c r="G209" s="531" t="s">
        <v>634</v>
      </c>
      <c r="H209" s="701" t="s">
        <v>283</v>
      </c>
      <c r="I209" s="495">
        <v>1841039</v>
      </c>
      <c r="J209" s="496">
        <v>1513271</v>
      </c>
      <c r="K209" s="496">
        <v>0</v>
      </c>
      <c r="L209" s="496">
        <v>0</v>
      </c>
      <c r="M209" s="496">
        <v>309457</v>
      </c>
      <c r="N209" s="496">
        <v>18311</v>
      </c>
      <c r="O209" s="496">
        <v>0</v>
      </c>
      <c r="P209" s="497">
        <v>3.3172999999999999</v>
      </c>
      <c r="Q209" s="412">
        <v>3.3172999999999999</v>
      </c>
      <c r="R209" s="764">
        <v>0</v>
      </c>
      <c r="S209" s="530">
        <f t="shared" si="343"/>
        <v>0</v>
      </c>
      <c r="T209" s="486">
        <v>0</v>
      </c>
      <c r="U209" s="486">
        <v>0</v>
      </c>
      <c r="V209" s="486">
        <f t="shared" si="344"/>
        <v>0</v>
      </c>
      <c r="W209" s="486">
        <v>0</v>
      </c>
      <c r="X209" s="486">
        <v>0</v>
      </c>
      <c r="Y209" s="486">
        <f t="shared" si="345"/>
        <v>0</v>
      </c>
      <c r="Z209" s="486">
        <f t="shared" si="346"/>
        <v>0</v>
      </c>
      <c r="AA209" s="319">
        <f t="shared" si="347"/>
        <v>0</v>
      </c>
      <c r="AB209" s="178">
        <f t="shared" si="348"/>
        <v>0</v>
      </c>
      <c r="AC209" s="486">
        <v>0</v>
      </c>
      <c r="AD209" s="486">
        <v>0</v>
      </c>
      <c r="AE209" s="486">
        <f t="shared" si="359"/>
        <v>0</v>
      </c>
      <c r="AF209" s="486">
        <f t="shared" si="360"/>
        <v>0</v>
      </c>
      <c r="AG209" s="501">
        <v>0</v>
      </c>
      <c r="AH209" s="501">
        <v>0</v>
      </c>
      <c r="AI209" s="501">
        <v>0</v>
      </c>
      <c r="AJ209" s="501">
        <v>0</v>
      </c>
      <c r="AK209" s="501">
        <v>0</v>
      </c>
      <c r="AL209" s="501">
        <f t="shared" si="349"/>
        <v>0</v>
      </c>
      <c r="AM209" s="501">
        <f t="shared" si="350"/>
        <v>0</v>
      </c>
      <c r="AN209" s="502">
        <f t="shared" si="361"/>
        <v>0</v>
      </c>
      <c r="AO209" s="499">
        <f t="shared" si="351"/>
        <v>1841039</v>
      </c>
      <c r="AP209" s="486">
        <f t="shared" si="352"/>
        <v>1513271</v>
      </c>
      <c r="AQ209" s="486">
        <f t="shared" si="353"/>
        <v>0</v>
      </c>
      <c r="AR209" s="486">
        <f t="shared" si="354"/>
        <v>0</v>
      </c>
      <c r="AS209" s="486">
        <f t="shared" si="355"/>
        <v>309457</v>
      </c>
      <c r="AT209" s="486">
        <f t="shared" si="355"/>
        <v>18311</v>
      </c>
      <c r="AU209" s="486">
        <f t="shared" si="356"/>
        <v>0</v>
      </c>
      <c r="AV209" s="501">
        <f t="shared" si="357"/>
        <v>3.3172999999999999</v>
      </c>
      <c r="AW209" s="501">
        <f t="shared" si="358"/>
        <v>3.3172999999999999</v>
      </c>
      <c r="AX209" s="502">
        <f t="shared" si="358"/>
        <v>0</v>
      </c>
    </row>
    <row r="210" spans="1:50" s="695" customFormat="1" ht="12.75" customHeight="1" x14ac:dyDescent="0.2">
      <c r="A210" s="720">
        <v>37</v>
      </c>
      <c r="B210" s="721">
        <v>4467</v>
      </c>
      <c r="C210" s="721">
        <v>600074935</v>
      </c>
      <c r="D210" s="721">
        <v>48282545</v>
      </c>
      <c r="E210" s="712" t="s">
        <v>221</v>
      </c>
      <c r="F210" s="721">
        <v>3143</v>
      </c>
      <c r="G210" s="531" t="s">
        <v>635</v>
      </c>
      <c r="H210" s="701" t="s">
        <v>284</v>
      </c>
      <c r="I210" s="495">
        <v>51964</v>
      </c>
      <c r="J210" s="496">
        <v>36630</v>
      </c>
      <c r="K210" s="475">
        <v>0</v>
      </c>
      <c r="L210" s="475">
        <v>0</v>
      </c>
      <c r="M210" s="319">
        <v>12381</v>
      </c>
      <c r="N210" s="319">
        <v>733</v>
      </c>
      <c r="O210" s="496">
        <v>2220</v>
      </c>
      <c r="P210" s="497">
        <v>0.15</v>
      </c>
      <c r="Q210" s="412">
        <v>0</v>
      </c>
      <c r="R210" s="764">
        <v>0.15</v>
      </c>
      <c r="S210" s="530">
        <f t="shared" si="343"/>
        <v>0</v>
      </c>
      <c r="T210" s="486">
        <v>0</v>
      </c>
      <c r="U210" s="486">
        <v>0</v>
      </c>
      <c r="V210" s="486">
        <f t="shared" si="344"/>
        <v>0</v>
      </c>
      <c r="W210" s="486">
        <v>0</v>
      </c>
      <c r="X210" s="486">
        <v>0</v>
      </c>
      <c r="Y210" s="486">
        <f t="shared" si="345"/>
        <v>0</v>
      </c>
      <c r="Z210" s="486">
        <f t="shared" si="346"/>
        <v>0</v>
      </c>
      <c r="AA210" s="319">
        <f t="shared" si="347"/>
        <v>0</v>
      </c>
      <c r="AB210" s="178">
        <f t="shared" si="348"/>
        <v>0</v>
      </c>
      <c r="AC210" s="486">
        <v>0</v>
      </c>
      <c r="AD210" s="486">
        <v>0</v>
      </c>
      <c r="AE210" s="486">
        <f t="shared" si="359"/>
        <v>0</v>
      </c>
      <c r="AF210" s="486">
        <f t="shared" si="360"/>
        <v>0</v>
      </c>
      <c r="AG210" s="501">
        <v>0</v>
      </c>
      <c r="AH210" s="501">
        <v>0</v>
      </c>
      <c r="AI210" s="501">
        <v>0</v>
      </c>
      <c r="AJ210" s="501">
        <v>0</v>
      </c>
      <c r="AK210" s="501">
        <v>0</v>
      </c>
      <c r="AL210" s="501">
        <f t="shared" si="349"/>
        <v>0</v>
      </c>
      <c r="AM210" s="501">
        <f t="shared" si="350"/>
        <v>0</v>
      </c>
      <c r="AN210" s="502">
        <f t="shared" si="361"/>
        <v>0</v>
      </c>
      <c r="AO210" s="499">
        <f t="shared" si="351"/>
        <v>51964</v>
      </c>
      <c r="AP210" s="486">
        <f t="shared" si="352"/>
        <v>36630</v>
      </c>
      <c r="AQ210" s="486">
        <f t="shared" si="353"/>
        <v>0</v>
      </c>
      <c r="AR210" s="486">
        <f t="shared" si="354"/>
        <v>0</v>
      </c>
      <c r="AS210" s="486">
        <f t="shared" si="355"/>
        <v>12381</v>
      </c>
      <c r="AT210" s="486">
        <f t="shared" si="355"/>
        <v>733</v>
      </c>
      <c r="AU210" s="486">
        <f t="shared" si="356"/>
        <v>2220</v>
      </c>
      <c r="AV210" s="501">
        <f t="shared" si="357"/>
        <v>0.15</v>
      </c>
      <c r="AW210" s="501">
        <f t="shared" si="358"/>
        <v>0</v>
      </c>
      <c r="AX210" s="502">
        <f t="shared" si="358"/>
        <v>0.15</v>
      </c>
    </row>
    <row r="211" spans="1:50" s="695" customFormat="1" ht="12.75" customHeight="1" x14ac:dyDescent="0.2">
      <c r="A211" s="720">
        <v>37</v>
      </c>
      <c r="B211" s="721">
        <v>4467</v>
      </c>
      <c r="C211" s="721">
        <v>600074935</v>
      </c>
      <c r="D211" s="721">
        <v>48282545</v>
      </c>
      <c r="E211" s="722" t="s">
        <v>221</v>
      </c>
      <c r="F211" s="721">
        <v>3233</v>
      </c>
      <c r="G211" s="531" t="s">
        <v>324</v>
      </c>
      <c r="H211" s="767" t="s">
        <v>284</v>
      </c>
      <c r="I211" s="495">
        <v>2319539</v>
      </c>
      <c r="J211" s="496">
        <v>1636037</v>
      </c>
      <c r="K211" s="475">
        <v>60000</v>
      </c>
      <c r="L211" s="475">
        <v>0</v>
      </c>
      <c r="M211" s="319">
        <v>573261</v>
      </c>
      <c r="N211" s="319">
        <v>32721</v>
      </c>
      <c r="O211" s="496">
        <v>17520</v>
      </c>
      <c r="P211" s="497">
        <v>3.67</v>
      </c>
      <c r="Q211" s="412">
        <v>2.62</v>
      </c>
      <c r="R211" s="764">
        <v>1.05</v>
      </c>
      <c r="S211" s="530">
        <f t="shared" si="343"/>
        <v>0</v>
      </c>
      <c r="T211" s="486">
        <v>0</v>
      </c>
      <c r="U211" s="486">
        <v>0</v>
      </c>
      <c r="V211" s="486">
        <f t="shared" si="344"/>
        <v>0</v>
      </c>
      <c r="W211" s="486">
        <v>0</v>
      </c>
      <c r="X211" s="486">
        <v>0</v>
      </c>
      <c r="Y211" s="486">
        <f t="shared" si="345"/>
        <v>0</v>
      </c>
      <c r="Z211" s="486">
        <f t="shared" si="346"/>
        <v>0</v>
      </c>
      <c r="AA211" s="319">
        <f t="shared" si="347"/>
        <v>0</v>
      </c>
      <c r="AB211" s="178">
        <f t="shared" si="348"/>
        <v>0</v>
      </c>
      <c r="AC211" s="486">
        <v>0</v>
      </c>
      <c r="AD211" s="486">
        <v>0</v>
      </c>
      <c r="AE211" s="486">
        <f t="shared" si="359"/>
        <v>0</v>
      </c>
      <c r="AF211" s="486">
        <f t="shared" si="360"/>
        <v>0</v>
      </c>
      <c r="AG211" s="501">
        <v>0</v>
      </c>
      <c r="AH211" s="501">
        <v>0</v>
      </c>
      <c r="AI211" s="501">
        <v>0</v>
      </c>
      <c r="AJ211" s="501">
        <v>0</v>
      </c>
      <c r="AK211" s="501">
        <v>0</v>
      </c>
      <c r="AL211" s="501">
        <f t="shared" si="349"/>
        <v>0</v>
      </c>
      <c r="AM211" s="501">
        <f t="shared" si="350"/>
        <v>0</v>
      </c>
      <c r="AN211" s="502">
        <f t="shared" si="361"/>
        <v>0</v>
      </c>
      <c r="AO211" s="499">
        <f t="shared" si="351"/>
        <v>2319539</v>
      </c>
      <c r="AP211" s="486">
        <f t="shared" si="352"/>
        <v>1636037</v>
      </c>
      <c r="AQ211" s="486">
        <f t="shared" si="353"/>
        <v>60000</v>
      </c>
      <c r="AR211" s="486">
        <f t="shared" si="354"/>
        <v>0</v>
      </c>
      <c r="AS211" s="486">
        <f t="shared" si="355"/>
        <v>573261</v>
      </c>
      <c r="AT211" s="486">
        <f t="shared" si="355"/>
        <v>32721</v>
      </c>
      <c r="AU211" s="486">
        <f t="shared" si="356"/>
        <v>17520</v>
      </c>
      <c r="AV211" s="501">
        <f t="shared" si="357"/>
        <v>3.67</v>
      </c>
      <c r="AW211" s="501">
        <f t="shared" si="358"/>
        <v>2.62</v>
      </c>
      <c r="AX211" s="502">
        <f t="shared" si="358"/>
        <v>1.05</v>
      </c>
    </row>
    <row r="212" spans="1:50" s="695" customFormat="1" ht="12.75" customHeight="1" x14ac:dyDescent="0.2">
      <c r="A212" s="282">
        <v>37</v>
      </c>
      <c r="B212" s="27">
        <v>4467</v>
      </c>
      <c r="C212" s="27">
        <v>600074935</v>
      </c>
      <c r="D212" s="27">
        <v>48282545</v>
      </c>
      <c r="E212" s="292" t="s">
        <v>222</v>
      </c>
      <c r="F212" s="27"/>
      <c r="G212" s="281"/>
      <c r="H212" s="377"/>
      <c r="I212" s="5">
        <v>51080273</v>
      </c>
      <c r="J212" s="8">
        <v>36591661</v>
      </c>
      <c r="K212" s="8">
        <v>349524</v>
      </c>
      <c r="L212" s="8">
        <v>209524</v>
      </c>
      <c r="M212" s="8">
        <v>12415302</v>
      </c>
      <c r="N212" s="8">
        <v>731834</v>
      </c>
      <c r="O212" s="8">
        <v>991952</v>
      </c>
      <c r="P212" s="9">
        <v>80.162500000000009</v>
      </c>
      <c r="Q212" s="9">
        <v>59.859499999999997</v>
      </c>
      <c r="R212" s="33">
        <v>20.303000000000001</v>
      </c>
      <c r="S212" s="5">
        <f t="shared" ref="S212:AX212" si="362">SUM(S204:S211)</f>
        <v>0</v>
      </c>
      <c r="T212" s="8">
        <f t="shared" si="362"/>
        <v>0</v>
      </c>
      <c r="U212" s="8">
        <f t="shared" si="362"/>
        <v>-51546</v>
      </c>
      <c r="V212" s="8">
        <f t="shared" si="362"/>
        <v>-51546</v>
      </c>
      <c r="W212" s="8">
        <f t="shared" si="362"/>
        <v>0</v>
      </c>
      <c r="X212" s="8">
        <f t="shared" si="362"/>
        <v>0</v>
      </c>
      <c r="Y212" s="8">
        <f t="shared" si="362"/>
        <v>0</v>
      </c>
      <c r="Z212" s="8">
        <f t="shared" si="362"/>
        <v>-51546</v>
      </c>
      <c r="AA212" s="8">
        <f t="shared" si="362"/>
        <v>-17423</v>
      </c>
      <c r="AB212" s="8">
        <f t="shared" si="362"/>
        <v>-1031</v>
      </c>
      <c r="AC212" s="8">
        <f t="shared" si="362"/>
        <v>0</v>
      </c>
      <c r="AD212" s="8">
        <f t="shared" si="362"/>
        <v>70000</v>
      </c>
      <c r="AE212" s="8">
        <f t="shared" si="362"/>
        <v>70000</v>
      </c>
      <c r="AF212" s="8">
        <f t="shared" si="362"/>
        <v>0</v>
      </c>
      <c r="AG212" s="9">
        <f t="shared" si="362"/>
        <v>0</v>
      </c>
      <c r="AH212" s="9">
        <f t="shared" si="362"/>
        <v>0</v>
      </c>
      <c r="AI212" s="9">
        <f t="shared" si="362"/>
        <v>0</v>
      </c>
      <c r="AJ212" s="9">
        <f t="shared" si="362"/>
        <v>0</v>
      </c>
      <c r="AK212" s="9">
        <f t="shared" si="362"/>
        <v>0</v>
      </c>
      <c r="AL212" s="9">
        <f t="shared" si="362"/>
        <v>0</v>
      </c>
      <c r="AM212" s="9">
        <f t="shared" si="362"/>
        <v>0</v>
      </c>
      <c r="AN212" s="74">
        <f t="shared" si="362"/>
        <v>0</v>
      </c>
      <c r="AO212" s="270">
        <f t="shared" si="362"/>
        <v>51080273</v>
      </c>
      <c r="AP212" s="8">
        <f t="shared" si="362"/>
        <v>36540115</v>
      </c>
      <c r="AQ212" s="38">
        <f t="shared" si="362"/>
        <v>349524</v>
      </c>
      <c r="AR212" s="38">
        <f t="shared" si="362"/>
        <v>209524</v>
      </c>
      <c r="AS212" s="8">
        <f t="shared" si="362"/>
        <v>12397879</v>
      </c>
      <c r="AT212" s="8">
        <f t="shared" si="362"/>
        <v>730803</v>
      </c>
      <c r="AU212" s="8">
        <f t="shared" si="362"/>
        <v>1061952</v>
      </c>
      <c r="AV212" s="9">
        <f t="shared" si="362"/>
        <v>80.162500000000009</v>
      </c>
      <c r="AW212" s="9">
        <f t="shared" si="362"/>
        <v>59.859499999999997</v>
      </c>
      <c r="AX212" s="74">
        <f t="shared" si="362"/>
        <v>20.303000000000001</v>
      </c>
    </row>
    <row r="213" spans="1:50" s="695" customFormat="1" ht="12.75" customHeight="1" x14ac:dyDescent="0.2">
      <c r="A213" s="720">
        <v>38</v>
      </c>
      <c r="B213" s="721">
        <v>4460</v>
      </c>
      <c r="C213" s="721">
        <v>600074579</v>
      </c>
      <c r="D213" s="721">
        <v>48283011</v>
      </c>
      <c r="E213" s="722" t="s">
        <v>223</v>
      </c>
      <c r="F213" s="721">
        <v>3111</v>
      </c>
      <c r="G213" s="531" t="s">
        <v>317</v>
      </c>
      <c r="H213" s="767" t="s">
        <v>283</v>
      </c>
      <c r="I213" s="495">
        <v>4704839</v>
      </c>
      <c r="J213" s="496">
        <v>4387504</v>
      </c>
      <c r="K213" s="496">
        <v>11220</v>
      </c>
      <c r="L213" s="496">
        <v>0</v>
      </c>
      <c r="M213" s="496">
        <v>220492</v>
      </c>
      <c r="N213" s="496">
        <v>12823</v>
      </c>
      <c r="O213" s="496">
        <v>72800</v>
      </c>
      <c r="P213" s="497">
        <v>10.043699999999999</v>
      </c>
      <c r="Q213" s="412">
        <v>8</v>
      </c>
      <c r="R213" s="764">
        <v>2.0436999999999999</v>
      </c>
      <c r="S213" s="530">
        <f t="shared" si="343"/>
        <v>0</v>
      </c>
      <c r="T213" s="486">
        <v>0</v>
      </c>
      <c r="U213" s="486">
        <v>0</v>
      </c>
      <c r="V213" s="486">
        <f t="shared" ref="V213:V218" si="363">SUM(S213:U213)</f>
        <v>0</v>
      </c>
      <c r="W213" s="486">
        <v>0</v>
      </c>
      <c r="X213" s="486">
        <v>0</v>
      </c>
      <c r="Y213" s="486">
        <f t="shared" ref="Y213:Y218" si="364">SUM(W213:X213)</f>
        <v>0</v>
      </c>
      <c r="Z213" s="486">
        <f t="shared" ref="Z213:Z218" si="365">V213+Y213</f>
        <v>0</v>
      </c>
      <c r="AA213" s="319">
        <f t="shared" ref="AA213:AA218" si="366">ROUND((V213+W213)*33.8%,0)</f>
        <v>0</v>
      </c>
      <c r="AB213" s="178">
        <f t="shared" ref="AB213:AB218" si="367">ROUND(V213*2%,0)</f>
        <v>0</v>
      </c>
      <c r="AC213" s="486">
        <v>0</v>
      </c>
      <c r="AD213" s="486">
        <v>0</v>
      </c>
      <c r="AE213" s="486">
        <f t="shared" si="359"/>
        <v>0</v>
      </c>
      <c r="AF213" s="486">
        <f t="shared" si="360"/>
        <v>0</v>
      </c>
      <c r="AG213" s="501">
        <v>0</v>
      </c>
      <c r="AH213" s="501">
        <v>0</v>
      </c>
      <c r="AI213" s="501">
        <v>0</v>
      </c>
      <c r="AJ213" s="501">
        <v>0</v>
      </c>
      <c r="AK213" s="501">
        <v>0</v>
      </c>
      <c r="AL213" s="501">
        <f t="shared" ref="AL213:AL218" si="368">AG213+AI213+AJ213</f>
        <v>0</v>
      </c>
      <c r="AM213" s="501">
        <f t="shared" ref="AM213:AM218" si="369">AH213+AK213</f>
        <v>0</v>
      </c>
      <c r="AN213" s="502">
        <f t="shared" si="361"/>
        <v>0</v>
      </c>
      <c r="AO213" s="499">
        <f t="shared" ref="AO213:AO218" si="370">I213+AF213</f>
        <v>4704839</v>
      </c>
      <c r="AP213" s="486">
        <f t="shared" ref="AP213:AP218" si="371">J213+V213</f>
        <v>4387504</v>
      </c>
      <c r="AQ213" s="486">
        <f t="shared" ref="AQ213:AQ218" si="372">K213+Y213</f>
        <v>11220</v>
      </c>
      <c r="AR213" s="486">
        <f t="shared" ref="AR213:AR218" si="373">L213</f>
        <v>0</v>
      </c>
      <c r="AS213" s="486">
        <f t="shared" ref="AS213:AT218" si="374">M213+AA213</f>
        <v>220492</v>
      </c>
      <c r="AT213" s="486">
        <f t="shared" si="374"/>
        <v>12823</v>
      </c>
      <c r="AU213" s="486">
        <f t="shared" ref="AU213:AU218" si="375">O213+AE213</f>
        <v>72800</v>
      </c>
      <c r="AV213" s="501">
        <f t="shared" ref="AV213:AV218" si="376">P213+AN213</f>
        <v>10.043699999999999</v>
      </c>
      <c r="AW213" s="501">
        <f t="shared" ref="AW213:AX218" si="377">Q213+AL213</f>
        <v>8</v>
      </c>
      <c r="AX213" s="502">
        <f t="shared" si="377"/>
        <v>2.0436999999999999</v>
      </c>
    </row>
    <row r="214" spans="1:50" s="695" customFormat="1" ht="12.75" customHeight="1" x14ac:dyDescent="0.2">
      <c r="A214" s="720">
        <v>38</v>
      </c>
      <c r="B214" s="721">
        <v>4460</v>
      </c>
      <c r="C214" s="721">
        <v>600074579</v>
      </c>
      <c r="D214" s="721">
        <v>48283011</v>
      </c>
      <c r="E214" s="722" t="s">
        <v>223</v>
      </c>
      <c r="F214" s="721">
        <v>3113</v>
      </c>
      <c r="G214" s="531" t="s">
        <v>320</v>
      </c>
      <c r="H214" s="767" t="s">
        <v>283</v>
      </c>
      <c r="I214" s="495">
        <v>27460495</v>
      </c>
      <c r="J214" s="496">
        <v>18031241</v>
      </c>
      <c r="K214" s="496">
        <v>355320</v>
      </c>
      <c r="L214" s="496">
        <v>311540</v>
      </c>
      <c r="M214" s="496">
        <v>7673554</v>
      </c>
      <c r="N214" s="496">
        <v>453180</v>
      </c>
      <c r="O214" s="496">
        <v>947200</v>
      </c>
      <c r="P214" s="497">
        <v>34.451599999999999</v>
      </c>
      <c r="Q214" s="412">
        <v>25.614000000000001</v>
      </c>
      <c r="R214" s="764">
        <v>8.8375999999999983</v>
      </c>
      <c r="S214" s="530">
        <f t="shared" si="343"/>
        <v>0</v>
      </c>
      <c r="T214" s="486">
        <v>0</v>
      </c>
      <c r="U214" s="486">
        <v>0</v>
      </c>
      <c r="V214" s="486">
        <f t="shared" si="363"/>
        <v>0</v>
      </c>
      <c r="W214" s="486">
        <v>0</v>
      </c>
      <c r="X214" s="486">
        <v>0</v>
      </c>
      <c r="Y214" s="486">
        <f t="shared" si="364"/>
        <v>0</v>
      </c>
      <c r="Z214" s="486">
        <f t="shared" si="365"/>
        <v>0</v>
      </c>
      <c r="AA214" s="319">
        <f t="shared" si="366"/>
        <v>0</v>
      </c>
      <c r="AB214" s="178">
        <f t="shared" si="367"/>
        <v>0</v>
      </c>
      <c r="AC214" s="486">
        <v>0</v>
      </c>
      <c r="AD214" s="486">
        <v>0</v>
      </c>
      <c r="AE214" s="486">
        <f t="shared" si="359"/>
        <v>0</v>
      </c>
      <c r="AF214" s="486">
        <f t="shared" si="360"/>
        <v>0</v>
      </c>
      <c r="AG214" s="501">
        <v>0</v>
      </c>
      <c r="AH214" s="501">
        <v>0</v>
      </c>
      <c r="AI214" s="501">
        <v>0</v>
      </c>
      <c r="AJ214" s="501">
        <v>0</v>
      </c>
      <c r="AK214" s="501">
        <v>0</v>
      </c>
      <c r="AL214" s="501">
        <f t="shared" si="368"/>
        <v>0</v>
      </c>
      <c r="AM214" s="501">
        <f t="shared" si="369"/>
        <v>0</v>
      </c>
      <c r="AN214" s="502">
        <f t="shared" si="361"/>
        <v>0</v>
      </c>
      <c r="AO214" s="499">
        <f t="shared" si="370"/>
        <v>27460495</v>
      </c>
      <c r="AP214" s="486">
        <f t="shared" si="371"/>
        <v>18031241</v>
      </c>
      <c r="AQ214" s="486">
        <f t="shared" si="372"/>
        <v>355320</v>
      </c>
      <c r="AR214" s="486">
        <f t="shared" si="373"/>
        <v>311540</v>
      </c>
      <c r="AS214" s="486">
        <f t="shared" si="374"/>
        <v>7673554</v>
      </c>
      <c r="AT214" s="486">
        <f t="shared" si="374"/>
        <v>453180</v>
      </c>
      <c r="AU214" s="486">
        <f t="shared" si="375"/>
        <v>947200</v>
      </c>
      <c r="AV214" s="501">
        <f t="shared" si="376"/>
        <v>34.451599999999999</v>
      </c>
      <c r="AW214" s="501">
        <f t="shared" si="377"/>
        <v>25.614000000000001</v>
      </c>
      <c r="AX214" s="502">
        <f t="shared" si="377"/>
        <v>8.8375999999999983</v>
      </c>
    </row>
    <row r="215" spans="1:50" s="695" customFormat="1" ht="12.75" customHeight="1" x14ac:dyDescent="0.2">
      <c r="A215" s="720">
        <v>38</v>
      </c>
      <c r="B215" s="721">
        <v>4460</v>
      </c>
      <c r="C215" s="721">
        <v>600074579</v>
      </c>
      <c r="D215" s="721">
        <v>48283011</v>
      </c>
      <c r="E215" s="722" t="s">
        <v>223</v>
      </c>
      <c r="F215" s="721">
        <v>3113</v>
      </c>
      <c r="G215" s="531" t="s">
        <v>318</v>
      </c>
      <c r="H215" s="767" t="s">
        <v>284</v>
      </c>
      <c r="I215" s="495">
        <v>929684</v>
      </c>
      <c r="J215" s="496">
        <v>677234</v>
      </c>
      <c r="K215" s="475">
        <v>0</v>
      </c>
      <c r="L215" s="475">
        <v>0</v>
      </c>
      <c r="M215" s="319">
        <v>228906</v>
      </c>
      <c r="N215" s="319">
        <v>13544</v>
      </c>
      <c r="O215" s="496">
        <v>10000</v>
      </c>
      <c r="P215" s="497">
        <v>1.9699999999999998</v>
      </c>
      <c r="Q215" s="412">
        <v>1.9699999999999998</v>
      </c>
      <c r="R215" s="764">
        <v>0</v>
      </c>
      <c r="S215" s="530">
        <f t="shared" si="343"/>
        <v>0</v>
      </c>
      <c r="T215" s="486">
        <v>0</v>
      </c>
      <c r="U215" s="486">
        <v>0</v>
      </c>
      <c r="V215" s="486">
        <f t="shared" si="363"/>
        <v>0</v>
      </c>
      <c r="W215" s="486">
        <v>0</v>
      </c>
      <c r="X215" s="486">
        <v>0</v>
      </c>
      <c r="Y215" s="486">
        <f t="shared" si="364"/>
        <v>0</v>
      </c>
      <c r="Z215" s="486">
        <f t="shared" si="365"/>
        <v>0</v>
      </c>
      <c r="AA215" s="319">
        <f t="shared" si="366"/>
        <v>0</v>
      </c>
      <c r="AB215" s="178">
        <f t="shared" si="367"/>
        <v>0</v>
      </c>
      <c r="AC215" s="486">
        <v>0</v>
      </c>
      <c r="AD215" s="486">
        <v>0</v>
      </c>
      <c r="AE215" s="486">
        <f t="shared" si="359"/>
        <v>0</v>
      </c>
      <c r="AF215" s="486">
        <f t="shared" si="360"/>
        <v>0</v>
      </c>
      <c r="AG215" s="501">
        <v>0</v>
      </c>
      <c r="AH215" s="501">
        <v>0</v>
      </c>
      <c r="AI215" s="501">
        <v>0</v>
      </c>
      <c r="AJ215" s="501">
        <v>0</v>
      </c>
      <c r="AK215" s="501">
        <v>0</v>
      </c>
      <c r="AL215" s="501">
        <f t="shared" si="368"/>
        <v>0</v>
      </c>
      <c r="AM215" s="501">
        <f t="shared" si="369"/>
        <v>0</v>
      </c>
      <c r="AN215" s="502">
        <f t="shared" si="361"/>
        <v>0</v>
      </c>
      <c r="AO215" s="499">
        <f t="shared" si="370"/>
        <v>929684</v>
      </c>
      <c r="AP215" s="486">
        <f t="shared" si="371"/>
        <v>677234</v>
      </c>
      <c r="AQ215" s="486">
        <f t="shared" si="372"/>
        <v>0</v>
      </c>
      <c r="AR215" s="486">
        <f t="shared" si="373"/>
        <v>0</v>
      </c>
      <c r="AS215" s="486">
        <f t="shared" si="374"/>
        <v>228906</v>
      </c>
      <c r="AT215" s="486">
        <f t="shared" si="374"/>
        <v>13544</v>
      </c>
      <c r="AU215" s="486">
        <f t="shared" si="375"/>
        <v>10000</v>
      </c>
      <c r="AV215" s="501">
        <f t="shared" si="376"/>
        <v>1.9699999999999998</v>
      </c>
      <c r="AW215" s="501">
        <f t="shared" si="377"/>
        <v>1.9699999999999998</v>
      </c>
      <c r="AX215" s="502">
        <f t="shared" si="377"/>
        <v>0</v>
      </c>
    </row>
    <row r="216" spans="1:50" s="695" customFormat="1" ht="12.75" customHeight="1" x14ac:dyDescent="0.2">
      <c r="A216" s="720">
        <v>38</v>
      </c>
      <c r="B216" s="721">
        <v>4460</v>
      </c>
      <c r="C216" s="721">
        <v>600074579</v>
      </c>
      <c r="D216" s="721">
        <v>48283011</v>
      </c>
      <c r="E216" s="722" t="s">
        <v>223</v>
      </c>
      <c r="F216" s="721">
        <v>3141</v>
      </c>
      <c r="G216" s="531" t="s">
        <v>321</v>
      </c>
      <c r="H216" s="767" t="s">
        <v>284</v>
      </c>
      <c r="I216" s="495">
        <v>3182780</v>
      </c>
      <c r="J216" s="496">
        <v>2323598</v>
      </c>
      <c r="K216" s="475">
        <v>0</v>
      </c>
      <c r="L216" s="475">
        <v>0</v>
      </c>
      <c r="M216" s="319">
        <v>785376</v>
      </c>
      <c r="N216" s="319">
        <v>46472</v>
      </c>
      <c r="O216" s="496">
        <v>27334</v>
      </c>
      <c r="P216" s="497">
        <v>7.8999999999999995</v>
      </c>
      <c r="Q216" s="412">
        <v>0</v>
      </c>
      <c r="R216" s="764">
        <v>7.8999999999999995</v>
      </c>
      <c r="S216" s="530">
        <f t="shared" si="343"/>
        <v>0</v>
      </c>
      <c r="T216" s="486">
        <v>0</v>
      </c>
      <c r="U216" s="486">
        <v>0</v>
      </c>
      <c r="V216" s="486">
        <f t="shared" si="363"/>
        <v>0</v>
      </c>
      <c r="W216" s="486">
        <v>0</v>
      </c>
      <c r="X216" s="486">
        <v>0</v>
      </c>
      <c r="Y216" s="486">
        <f t="shared" si="364"/>
        <v>0</v>
      </c>
      <c r="Z216" s="486">
        <f t="shared" si="365"/>
        <v>0</v>
      </c>
      <c r="AA216" s="319">
        <f t="shared" si="366"/>
        <v>0</v>
      </c>
      <c r="AB216" s="178">
        <f t="shared" si="367"/>
        <v>0</v>
      </c>
      <c r="AC216" s="486">
        <v>0</v>
      </c>
      <c r="AD216" s="486">
        <v>0</v>
      </c>
      <c r="AE216" s="486">
        <f t="shared" si="359"/>
        <v>0</v>
      </c>
      <c r="AF216" s="486">
        <f t="shared" si="360"/>
        <v>0</v>
      </c>
      <c r="AG216" s="501">
        <v>0</v>
      </c>
      <c r="AH216" s="501">
        <v>0</v>
      </c>
      <c r="AI216" s="501">
        <v>0</v>
      </c>
      <c r="AJ216" s="501">
        <v>0</v>
      </c>
      <c r="AK216" s="501">
        <v>0</v>
      </c>
      <c r="AL216" s="501">
        <f t="shared" si="368"/>
        <v>0</v>
      </c>
      <c r="AM216" s="501">
        <f t="shared" si="369"/>
        <v>0</v>
      </c>
      <c r="AN216" s="502">
        <f t="shared" si="361"/>
        <v>0</v>
      </c>
      <c r="AO216" s="499">
        <f t="shared" si="370"/>
        <v>3182780</v>
      </c>
      <c r="AP216" s="486">
        <f t="shared" si="371"/>
        <v>2323598</v>
      </c>
      <c r="AQ216" s="486">
        <f t="shared" si="372"/>
        <v>0</v>
      </c>
      <c r="AR216" s="486">
        <f t="shared" si="373"/>
        <v>0</v>
      </c>
      <c r="AS216" s="486">
        <f t="shared" si="374"/>
        <v>785376</v>
      </c>
      <c r="AT216" s="486">
        <f t="shared" si="374"/>
        <v>46472</v>
      </c>
      <c r="AU216" s="486">
        <f t="shared" si="375"/>
        <v>27334</v>
      </c>
      <c r="AV216" s="501">
        <f t="shared" si="376"/>
        <v>7.8999999999999995</v>
      </c>
      <c r="AW216" s="501">
        <f t="shared" si="377"/>
        <v>0</v>
      </c>
      <c r="AX216" s="502">
        <f t="shared" si="377"/>
        <v>7.8999999999999995</v>
      </c>
    </row>
    <row r="217" spans="1:50" s="695" customFormat="1" ht="12.75" customHeight="1" x14ac:dyDescent="0.2">
      <c r="A217" s="720">
        <v>38</v>
      </c>
      <c r="B217" s="721">
        <v>4460</v>
      </c>
      <c r="C217" s="721">
        <v>600074579</v>
      </c>
      <c r="D217" s="721">
        <v>48283011</v>
      </c>
      <c r="E217" s="722" t="s">
        <v>223</v>
      </c>
      <c r="F217" s="721">
        <v>3143</v>
      </c>
      <c r="G217" s="531" t="s">
        <v>634</v>
      </c>
      <c r="H217" s="701" t="s">
        <v>283</v>
      </c>
      <c r="I217" s="495">
        <v>1767303</v>
      </c>
      <c r="J217" s="496">
        <v>1533764</v>
      </c>
      <c r="K217" s="496">
        <v>0</v>
      </c>
      <c r="L217" s="496">
        <v>0</v>
      </c>
      <c r="M217" s="496">
        <v>220492</v>
      </c>
      <c r="N217" s="496">
        <v>13047</v>
      </c>
      <c r="O217" s="496">
        <v>0</v>
      </c>
      <c r="P217" s="497">
        <v>3.3159999999999998</v>
      </c>
      <c r="Q217" s="412">
        <v>3.3159999999999998</v>
      </c>
      <c r="R217" s="764">
        <v>0</v>
      </c>
      <c r="S217" s="530">
        <f t="shared" si="343"/>
        <v>0</v>
      </c>
      <c r="T217" s="486">
        <v>0</v>
      </c>
      <c r="U217" s="486">
        <v>0</v>
      </c>
      <c r="V217" s="486">
        <f t="shared" si="363"/>
        <v>0</v>
      </c>
      <c r="W217" s="486">
        <v>0</v>
      </c>
      <c r="X217" s="486">
        <v>0</v>
      </c>
      <c r="Y217" s="486">
        <f t="shared" si="364"/>
        <v>0</v>
      </c>
      <c r="Z217" s="486">
        <f t="shared" si="365"/>
        <v>0</v>
      </c>
      <c r="AA217" s="319">
        <f t="shared" si="366"/>
        <v>0</v>
      </c>
      <c r="AB217" s="178">
        <f t="shared" si="367"/>
        <v>0</v>
      </c>
      <c r="AC217" s="486">
        <v>0</v>
      </c>
      <c r="AD217" s="486">
        <v>0</v>
      </c>
      <c r="AE217" s="486">
        <f t="shared" si="359"/>
        <v>0</v>
      </c>
      <c r="AF217" s="486">
        <f t="shared" si="360"/>
        <v>0</v>
      </c>
      <c r="AG217" s="501">
        <v>0</v>
      </c>
      <c r="AH217" s="501">
        <v>0</v>
      </c>
      <c r="AI217" s="501">
        <v>0</v>
      </c>
      <c r="AJ217" s="501">
        <v>0</v>
      </c>
      <c r="AK217" s="501">
        <v>0</v>
      </c>
      <c r="AL217" s="501">
        <f t="shared" si="368"/>
        <v>0</v>
      </c>
      <c r="AM217" s="501">
        <f t="shared" si="369"/>
        <v>0</v>
      </c>
      <c r="AN217" s="502">
        <f t="shared" si="361"/>
        <v>0</v>
      </c>
      <c r="AO217" s="499">
        <f t="shared" si="370"/>
        <v>1767303</v>
      </c>
      <c r="AP217" s="486">
        <f t="shared" si="371"/>
        <v>1533764</v>
      </c>
      <c r="AQ217" s="486">
        <f t="shared" si="372"/>
        <v>0</v>
      </c>
      <c r="AR217" s="486">
        <f t="shared" si="373"/>
        <v>0</v>
      </c>
      <c r="AS217" s="486">
        <f t="shared" si="374"/>
        <v>220492</v>
      </c>
      <c r="AT217" s="486">
        <f t="shared" si="374"/>
        <v>13047</v>
      </c>
      <c r="AU217" s="486">
        <f t="shared" si="375"/>
        <v>0</v>
      </c>
      <c r="AV217" s="501">
        <f t="shared" si="376"/>
        <v>3.3159999999999998</v>
      </c>
      <c r="AW217" s="501">
        <f t="shared" si="377"/>
        <v>3.3159999999999998</v>
      </c>
      <c r="AX217" s="502">
        <f t="shared" si="377"/>
        <v>0</v>
      </c>
    </row>
    <row r="218" spans="1:50" s="695" customFormat="1" ht="12.75" customHeight="1" x14ac:dyDescent="0.2">
      <c r="A218" s="720">
        <v>38</v>
      </c>
      <c r="B218" s="721">
        <v>4460</v>
      </c>
      <c r="C218" s="721">
        <v>600074579</v>
      </c>
      <c r="D218" s="721">
        <v>48283011</v>
      </c>
      <c r="E218" s="722" t="s">
        <v>223</v>
      </c>
      <c r="F218" s="721">
        <v>3143</v>
      </c>
      <c r="G218" s="531" t="s">
        <v>635</v>
      </c>
      <c r="H218" s="701" t="s">
        <v>284</v>
      </c>
      <c r="I218" s="495">
        <v>66710</v>
      </c>
      <c r="J218" s="496">
        <v>47025</v>
      </c>
      <c r="K218" s="475">
        <v>0</v>
      </c>
      <c r="L218" s="475">
        <v>0</v>
      </c>
      <c r="M218" s="319">
        <v>15894</v>
      </c>
      <c r="N218" s="319">
        <v>941</v>
      </c>
      <c r="O218" s="496">
        <v>2850</v>
      </c>
      <c r="P218" s="497">
        <v>0.2</v>
      </c>
      <c r="Q218" s="412">
        <v>0</v>
      </c>
      <c r="R218" s="764">
        <v>0.2</v>
      </c>
      <c r="S218" s="530">
        <f t="shared" si="343"/>
        <v>0</v>
      </c>
      <c r="T218" s="486">
        <v>0</v>
      </c>
      <c r="U218" s="486">
        <v>0</v>
      </c>
      <c r="V218" s="486">
        <f t="shared" si="363"/>
        <v>0</v>
      </c>
      <c r="W218" s="486">
        <v>0</v>
      </c>
      <c r="X218" s="486">
        <v>0</v>
      </c>
      <c r="Y218" s="486">
        <f t="shared" si="364"/>
        <v>0</v>
      </c>
      <c r="Z218" s="486">
        <f t="shared" si="365"/>
        <v>0</v>
      </c>
      <c r="AA218" s="319">
        <f t="shared" si="366"/>
        <v>0</v>
      </c>
      <c r="AB218" s="178">
        <f t="shared" si="367"/>
        <v>0</v>
      </c>
      <c r="AC218" s="486">
        <v>0</v>
      </c>
      <c r="AD218" s="486">
        <v>0</v>
      </c>
      <c r="AE218" s="486">
        <f t="shared" si="359"/>
        <v>0</v>
      </c>
      <c r="AF218" s="486">
        <f t="shared" si="360"/>
        <v>0</v>
      </c>
      <c r="AG218" s="501">
        <v>0</v>
      </c>
      <c r="AH218" s="501">
        <v>0</v>
      </c>
      <c r="AI218" s="501">
        <v>0</v>
      </c>
      <c r="AJ218" s="501">
        <v>0</v>
      </c>
      <c r="AK218" s="501">
        <v>0</v>
      </c>
      <c r="AL218" s="501">
        <f t="shared" si="368"/>
        <v>0</v>
      </c>
      <c r="AM218" s="501">
        <f t="shared" si="369"/>
        <v>0</v>
      </c>
      <c r="AN218" s="502">
        <f t="shared" si="361"/>
        <v>0</v>
      </c>
      <c r="AO218" s="499">
        <f t="shared" si="370"/>
        <v>66710</v>
      </c>
      <c r="AP218" s="486">
        <f t="shared" si="371"/>
        <v>47025</v>
      </c>
      <c r="AQ218" s="486">
        <f t="shared" si="372"/>
        <v>0</v>
      </c>
      <c r="AR218" s="486">
        <f t="shared" si="373"/>
        <v>0</v>
      </c>
      <c r="AS218" s="486">
        <f t="shared" si="374"/>
        <v>15894</v>
      </c>
      <c r="AT218" s="486">
        <f t="shared" si="374"/>
        <v>941</v>
      </c>
      <c r="AU218" s="486">
        <f t="shared" si="375"/>
        <v>2850</v>
      </c>
      <c r="AV218" s="501">
        <f t="shared" si="376"/>
        <v>0.2</v>
      </c>
      <c r="AW218" s="501">
        <f t="shared" si="377"/>
        <v>0</v>
      </c>
      <c r="AX218" s="502">
        <f t="shared" si="377"/>
        <v>0.2</v>
      </c>
    </row>
    <row r="219" spans="1:50" s="695" customFormat="1" ht="12.75" customHeight="1" x14ac:dyDescent="0.2">
      <c r="A219" s="282">
        <v>38</v>
      </c>
      <c r="B219" s="27">
        <v>4460</v>
      </c>
      <c r="C219" s="27">
        <v>600074579</v>
      </c>
      <c r="D219" s="27">
        <v>48283011</v>
      </c>
      <c r="E219" s="292" t="s">
        <v>224</v>
      </c>
      <c r="F219" s="27"/>
      <c r="G219" s="281"/>
      <c r="H219" s="377"/>
      <c r="I219" s="5">
        <v>38111811</v>
      </c>
      <c r="J219" s="8">
        <v>27000366</v>
      </c>
      <c r="K219" s="8">
        <v>366540</v>
      </c>
      <c r="L219" s="8">
        <v>311540</v>
      </c>
      <c r="M219" s="8">
        <v>9144714</v>
      </c>
      <c r="N219" s="8">
        <v>540007</v>
      </c>
      <c r="O219" s="8">
        <v>1060184</v>
      </c>
      <c r="P219" s="9">
        <v>57.881300000000003</v>
      </c>
      <c r="Q219" s="9">
        <v>38.900000000000006</v>
      </c>
      <c r="R219" s="33">
        <v>18.981299999999997</v>
      </c>
      <c r="S219" s="5">
        <f t="shared" ref="S219:AX219" si="378">SUM(S213:S218)</f>
        <v>0</v>
      </c>
      <c r="T219" s="8">
        <f t="shared" si="378"/>
        <v>0</v>
      </c>
      <c r="U219" s="8">
        <f t="shared" si="378"/>
        <v>0</v>
      </c>
      <c r="V219" s="8">
        <f t="shared" si="378"/>
        <v>0</v>
      </c>
      <c r="W219" s="8">
        <f t="shared" si="378"/>
        <v>0</v>
      </c>
      <c r="X219" s="8">
        <f t="shared" si="378"/>
        <v>0</v>
      </c>
      <c r="Y219" s="8">
        <f t="shared" si="378"/>
        <v>0</v>
      </c>
      <c r="Z219" s="8">
        <f t="shared" si="378"/>
        <v>0</v>
      </c>
      <c r="AA219" s="8">
        <f t="shared" si="378"/>
        <v>0</v>
      </c>
      <c r="AB219" s="8">
        <f t="shared" si="378"/>
        <v>0</v>
      </c>
      <c r="AC219" s="8">
        <f t="shared" si="378"/>
        <v>0</v>
      </c>
      <c r="AD219" s="8">
        <f t="shared" si="378"/>
        <v>0</v>
      </c>
      <c r="AE219" s="8">
        <f t="shared" si="378"/>
        <v>0</v>
      </c>
      <c r="AF219" s="8">
        <f t="shared" si="378"/>
        <v>0</v>
      </c>
      <c r="AG219" s="9">
        <f t="shared" si="378"/>
        <v>0</v>
      </c>
      <c r="AH219" s="9">
        <f t="shared" si="378"/>
        <v>0</v>
      </c>
      <c r="AI219" s="9">
        <f t="shared" si="378"/>
        <v>0</v>
      </c>
      <c r="AJ219" s="9">
        <f t="shared" si="378"/>
        <v>0</v>
      </c>
      <c r="AK219" s="9">
        <f t="shared" si="378"/>
        <v>0</v>
      </c>
      <c r="AL219" s="9">
        <f t="shared" si="378"/>
        <v>0</v>
      </c>
      <c r="AM219" s="9">
        <f t="shared" si="378"/>
        <v>0</v>
      </c>
      <c r="AN219" s="74">
        <f t="shared" si="378"/>
        <v>0</v>
      </c>
      <c r="AO219" s="270">
        <f t="shared" si="378"/>
        <v>38111811</v>
      </c>
      <c r="AP219" s="8">
        <f t="shared" si="378"/>
        <v>27000366</v>
      </c>
      <c r="AQ219" s="38">
        <f t="shared" si="378"/>
        <v>366540</v>
      </c>
      <c r="AR219" s="38">
        <f t="shared" si="378"/>
        <v>311540</v>
      </c>
      <c r="AS219" s="8">
        <f t="shared" si="378"/>
        <v>9144714</v>
      </c>
      <c r="AT219" s="8">
        <f t="shared" si="378"/>
        <v>540007</v>
      </c>
      <c r="AU219" s="8">
        <f t="shared" si="378"/>
        <v>1060184</v>
      </c>
      <c r="AV219" s="9">
        <f t="shared" si="378"/>
        <v>57.881300000000003</v>
      </c>
      <c r="AW219" s="9">
        <f t="shared" si="378"/>
        <v>38.900000000000006</v>
      </c>
      <c r="AX219" s="74">
        <f t="shared" si="378"/>
        <v>18.981299999999997</v>
      </c>
    </row>
    <row r="220" spans="1:50" s="695" customFormat="1" ht="12.75" customHeight="1" x14ac:dyDescent="0.2">
      <c r="A220" s="720">
        <v>39</v>
      </c>
      <c r="B220" s="721">
        <v>4472</v>
      </c>
      <c r="C220" s="721">
        <v>600075095</v>
      </c>
      <c r="D220" s="721">
        <v>48282561</v>
      </c>
      <c r="E220" s="722" t="s">
        <v>225</v>
      </c>
      <c r="F220" s="721">
        <v>3231</v>
      </c>
      <c r="G220" s="531" t="s">
        <v>322</v>
      </c>
      <c r="H220" s="767" t="s">
        <v>283</v>
      </c>
      <c r="I220" s="495">
        <v>9612669</v>
      </c>
      <c r="J220" s="496">
        <v>7014178</v>
      </c>
      <c r="K220" s="496">
        <v>40000</v>
      </c>
      <c r="L220" s="496">
        <v>0</v>
      </c>
      <c r="M220" s="496">
        <v>2384312</v>
      </c>
      <c r="N220" s="496">
        <v>140284</v>
      </c>
      <c r="O220" s="496">
        <v>33895</v>
      </c>
      <c r="P220" s="497">
        <v>13.8071</v>
      </c>
      <c r="Q220" s="412">
        <v>12.282300000000001</v>
      </c>
      <c r="R220" s="764">
        <v>1.5247999999999997</v>
      </c>
      <c r="S220" s="530">
        <f>W220*-1</f>
        <v>0</v>
      </c>
      <c r="T220" s="486">
        <v>0</v>
      </c>
      <c r="U220" s="486">
        <v>0</v>
      </c>
      <c r="V220" s="486">
        <f>SUM(S220:U220)</f>
        <v>0</v>
      </c>
      <c r="W220" s="486">
        <v>0</v>
      </c>
      <c r="X220" s="486">
        <v>0</v>
      </c>
      <c r="Y220" s="486">
        <f>SUM(W220:X220)</f>
        <v>0</v>
      </c>
      <c r="Z220" s="486">
        <f>V220+Y220</f>
        <v>0</v>
      </c>
      <c r="AA220" s="319">
        <f>ROUND((V220+W220)*33.8%,0)</f>
        <v>0</v>
      </c>
      <c r="AB220" s="178">
        <f>ROUND(V220*2%,0)</f>
        <v>0</v>
      </c>
      <c r="AC220" s="486">
        <v>0</v>
      </c>
      <c r="AD220" s="486">
        <v>0</v>
      </c>
      <c r="AE220" s="486">
        <f t="shared" si="359"/>
        <v>0</v>
      </c>
      <c r="AF220" s="486">
        <f t="shared" si="360"/>
        <v>0</v>
      </c>
      <c r="AG220" s="501">
        <v>0</v>
      </c>
      <c r="AH220" s="501">
        <v>0</v>
      </c>
      <c r="AI220" s="501">
        <v>0</v>
      </c>
      <c r="AJ220" s="501">
        <v>0</v>
      </c>
      <c r="AK220" s="501">
        <v>0</v>
      </c>
      <c r="AL220" s="501">
        <f>AG220+AI220+AJ220</f>
        <v>0</v>
      </c>
      <c r="AM220" s="501">
        <f>AH220+AK220</f>
        <v>0</v>
      </c>
      <c r="AN220" s="502">
        <f t="shared" si="361"/>
        <v>0</v>
      </c>
      <c r="AO220" s="499">
        <f>I220+AF220</f>
        <v>9612669</v>
      </c>
      <c r="AP220" s="486">
        <f>J220+V220</f>
        <v>7014178</v>
      </c>
      <c r="AQ220" s="486">
        <f>K220+Y220</f>
        <v>40000</v>
      </c>
      <c r="AR220" s="486">
        <f>L220</f>
        <v>0</v>
      </c>
      <c r="AS220" s="486">
        <f>M220+AA220</f>
        <v>2384312</v>
      </c>
      <c r="AT220" s="486">
        <f>N220+AB220</f>
        <v>140284</v>
      </c>
      <c r="AU220" s="486">
        <f>O220+AE220</f>
        <v>33895</v>
      </c>
      <c r="AV220" s="501">
        <f>P220+AN220</f>
        <v>13.8071</v>
      </c>
      <c r="AW220" s="501">
        <f>Q220+AL220</f>
        <v>12.282300000000001</v>
      </c>
      <c r="AX220" s="502">
        <f>R220+AM220</f>
        <v>1.5247999999999997</v>
      </c>
    </row>
    <row r="221" spans="1:50" s="695" customFormat="1" ht="12.75" customHeight="1" x14ac:dyDescent="0.2">
      <c r="A221" s="282">
        <v>39</v>
      </c>
      <c r="B221" s="27">
        <v>4472</v>
      </c>
      <c r="C221" s="27">
        <v>600075095</v>
      </c>
      <c r="D221" s="27">
        <v>48282561</v>
      </c>
      <c r="E221" s="292" t="s">
        <v>226</v>
      </c>
      <c r="F221" s="27"/>
      <c r="G221" s="281"/>
      <c r="H221" s="377"/>
      <c r="I221" s="5">
        <v>9612669</v>
      </c>
      <c r="J221" s="8">
        <v>7014178</v>
      </c>
      <c r="K221" s="8">
        <v>40000</v>
      </c>
      <c r="L221" s="8">
        <v>0</v>
      </c>
      <c r="M221" s="8">
        <v>2384312</v>
      </c>
      <c r="N221" s="8">
        <v>140284</v>
      </c>
      <c r="O221" s="8">
        <v>33895</v>
      </c>
      <c r="P221" s="9">
        <v>13.8071</v>
      </c>
      <c r="Q221" s="9">
        <v>12.282300000000001</v>
      </c>
      <c r="R221" s="33">
        <v>1.5247999999999997</v>
      </c>
      <c r="S221" s="5">
        <f t="shared" ref="S221:AX221" si="379">SUM(S220)</f>
        <v>0</v>
      </c>
      <c r="T221" s="8">
        <f t="shared" si="379"/>
        <v>0</v>
      </c>
      <c r="U221" s="8">
        <f t="shared" si="379"/>
        <v>0</v>
      </c>
      <c r="V221" s="8">
        <f t="shared" si="379"/>
        <v>0</v>
      </c>
      <c r="W221" s="8">
        <f t="shared" si="379"/>
        <v>0</v>
      </c>
      <c r="X221" s="8">
        <f t="shared" si="379"/>
        <v>0</v>
      </c>
      <c r="Y221" s="8">
        <f t="shared" si="379"/>
        <v>0</v>
      </c>
      <c r="Z221" s="8">
        <f t="shared" si="379"/>
        <v>0</v>
      </c>
      <c r="AA221" s="8">
        <f t="shared" si="379"/>
        <v>0</v>
      </c>
      <c r="AB221" s="8">
        <f t="shared" si="379"/>
        <v>0</v>
      </c>
      <c r="AC221" s="8">
        <f t="shared" si="379"/>
        <v>0</v>
      </c>
      <c r="AD221" s="8">
        <f t="shared" si="379"/>
        <v>0</v>
      </c>
      <c r="AE221" s="8">
        <f t="shared" si="379"/>
        <v>0</v>
      </c>
      <c r="AF221" s="8">
        <f t="shared" si="379"/>
        <v>0</v>
      </c>
      <c r="AG221" s="9">
        <f t="shared" si="379"/>
        <v>0</v>
      </c>
      <c r="AH221" s="9">
        <f t="shared" si="379"/>
        <v>0</v>
      </c>
      <c r="AI221" s="9">
        <f t="shared" si="379"/>
        <v>0</v>
      </c>
      <c r="AJ221" s="9">
        <f t="shared" si="379"/>
        <v>0</v>
      </c>
      <c r="AK221" s="9">
        <f t="shared" si="379"/>
        <v>0</v>
      </c>
      <c r="AL221" s="9">
        <f t="shared" si="379"/>
        <v>0</v>
      </c>
      <c r="AM221" s="9">
        <f t="shared" si="379"/>
        <v>0</v>
      </c>
      <c r="AN221" s="74">
        <f t="shared" si="379"/>
        <v>0</v>
      </c>
      <c r="AO221" s="270">
        <f t="shared" si="379"/>
        <v>9612669</v>
      </c>
      <c r="AP221" s="8">
        <f t="shared" si="379"/>
        <v>7014178</v>
      </c>
      <c r="AQ221" s="38">
        <f t="shared" si="379"/>
        <v>40000</v>
      </c>
      <c r="AR221" s="38">
        <f t="shared" si="379"/>
        <v>0</v>
      </c>
      <c r="AS221" s="8">
        <f t="shared" si="379"/>
        <v>2384312</v>
      </c>
      <c r="AT221" s="8">
        <f t="shared" si="379"/>
        <v>140284</v>
      </c>
      <c r="AU221" s="8">
        <f t="shared" si="379"/>
        <v>33895</v>
      </c>
      <c r="AV221" s="9">
        <f t="shared" si="379"/>
        <v>13.8071</v>
      </c>
      <c r="AW221" s="9">
        <f t="shared" si="379"/>
        <v>12.282300000000001</v>
      </c>
      <c r="AX221" s="74">
        <f t="shared" si="379"/>
        <v>1.5247999999999997</v>
      </c>
    </row>
    <row r="222" spans="1:50" s="695" customFormat="1" ht="12.75" customHeight="1" x14ac:dyDescent="0.2">
      <c r="A222" s="720">
        <v>40</v>
      </c>
      <c r="B222" s="721">
        <v>4418</v>
      </c>
      <c r="C222" s="721">
        <v>600074048</v>
      </c>
      <c r="D222" s="721">
        <v>72742411</v>
      </c>
      <c r="E222" s="722" t="s">
        <v>227</v>
      </c>
      <c r="F222" s="721">
        <v>3111</v>
      </c>
      <c r="G222" s="531" t="s">
        <v>317</v>
      </c>
      <c r="H222" s="767" t="s">
        <v>283</v>
      </c>
      <c r="I222" s="495">
        <v>1897015</v>
      </c>
      <c r="J222" s="496">
        <v>1337861</v>
      </c>
      <c r="K222" s="496">
        <v>50000</v>
      </c>
      <c r="L222" s="496">
        <v>0</v>
      </c>
      <c r="M222" s="496">
        <v>469097</v>
      </c>
      <c r="N222" s="496">
        <v>26757</v>
      </c>
      <c r="O222" s="496">
        <v>13300</v>
      </c>
      <c r="P222" s="497">
        <v>2.8652000000000002</v>
      </c>
      <c r="Q222" s="412">
        <v>2.2702999999999998</v>
      </c>
      <c r="R222" s="764">
        <v>0.59490000000000043</v>
      </c>
      <c r="S222" s="530">
        <f t="shared" ref="S222:S224" si="380">W222*-1</f>
        <v>0</v>
      </c>
      <c r="T222" s="486">
        <v>0</v>
      </c>
      <c r="U222" s="486">
        <v>0</v>
      </c>
      <c r="V222" s="486">
        <f>SUM(S222:U222)</f>
        <v>0</v>
      </c>
      <c r="W222" s="486">
        <v>0</v>
      </c>
      <c r="X222" s="486">
        <v>0</v>
      </c>
      <c r="Y222" s="486">
        <f>SUM(W222:X222)</f>
        <v>0</v>
      </c>
      <c r="Z222" s="486">
        <f>V222+Y222</f>
        <v>0</v>
      </c>
      <c r="AA222" s="319">
        <f>ROUND((V222+W222)*33.8%,0)</f>
        <v>0</v>
      </c>
      <c r="AB222" s="178">
        <f>ROUND(V222*2%,0)</f>
        <v>0</v>
      </c>
      <c r="AC222" s="486">
        <v>0</v>
      </c>
      <c r="AD222" s="486">
        <v>0</v>
      </c>
      <c r="AE222" s="486">
        <f t="shared" si="359"/>
        <v>0</v>
      </c>
      <c r="AF222" s="486">
        <f t="shared" si="360"/>
        <v>0</v>
      </c>
      <c r="AG222" s="501">
        <v>0</v>
      </c>
      <c r="AH222" s="501">
        <v>0</v>
      </c>
      <c r="AI222" s="501">
        <v>0</v>
      </c>
      <c r="AJ222" s="501">
        <v>0</v>
      </c>
      <c r="AK222" s="501">
        <v>0</v>
      </c>
      <c r="AL222" s="501">
        <f t="shared" ref="AL222:AL224" si="381">AG222+AI222+AJ222</f>
        <v>0</v>
      </c>
      <c r="AM222" s="501">
        <f t="shared" ref="AM222:AM224" si="382">AH222+AK222</f>
        <v>0</v>
      </c>
      <c r="AN222" s="502">
        <f t="shared" si="361"/>
        <v>0</v>
      </c>
      <c r="AO222" s="499">
        <f>I222+AF222</f>
        <v>1897015</v>
      </c>
      <c r="AP222" s="486">
        <f>J222+V222</f>
        <v>1337861</v>
      </c>
      <c r="AQ222" s="486">
        <f>K222+Y222</f>
        <v>50000</v>
      </c>
      <c r="AR222" s="486">
        <f>L222</f>
        <v>0</v>
      </c>
      <c r="AS222" s="486">
        <f t="shared" ref="AS222:AT224" si="383">M222+AA222</f>
        <v>469097</v>
      </c>
      <c r="AT222" s="486">
        <f t="shared" si="383"/>
        <v>26757</v>
      </c>
      <c r="AU222" s="486">
        <f>O222+AE222</f>
        <v>13300</v>
      </c>
      <c r="AV222" s="501">
        <f>P222+AN222</f>
        <v>2.8652000000000002</v>
      </c>
      <c r="AW222" s="501">
        <f t="shared" ref="AW222:AX224" si="384">Q222+AL222</f>
        <v>2.2702999999999998</v>
      </c>
      <c r="AX222" s="502">
        <f t="shared" si="384"/>
        <v>0.59490000000000043</v>
      </c>
    </row>
    <row r="223" spans="1:50" s="695" customFormat="1" ht="12.75" customHeight="1" x14ac:dyDescent="0.2">
      <c r="A223" s="720">
        <v>40</v>
      </c>
      <c r="B223" s="721">
        <v>4418</v>
      </c>
      <c r="C223" s="721">
        <v>600074048</v>
      </c>
      <c r="D223" s="721">
        <v>72742411</v>
      </c>
      <c r="E223" s="722" t="s">
        <v>227</v>
      </c>
      <c r="F223" s="721">
        <v>3111</v>
      </c>
      <c r="G223" s="531" t="s">
        <v>318</v>
      </c>
      <c r="H223" s="767" t="s">
        <v>284</v>
      </c>
      <c r="I223" s="495">
        <v>110863</v>
      </c>
      <c r="J223" s="496">
        <v>56600</v>
      </c>
      <c r="K223" s="475">
        <v>0</v>
      </c>
      <c r="L223" s="475">
        <v>0</v>
      </c>
      <c r="M223" s="319">
        <v>19131</v>
      </c>
      <c r="N223" s="319">
        <v>1132</v>
      </c>
      <c r="O223" s="496">
        <v>34000</v>
      </c>
      <c r="P223" s="497">
        <v>0.17</v>
      </c>
      <c r="Q223" s="412">
        <v>0.17</v>
      </c>
      <c r="R223" s="764">
        <v>0</v>
      </c>
      <c r="S223" s="530">
        <f t="shared" si="380"/>
        <v>0</v>
      </c>
      <c r="T223" s="486">
        <v>0</v>
      </c>
      <c r="U223" s="486">
        <v>0</v>
      </c>
      <c r="V223" s="486">
        <f>SUM(S223:U223)</f>
        <v>0</v>
      </c>
      <c r="W223" s="486">
        <v>0</v>
      </c>
      <c r="X223" s="486">
        <v>0</v>
      </c>
      <c r="Y223" s="486">
        <f>SUM(W223:X223)</f>
        <v>0</v>
      </c>
      <c r="Z223" s="486">
        <f>V223+Y223</f>
        <v>0</v>
      </c>
      <c r="AA223" s="319">
        <f>ROUND((V223+W223)*33.8%,0)</f>
        <v>0</v>
      </c>
      <c r="AB223" s="178">
        <f>ROUND(V223*2%,0)</f>
        <v>0</v>
      </c>
      <c r="AC223" s="486">
        <v>0</v>
      </c>
      <c r="AD223" s="486">
        <v>0</v>
      </c>
      <c r="AE223" s="486">
        <f t="shared" si="359"/>
        <v>0</v>
      </c>
      <c r="AF223" s="486">
        <f t="shared" si="360"/>
        <v>0</v>
      </c>
      <c r="AG223" s="501">
        <v>0</v>
      </c>
      <c r="AH223" s="501">
        <v>0</v>
      </c>
      <c r="AI223" s="501">
        <v>0</v>
      </c>
      <c r="AJ223" s="501">
        <v>0</v>
      </c>
      <c r="AK223" s="501">
        <v>0</v>
      </c>
      <c r="AL223" s="501">
        <f t="shared" si="381"/>
        <v>0</v>
      </c>
      <c r="AM223" s="501">
        <f t="shared" si="382"/>
        <v>0</v>
      </c>
      <c r="AN223" s="502">
        <f t="shared" si="361"/>
        <v>0</v>
      </c>
      <c r="AO223" s="499">
        <f>I223+AF223</f>
        <v>110863</v>
      </c>
      <c r="AP223" s="486">
        <f>J223+V223</f>
        <v>56600</v>
      </c>
      <c r="AQ223" s="486">
        <f>K223+Y223</f>
        <v>0</v>
      </c>
      <c r="AR223" s="486">
        <f>L223</f>
        <v>0</v>
      </c>
      <c r="AS223" s="486">
        <f t="shared" si="383"/>
        <v>19131</v>
      </c>
      <c r="AT223" s="486">
        <f t="shared" si="383"/>
        <v>1132</v>
      </c>
      <c r="AU223" s="486">
        <f>O223+AE223</f>
        <v>34000</v>
      </c>
      <c r="AV223" s="501">
        <f>P223+AN223</f>
        <v>0.17</v>
      </c>
      <c r="AW223" s="501">
        <f t="shared" si="384"/>
        <v>0.17</v>
      </c>
      <c r="AX223" s="502">
        <f t="shared" si="384"/>
        <v>0</v>
      </c>
    </row>
    <row r="224" spans="1:50" s="695" customFormat="1" ht="12.75" customHeight="1" x14ac:dyDescent="0.2">
      <c r="A224" s="720">
        <v>40</v>
      </c>
      <c r="B224" s="721">
        <v>4418</v>
      </c>
      <c r="C224" s="721">
        <v>600074048</v>
      </c>
      <c r="D224" s="721">
        <v>72742411</v>
      </c>
      <c r="E224" s="712" t="s">
        <v>227</v>
      </c>
      <c r="F224" s="721">
        <v>3141</v>
      </c>
      <c r="G224" s="531" t="s">
        <v>321</v>
      </c>
      <c r="H224" s="767" t="s">
        <v>284</v>
      </c>
      <c r="I224" s="495">
        <v>316305</v>
      </c>
      <c r="J224" s="496">
        <v>227181</v>
      </c>
      <c r="K224" s="475">
        <v>5000</v>
      </c>
      <c r="L224" s="475">
        <v>0</v>
      </c>
      <c r="M224" s="319">
        <v>78478</v>
      </c>
      <c r="N224" s="319">
        <v>4544</v>
      </c>
      <c r="O224" s="496">
        <v>1102</v>
      </c>
      <c r="P224" s="497">
        <v>0.79</v>
      </c>
      <c r="Q224" s="412">
        <v>0</v>
      </c>
      <c r="R224" s="764">
        <v>0.79</v>
      </c>
      <c r="S224" s="530">
        <f t="shared" si="380"/>
        <v>0</v>
      </c>
      <c r="T224" s="486">
        <v>0</v>
      </c>
      <c r="U224" s="486">
        <v>0</v>
      </c>
      <c r="V224" s="486">
        <f>SUM(S224:U224)</f>
        <v>0</v>
      </c>
      <c r="W224" s="486">
        <v>0</v>
      </c>
      <c r="X224" s="486">
        <v>0</v>
      </c>
      <c r="Y224" s="486">
        <f>SUM(W224:X224)</f>
        <v>0</v>
      </c>
      <c r="Z224" s="486">
        <f>V224+Y224</f>
        <v>0</v>
      </c>
      <c r="AA224" s="319">
        <f>ROUND((V224+W224)*33.8%,0)</f>
        <v>0</v>
      </c>
      <c r="AB224" s="178">
        <f>ROUND(V224*2%,0)</f>
        <v>0</v>
      </c>
      <c r="AC224" s="486">
        <v>0</v>
      </c>
      <c r="AD224" s="486">
        <v>0</v>
      </c>
      <c r="AE224" s="486">
        <f t="shared" si="359"/>
        <v>0</v>
      </c>
      <c r="AF224" s="486">
        <f t="shared" si="360"/>
        <v>0</v>
      </c>
      <c r="AG224" s="501">
        <v>0</v>
      </c>
      <c r="AH224" s="501">
        <v>0</v>
      </c>
      <c r="AI224" s="501">
        <v>0</v>
      </c>
      <c r="AJ224" s="501">
        <v>0</v>
      </c>
      <c r="AK224" s="501">
        <v>0</v>
      </c>
      <c r="AL224" s="501">
        <f t="shared" si="381"/>
        <v>0</v>
      </c>
      <c r="AM224" s="501">
        <f t="shared" si="382"/>
        <v>0</v>
      </c>
      <c r="AN224" s="502">
        <f t="shared" si="361"/>
        <v>0</v>
      </c>
      <c r="AO224" s="499">
        <f>I224+AF224</f>
        <v>316305</v>
      </c>
      <c r="AP224" s="486">
        <f>J224+V224</f>
        <v>227181</v>
      </c>
      <c r="AQ224" s="486">
        <f>K224+Y224</f>
        <v>5000</v>
      </c>
      <c r="AR224" s="486">
        <f>L224</f>
        <v>0</v>
      </c>
      <c r="AS224" s="486">
        <f t="shared" si="383"/>
        <v>78478</v>
      </c>
      <c r="AT224" s="486">
        <f t="shared" si="383"/>
        <v>4544</v>
      </c>
      <c r="AU224" s="486">
        <f>O224+AE224</f>
        <v>1102</v>
      </c>
      <c r="AV224" s="501">
        <f>P224+AN224</f>
        <v>0.79</v>
      </c>
      <c r="AW224" s="501">
        <f t="shared" si="384"/>
        <v>0</v>
      </c>
      <c r="AX224" s="502">
        <f t="shared" si="384"/>
        <v>0.79</v>
      </c>
    </row>
    <row r="225" spans="1:50" s="695" customFormat="1" ht="12.75" customHeight="1" x14ac:dyDescent="0.2">
      <c r="A225" s="282">
        <v>40</v>
      </c>
      <c r="B225" s="27">
        <v>4418</v>
      </c>
      <c r="C225" s="27">
        <v>600074048</v>
      </c>
      <c r="D225" s="27">
        <v>72742411</v>
      </c>
      <c r="E225" s="292" t="s">
        <v>228</v>
      </c>
      <c r="F225" s="27"/>
      <c r="G225" s="281"/>
      <c r="H225" s="377"/>
      <c r="I225" s="5">
        <v>2324183</v>
      </c>
      <c r="J225" s="8">
        <v>1621642</v>
      </c>
      <c r="K225" s="8">
        <v>55000</v>
      </c>
      <c r="L225" s="8">
        <v>0</v>
      </c>
      <c r="M225" s="8">
        <v>566706</v>
      </c>
      <c r="N225" s="8">
        <v>32433</v>
      </c>
      <c r="O225" s="8">
        <v>48402</v>
      </c>
      <c r="P225" s="9">
        <v>3.8252000000000002</v>
      </c>
      <c r="Q225" s="9">
        <v>2.4402999999999997</v>
      </c>
      <c r="R225" s="33">
        <v>1.3849000000000005</v>
      </c>
      <c r="S225" s="5">
        <f t="shared" ref="S225:AX225" si="385">SUM(S222:S224)</f>
        <v>0</v>
      </c>
      <c r="T225" s="8">
        <f t="shared" si="385"/>
        <v>0</v>
      </c>
      <c r="U225" s="8">
        <f t="shared" si="385"/>
        <v>0</v>
      </c>
      <c r="V225" s="8">
        <f t="shared" si="385"/>
        <v>0</v>
      </c>
      <c r="W225" s="8">
        <f t="shared" si="385"/>
        <v>0</v>
      </c>
      <c r="X225" s="8">
        <f t="shared" si="385"/>
        <v>0</v>
      </c>
      <c r="Y225" s="8">
        <f t="shared" si="385"/>
        <v>0</v>
      </c>
      <c r="Z225" s="8">
        <f t="shared" si="385"/>
        <v>0</v>
      </c>
      <c r="AA225" s="8">
        <f t="shared" si="385"/>
        <v>0</v>
      </c>
      <c r="AB225" s="8">
        <f t="shared" si="385"/>
        <v>0</v>
      </c>
      <c r="AC225" s="8">
        <f t="shared" si="385"/>
        <v>0</v>
      </c>
      <c r="AD225" s="8">
        <f t="shared" si="385"/>
        <v>0</v>
      </c>
      <c r="AE225" s="8">
        <f t="shared" si="385"/>
        <v>0</v>
      </c>
      <c r="AF225" s="8">
        <f t="shared" si="385"/>
        <v>0</v>
      </c>
      <c r="AG225" s="9">
        <f t="shared" si="385"/>
        <v>0</v>
      </c>
      <c r="AH225" s="9">
        <f t="shared" si="385"/>
        <v>0</v>
      </c>
      <c r="AI225" s="9">
        <f t="shared" si="385"/>
        <v>0</v>
      </c>
      <c r="AJ225" s="9">
        <f t="shared" si="385"/>
        <v>0</v>
      </c>
      <c r="AK225" s="9">
        <f t="shared" si="385"/>
        <v>0</v>
      </c>
      <c r="AL225" s="9">
        <f t="shared" si="385"/>
        <v>0</v>
      </c>
      <c r="AM225" s="9">
        <f t="shared" si="385"/>
        <v>0</v>
      </c>
      <c r="AN225" s="74">
        <f t="shared" si="385"/>
        <v>0</v>
      </c>
      <c r="AO225" s="270">
        <f t="shared" si="385"/>
        <v>2324183</v>
      </c>
      <c r="AP225" s="8">
        <f t="shared" si="385"/>
        <v>1621642</v>
      </c>
      <c r="AQ225" s="38">
        <f t="shared" si="385"/>
        <v>55000</v>
      </c>
      <c r="AR225" s="38">
        <f t="shared" si="385"/>
        <v>0</v>
      </c>
      <c r="AS225" s="8">
        <f t="shared" si="385"/>
        <v>566706</v>
      </c>
      <c r="AT225" s="8">
        <f t="shared" si="385"/>
        <v>32433</v>
      </c>
      <c r="AU225" s="8">
        <f t="shared" si="385"/>
        <v>48402</v>
      </c>
      <c r="AV225" s="9">
        <f t="shared" si="385"/>
        <v>3.8252000000000002</v>
      </c>
      <c r="AW225" s="9">
        <f t="shared" si="385"/>
        <v>2.4402999999999997</v>
      </c>
      <c r="AX225" s="74">
        <f t="shared" si="385"/>
        <v>1.3849000000000005</v>
      </c>
    </row>
    <row r="226" spans="1:50" s="695" customFormat="1" ht="12.75" customHeight="1" x14ac:dyDescent="0.2">
      <c r="A226" s="720">
        <v>41</v>
      </c>
      <c r="B226" s="721">
        <v>4432</v>
      </c>
      <c r="C226" s="721">
        <v>600074625</v>
      </c>
      <c r="D226" s="721">
        <v>70695903</v>
      </c>
      <c r="E226" s="722" t="s">
        <v>229</v>
      </c>
      <c r="F226" s="721">
        <v>3111</v>
      </c>
      <c r="G226" s="531" t="s">
        <v>317</v>
      </c>
      <c r="H226" s="767" t="s">
        <v>283</v>
      </c>
      <c r="I226" s="495">
        <v>1387184</v>
      </c>
      <c r="J226" s="496">
        <v>1136145</v>
      </c>
      <c r="K226" s="496">
        <v>0</v>
      </c>
      <c r="L226" s="496">
        <v>0</v>
      </c>
      <c r="M226" s="496">
        <v>220492</v>
      </c>
      <c r="N226" s="496">
        <v>13047</v>
      </c>
      <c r="O226" s="496">
        <v>17500</v>
      </c>
      <c r="P226" s="497">
        <v>2.6076999999999999</v>
      </c>
      <c r="Q226" s="412">
        <v>2.0968</v>
      </c>
      <c r="R226" s="764">
        <v>0.51090000000000002</v>
      </c>
      <c r="S226" s="530">
        <f t="shared" ref="S226:S231" si="386">W226*-1</f>
        <v>0</v>
      </c>
      <c r="T226" s="486">
        <v>0</v>
      </c>
      <c r="U226" s="486">
        <v>0</v>
      </c>
      <c r="V226" s="486">
        <f t="shared" ref="V226:V231" si="387">SUM(S226:U226)</f>
        <v>0</v>
      </c>
      <c r="W226" s="486">
        <v>0</v>
      </c>
      <c r="X226" s="486">
        <v>0</v>
      </c>
      <c r="Y226" s="486">
        <f t="shared" ref="Y226:Y231" si="388">SUM(W226:X226)</f>
        <v>0</v>
      </c>
      <c r="Z226" s="486">
        <f t="shared" ref="Z226:Z231" si="389">V226+Y226</f>
        <v>0</v>
      </c>
      <c r="AA226" s="319">
        <f t="shared" ref="AA226:AA231" si="390">ROUND((V226+W226)*33.8%,0)</f>
        <v>0</v>
      </c>
      <c r="AB226" s="178">
        <f t="shared" ref="AB226:AB231" si="391">ROUND(V226*2%,0)</f>
        <v>0</v>
      </c>
      <c r="AC226" s="486">
        <v>0</v>
      </c>
      <c r="AD226" s="486">
        <v>0</v>
      </c>
      <c r="AE226" s="486">
        <f t="shared" si="359"/>
        <v>0</v>
      </c>
      <c r="AF226" s="486">
        <f t="shared" si="360"/>
        <v>0</v>
      </c>
      <c r="AG226" s="501">
        <v>0</v>
      </c>
      <c r="AH226" s="501">
        <v>0</v>
      </c>
      <c r="AI226" s="501">
        <v>0</v>
      </c>
      <c r="AJ226" s="501">
        <v>0</v>
      </c>
      <c r="AK226" s="501">
        <v>0</v>
      </c>
      <c r="AL226" s="501">
        <f t="shared" ref="AL226:AL231" si="392">AG226+AI226+AJ226</f>
        <v>0</v>
      </c>
      <c r="AM226" s="501">
        <f t="shared" ref="AM226:AM231" si="393">AH226+AK226</f>
        <v>0</v>
      </c>
      <c r="AN226" s="502">
        <f t="shared" si="361"/>
        <v>0</v>
      </c>
      <c r="AO226" s="499">
        <f t="shared" ref="AO226:AO231" si="394">I226+AF226</f>
        <v>1387184</v>
      </c>
      <c r="AP226" s="486">
        <f t="shared" ref="AP226:AP231" si="395">J226+V226</f>
        <v>1136145</v>
      </c>
      <c r="AQ226" s="486">
        <f t="shared" ref="AQ226:AQ231" si="396">K226+Y226</f>
        <v>0</v>
      </c>
      <c r="AR226" s="486">
        <f t="shared" ref="AR226:AR231" si="397">L226</f>
        <v>0</v>
      </c>
      <c r="AS226" s="486">
        <f t="shared" ref="AS226:AT231" si="398">M226+AA226</f>
        <v>220492</v>
      </c>
      <c r="AT226" s="486">
        <f t="shared" si="398"/>
        <v>13047</v>
      </c>
      <c r="AU226" s="486">
        <f t="shared" ref="AU226:AU231" si="399">O226+AE226</f>
        <v>17500</v>
      </c>
      <c r="AV226" s="501">
        <f t="shared" ref="AV226:AV231" si="400">P226+AN226</f>
        <v>2.6076999999999999</v>
      </c>
      <c r="AW226" s="501">
        <f t="shared" ref="AW226:AX231" si="401">Q226+AL226</f>
        <v>2.0968</v>
      </c>
      <c r="AX226" s="502">
        <f t="shared" si="401"/>
        <v>0.51090000000000002</v>
      </c>
    </row>
    <row r="227" spans="1:50" s="695" customFormat="1" ht="12.75" customHeight="1" x14ac:dyDescent="0.2">
      <c r="A227" s="720">
        <v>41</v>
      </c>
      <c r="B227" s="721">
        <v>4432</v>
      </c>
      <c r="C227" s="721">
        <v>600074625</v>
      </c>
      <c r="D227" s="721">
        <v>70695903</v>
      </c>
      <c r="E227" s="722" t="s">
        <v>229</v>
      </c>
      <c r="F227" s="721">
        <v>3117</v>
      </c>
      <c r="G227" s="531" t="s">
        <v>320</v>
      </c>
      <c r="H227" s="767" t="s">
        <v>283</v>
      </c>
      <c r="I227" s="495">
        <v>3005783</v>
      </c>
      <c r="J227" s="496">
        <v>2040849</v>
      </c>
      <c r="K227" s="496">
        <v>4144</v>
      </c>
      <c r="L227" s="496">
        <v>4144</v>
      </c>
      <c r="M227" s="496">
        <v>794761</v>
      </c>
      <c r="N227" s="496">
        <v>47028</v>
      </c>
      <c r="O227" s="496">
        <v>119001</v>
      </c>
      <c r="P227" s="497">
        <v>4.2004000000000001</v>
      </c>
      <c r="Q227" s="412">
        <v>3</v>
      </c>
      <c r="R227" s="764">
        <v>1.2004000000000001</v>
      </c>
      <c r="S227" s="530">
        <f t="shared" si="386"/>
        <v>0</v>
      </c>
      <c r="T227" s="486">
        <v>0</v>
      </c>
      <c r="U227" s="486">
        <v>0</v>
      </c>
      <c r="V227" s="486">
        <f t="shared" si="387"/>
        <v>0</v>
      </c>
      <c r="W227" s="486">
        <v>0</v>
      </c>
      <c r="X227" s="486">
        <v>0</v>
      </c>
      <c r="Y227" s="486">
        <f t="shared" si="388"/>
        <v>0</v>
      </c>
      <c r="Z227" s="486">
        <f t="shared" si="389"/>
        <v>0</v>
      </c>
      <c r="AA227" s="319">
        <f t="shared" si="390"/>
        <v>0</v>
      </c>
      <c r="AB227" s="178">
        <f t="shared" si="391"/>
        <v>0</v>
      </c>
      <c r="AC227" s="486">
        <v>0</v>
      </c>
      <c r="AD227" s="486">
        <v>0</v>
      </c>
      <c r="AE227" s="486">
        <f t="shared" si="359"/>
        <v>0</v>
      </c>
      <c r="AF227" s="486">
        <f t="shared" si="360"/>
        <v>0</v>
      </c>
      <c r="AG227" s="501">
        <v>0</v>
      </c>
      <c r="AH227" s="501">
        <v>0</v>
      </c>
      <c r="AI227" s="501">
        <v>0</v>
      </c>
      <c r="AJ227" s="501">
        <v>0</v>
      </c>
      <c r="AK227" s="501">
        <v>0</v>
      </c>
      <c r="AL227" s="501">
        <f t="shared" si="392"/>
        <v>0</v>
      </c>
      <c r="AM227" s="501">
        <f t="shared" si="393"/>
        <v>0</v>
      </c>
      <c r="AN227" s="502">
        <f t="shared" si="361"/>
        <v>0</v>
      </c>
      <c r="AO227" s="499">
        <f t="shared" si="394"/>
        <v>3005783</v>
      </c>
      <c r="AP227" s="486">
        <f t="shared" si="395"/>
        <v>2040849</v>
      </c>
      <c r="AQ227" s="486">
        <f t="shared" si="396"/>
        <v>4144</v>
      </c>
      <c r="AR227" s="486">
        <f t="shared" si="397"/>
        <v>4144</v>
      </c>
      <c r="AS227" s="486">
        <f t="shared" si="398"/>
        <v>794761</v>
      </c>
      <c r="AT227" s="486">
        <f t="shared" si="398"/>
        <v>47028</v>
      </c>
      <c r="AU227" s="486">
        <f t="shared" si="399"/>
        <v>119001</v>
      </c>
      <c r="AV227" s="501">
        <f t="shared" si="400"/>
        <v>4.2004000000000001</v>
      </c>
      <c r="AW227" s="501">
        <f t="shared" si="401"/>
        <v>3</v>
      </c>
      <c r="AX227" s="502">
        <f t="shared" si="401"/>
        <v>1.2004000000000001</v>
      </c>
    </row>
    <row r="228" spans="1:50" s="695" customFormat="1" ht="12.75" customHeight="1" x14ac:dyDescent="0.2">
      <c r="A228" s="720">
        <v>41</v>
      </c>
      <c r="B228" s="721">
        <v>4432</v>
      </c>
      <c r="C228" s="721">
        <v>600074625</v>
      </c>
      <c r="D228" s="721">
        <v>70695903</v>
      </c>
      <c r="E228" s="722" t="s">
        <v>229</v>
      </c>
      <c r="F228" s="721">
        <v>3117</v>
      </c>
      <c r="G228" s="531" t="s">
        <v>318</v>
      </c>
      <c r="H228" s="767" t="s">
        <v>284</v>
      </c>
      <c r="I228" s="495">
        <v>1321352</v>
      </c>
      <c r="J228" s="496">
        <v>960163</v>
      </c>
      <c r="K228" s="475">
        <v>0</v>
      </c>
      <c r="L228" s="475">
        <v>0</v>
      </c>
      <c r="M228" s="319">
        <v>324535</v>
      </c>
      <c r="N228" s="319">
        <v>19204</v>
      </c>
      <c r="O228" s="496">
        <v>17450</v>
      </c>
      <c r="P228" s="497">
        <v>2.9099999999999997</v>
      </c>
      <c r="Q228" s="412">
        <v>2.9099999999999997</v>
      </c>
      <c r="R228" s="764">
        <v>0</v>
      </c>
      <c r="S228" s="530">
        <f t="shared" si="386"/>
        <v>0</v>
      </c>
      <c r="T228" s="486">
        <v>30199</v>
      </c>
      <c r="U228" s="486">
        <v>0</v>
      </c>
      <c r="V228" s="486">
        <f t="shared" si="387"/>
        <v>30199</v>
      </c>
      <c r="W228" s="486">
        <v>0</v>
      </c>
      <c r="X228" s="486">
        <v>0</v>
      </c>
      <c r="Y228" s="486">
        <f t="shared" si="388"/>
        <v>0</v>
      </c>
      <c r="Z228" s="486">
        <f t="shared" si="389"/>
        <v>30199</v>
      </c>
      <c r="AA228" s="319">
        <f t="shared" si="390"/>
        <v>10207</v>
      </c>
      <c r="AB228" s="178">
        <f t="shared" si="391"/>
        <v>604</v>
      </c>
      <c r="AC228" s="486">
        <v>0</v>
      </c>
      <c r="AD228" s="486">
        <v>0</v>
      </c>
      <c r="AE228" s="486">
        <f t="shared" si="359"/>
        <v>0</v>
      </c>
      <c r="AF228" s="486">
        <f t="shared" si="360"/>
        <v>41010</v>
      </c>
      <c r="AG228" s="501">
        <v>0</v>
      </c>
      <c r="AH228" s="501">
        <v>0</v>
      </c>
      <c r="AI228" s="501">
        <v>0</v>
      </c>
      <c r="AJ228" s="501">
        <v>0</v>
      </c>
      <c r="AK228" s="501">
        <v>0</v>
      </c>
      <c r="AL228" s="501">
        <f t="shared" si="392"/>
        <v>0</v>
      </c>
      <c r="AM228" s="501">
        <f t="shared" si="393"/>
        <v>0</v>
      </c>
      <c r="AN228" s="502">
        <f t="shared" si="361"/>
        <v>0</v>
      </c>
      <c r="AO228" s="499">
        <f t="shared" si="394"/>
        <v>1362362</v>
      </c>
      <c r="AP228" s="486">
        <f t="shared" si="395"/>
        <v>990362</v>
      </c>
      <c r="AQ228" s="486">
        <f t="shared" si="396"/>
        <v>0</v>
      </c>
      <c r="AR228" s="486">
        <f t="shared" si="397"/>
        <v>0</v>
      </c>
      <c r="AS228" s="486">
        <f t="shared" si="398"/>
        <v>334742</v>
      </c>
      <c r="AT228" s="486">
        <f t="shared" si="398"/>
        <v>19808</v>
      </c>
      <c r="AU228" s="486">
        <f t="shared" si="399"/>
        <v>17450</v>
      </c>
      <c r="AV228" s="501">
        <f t="shared" si="400"/>
        <v>2.9099999999999997</v>
      </c>
      <c r="AW228" s="501">
        <f t="shared" si="401"/>
        <v>2.9099999999999997</v>
      </c>
      <c r="AX228" s="502">
        <f t="shared" si="401"/>
        <v>0</v>
      </c>
    </row>
    <row r="229" spans="1:50" s="695" customFormat="1" ht="12.75" customHeight="1" x14ac:dyDescent="0.2">
      <c r="A229" s="720">
        <v>41</v>
      </c>
      <c r="B229" s="721">
        <v>4432</v>
      </c>
      <c r="C229" s="721">
        <v>600074625</v>
      </c>
      <c r="D229" s="721">
        <v>70695903</v>
      </c>
      <c r="E229" s="722" t="s">
        <v>229</v>
      </c>
      <c r="F229" s="721">
        <v>3141</v>
      </c>
      <c r="G229" s="531" t="s">
        <v>321</v>
      </c>
      <c r="H229" s="767" t="s">
        <v>284</v>
      </c>
      <c r="I229" s="495">
        <v>654603</v>
      </c>
      <c r="J229" s="496">
        <v>479984</v>
      </c>
      <c r="K229" s="475">
        <v>0</v>
      </c>
      <c r="L229" s="475">
        <v>0</v>
      </c>
      <c r="M229" s="319">
        <v>162235</v>
      </c>
      <c r="N229" s="319">
        <v>9600</v>
      </c>
      <c r="O229" s="496">
        <v>2784</v>
      </c>
      <c r="P229" s="497">
        <v>1.6300000000000001</v>
      </c>
      <c r="Q229" s="412">
        <v>0</v>
      </c>
      <c r="R229" s="764">
        <v>1.6300000000000001</v>
      </c>
      <c r="S229" s="530">
        <f t="shared" si="386"/>
        <v>0</v>
      </c>
      <c r="T229" s="486">
        <v>0</v>
      </c>
      <c r="U229" s="486">
        <v>0</v>
      </c>
      <c r="V229" s="486">
        <f t="shared" si="387"/>
        <v>0</v>
      </c>
      <c r="W229" s="486">
        <v>0</v>
      </c>
      <c r="X229" s="486">
        <v>0</v>
      </c>
      <c r="Y229" s="486">
        <f t="shared" si="388"/>
        <v>0</v>
      </c>
      <c r="Z229" s="486">
        <f t="shared" si="389"/>
        <v>0</v>
      </c>
      <c r="AA229" s="319">
        <f t="shared" si="390"/>
        <v>0</v>
      </c>
      <c r="AB229" s="178">
        <f t="shared" si="391"/>
        <v>0</v>
      </c>
      <c r="AC229" s="486">
        <v>0</v>
      </c>
      <c r="AD229" s="486">
        <v>0</v>
      </c>
      <c r="AE229" s="486">
        <f t="shared" si="359"/>
        <v>0</v>
      </c>
      <c r="AF229" s="486">
        <f t="shared" si="360"/>
        <v>0</v>
      </c>
      <c r="AG229" s="501">
        <v>0</v>
      </c>
      <c r="AH229" s="501">
        <v>0</v>
      </c>
      <c r="AI229" s="501">
        <v>0</v>
      </c>
      <c r="AJ229" s="501">
        <v>0</v>
      </c>
      <c r="AK229" s="501">
        <v>0</v>
      </c>
      <c r="AL229" s="501">
        <f t="shared" si="392"/>
        <v>0</v>
      </c>
      <c r="AM229" s="501">
        <f t="shared" si="393"/>
        <v>0</v>
      </c>
      <c r="AN229" s="502">
        <f t="shared" si="361"/>
        <v>0</v>
      </c>
      <c r="AO229" s="499">
        <f t="shared" si="394"/>
        <v>654603</v>
      </c>
      <c r="AP229" s="486">
        <f t="shared" si="395"/>
        <v>479984</v>
      </c>
      <c r="AQ229" s="486">
        <f t="shared" si="396"/>
        <v>0</v>
      </c>
      <c r="AR229" s="486">
        <f t="shared" si="397"/>
        <v>0</v>
      </c>
      <c r="AS229" s="486">
        <f t="shared" si="398"/>
        <v>162235</v>
      </c>
      <c r="AT229" s="486">
        <f t="shared" si="398"/>
        <v>9600</v>
      </c>
      <c r="AU229" s="486">
        <f t="shared" si="399"/>
        <v>2784</v>
      </c>
      <c r="AV229" s="501">
        <f t="shared" si="400"/>
        <v>1.6300000000000001</v>
      </c>
      <c r="AW229" s="501">
        <f t="shared" si="401"/>
        <v>0</v>
      </c>
      <c r="AX229" s="502">
        <f t="shared" si="401"/>
        <v>1.6300000000000001</v>
      </c>
    </row>
    <row r="230" spans="1:50" s="695" customFormat="1" ht="12.75" customHeight="1" x14ac:dyDescent="0.2">
      <c r="A230" s="720">
        <v>41</v>
      </c>
      <c r="B230" s="721">
        <v>4432</v>
      </c>
      <c r="C230" s="721">
        <v>600074625</v>
      </c>
      <c r="D230" s="721">
        <v>70695903</v>
      </c>
      <c r="E230" s="722" t="s">
        <v>229</v>
      </c>
      <c r="F230" s="721">
        <v>3143</v>
      </c>
      <c r="G230" s="531" t="s">
        <v>634</v>
      </c>
      <c r="H230" s="701" t="s">
        <v>283</v>
      </c>
      <c r="I230" s="495">
        <v>712596</v>
      </c>
      <c r="J230" s="496">
        <v>479057</v>
      </c>
      <c r="K230" s="496">
        <v>0</v>
      </c>
      <c r="L230" s="496">
        <v>0</v>
      </c>
      <c r="M230" s="496">
        <v>220492</v>
      </c>
      <c r="N230" s="496">
        <v>13047</v>
      </c>
      <c r="O230" s="496">
        <v>0</v>
      </c>
      <c r="P230" s="497">
        <v>1.1608000000000001</v>
      </c>
      <c r="Q230" s="412">
        <v>1.1608000000000001</v>
      </c>
      <c r="R230" s="764">
        <v>0</v>
      </c>
      <c r="S230" s="530">
        <f t="shared" si="386"/>
        <v>0</v>
      </c>
      <c r="T230" s="486">
        <v>0</v>
      </c>
      <c r="U230" s="486">
        <v>0</v>
      </c>
      <c r="V230" s="486">
        <f t="shared" si="387"/>
        <v>0</v>
      </c>
      <c r="W230" s="486">
        <v>0</v>
      </c>
      <c r="X230" s="486">
        <v>0</v>
      </c>
      <c r="Y230" s="486">
        <f t="shared" si="388"/>
        <v>0</v>
      </c>
      <c r="Z230" s="486">
        <f t="shared" si="389"/>
        <v>0</v>
      </c>
      <c r="AA230" s="319">
        <f t="shared" si="390"/>
        <v>0</v>
      </c>
      <c r="AB230" s="178">
        <f t="shared" si="391"/>
        <v>0</v>
      </c>
      <c r="AC230" s="486">
        <v>0</v>
      </c>
      <c r="AD230" s="486">
        <v>0</v>
      </c>
      <c r="AE230" s="486">
        <f t="shared" si="359"/>
        <v>0</v>
      </c>
      <c r="AF230" s="486">
        <f t="shared" si="360"/>
        <v>0</v>
      </c>
      <c r="AG230" s="501">
        <v>0</v>
      </c>
      <c r="AH230" s="501">
        <v>0</v>
      </c>
      <c r="AI230" s="501">
        <v>0</v>
      </c>
      <c r="AJ230" s="501">
        <v>0</v>
      </c>
      <c r="AK230" s="501">
        <v>0</v>
      </c>
      <c r="AL230" s="501">
        <f t="shared" si="392"/>
        <v>0</v>
      </c>
      <c r="AM230" s="501">
        <f t="shared" si="393"/>
        <v>0</v>
      </c>
      <c r="AN230" s="502">
        <f t="shared" si="361"/>
        <v>0</v>
      </c>
      <c r="AO230" s="499">
        <f t="shared" si="394"/>
        <v>712596</v>
      </c>
      <c r="AP230" s="486">
        <f t="shared" si="395"/>
        <v>479057</v>
      </c>
      <c r="AQ230" s="486">
        <f t="shared" si="396"/>
        <v>0</v>
      </c>
      <c r="AR230" s="486">
        <f t="shared" si="397"/>
        <v>0</v>
      </c>
      <c r="AS230" s="486">
        <f t="shared" si="398"/>
        <v>220492</v>
      </c>
      <c r="AT230" s="486">
        <f t="shared" si="398"/>
        <v>13047</v>
      </c>
      <c r="AU230" s="486">
        <f t="shared" si="399"/>
        <v>0</v>
      </c>
      <c r="AV230" s="501">
        <f t="shared" si="400"/>
        <v>1.1608000000000001</v>
      </c>
      <c r="AW230" s="501">
        <f t="shared" si="401"/>
        <v>1.1608000000000001</v>
      </c>
      <c r="AX230" s="502">
        <f t="shared" si="401"/>
        <v>0</v>
      </c>
    </row>
    <row r="231" spans="1:50" s="695" customFormat="1" ht="12.75" customHeight="1" x14ac:dyDescent="0.2">
      <c r="A231" s="720">
        <v>41</v>
      </c>
      <c r="B231" s="721">
        <v>4432</v>
      </c>
      <c r="C231" s="721">
        <v>600074625</v>
      </c>
      <c r="D231" s="721">
        <v>70695903</v>
      </c>
      <c r="E231" s="722" t="s">
        <v>229</v>
      </c>
      <c r="F231" s="721">
        <v>3143</v>
      </c>
      <c r="G231" s="531" t="s">
        <v>635</v>
      </c>
      <c r="H231" s="701" t="s">
        <v>284</v>
      </c>
      <c r="I231" s="495">
        <v>13342</v>
      </c>
      <c r="J231" s="496">
        <v>9405</v>
      </c>
      <c r="K231" s="475">
        <v>0</v>
      </c>
      <c r="L231" s="475">
        <v>0</v>
      </c>
      <c r="M231" s="319">
        <v>3179</v>
      </c>
      <c r="N231" s="319">
        <v>188</v>
      </c>
      <c r="O231" s="496">
        <v>570</v>
      </c>
      <c r="P231" s="497">
        <v>0.04</v>
      </c>
      <c r="Q231" s="412">
        <v>0</v>
      </c>
      <c r="R231" s="764">
        <v>0.04</v>
      </c>
      <c r="S231" s="530">
        <f t="shared" si="386"/>
        <v>0</v>
      </c>
      <c r="T231" s="486">
        <v>0</v>
      </c>
      <c r="U231" s="486">
        <v>0</v>
      </c>
      <c r="V231" s="486">
        <f t="shared" si="387"/>
        <v>0</v>
      </c>
      <c r="W231" s="486">
        <v>0</v>
      </c>
      <c r="X231" s="486">
        <v>0</v>
      </c>
      <c r="Y231" s="486">
        <f t="shared" si="388"/>
        <v>0</v>
      </c>
      <c r="Z231" s="486">
        <f t="shared" si="389"/>
        <v>0</v>
      </c>
      <c r="AA231" s="319">
        <f t="shared" si="390"/>
        <v>0</v>
      </c>
      <c r="AB231" s="178">
        <f t="shared" si="391"/>
        <v>0</v>
      </c>
      <c r="AC231" s="486">
        <v>0</v>
      </c>
      <c r="AD231" s="486">
        <v>0</v>
      </c>
      <c r="AE231" s="486">
        <f t="shared" si="359"/>
        <v>0</v>
      </c>
      <c r="AF231" s="486">
        <f t="shared" si="360"/>
        <v>0</v>
      </c>
      <c r="AG231" s="501">
        <v>0</v>
      </c>
      <c r="AH231" s="501">
        <v>0</v>
      </c>
      <c r="AI231" s="501">
        <v>0</v>
      </c>
      <c r="AJ231" s="501">
        <v>0</v>
      </c>
      <c r="AK231" s="501">
        <v>0</v>
      </c>
      <c r="AL231" s="501">
        <f t="shared" si="392"/>
        <v>0</v>
      </c>
      <c r="AM231" s="501">
        <f t="shared" si="393"/>
        <v>0</v>
      </c>
      <c r="AN231" s="502">
        <f t="shared" si="361"/>
        <v>0</v>
      </c>
      <c r="AO231" s="499">
        <f t="shared" si="394"/>
        <v>13342</v>
      </c>
      <c r="AP231" s="486">
        <f t="shared" si="395"/>
        <v>9405</v>
      </c>
      <c r="AQ231" s="486">
        <f t="shared" si="396"/>
        <v>0</v>
      </c>
      <c r="AR231" s="486">
        <f t="shared" si="397"/>
        <v>0</v>
      </c>
      <c r="AS231" s="486">
        <f t="shared" si="398"/>
        <v>3179</v>
      </c>
      <c r="AT231" s="486">
        <f t="shared" si="398"/>
        <v>188</v>
      </c>
      <c r="AU231" s="486">
        <f t="shared" si="399"/>
        <v>570</v>
      </c>
      <c r="AV231" s="501">
        <f t="shared" si="400"/>
        <v>0.04</v>
      </c>
      <c r="AW231" s="501">
        <f t="shared" si="401"/>
        <v>0</v>
      </c>
      <c r="AX231" s="502">
        <f t="shared" si="401"/>
        <v>0.04</v>
      </c>
    </row>
    <row r="232" spans="1:50" s="695" customFormat="1" ht="12.75" customHeight="1" x14ac:dyDescent="0.2">
      <c r="A232" s="282">
        <v>41</v>
      </c>
      <c r="B232" s="27">
        <v>4432</v>
      </c>
      <c r="C232" s="27">
        <v>600074625</v>
      </c>
      <c r="D232" s="27">
        <v>70695903</v>
      </c>
      <c r="E232" s="292" t="s">
        <v>230</v>
      </c>
      <c r="F232" s="27"/>
      <c r="G232" s="281"/>
      <c r="H232" s="377"/>
      <c r="I232" s="5">
        <v>7094860</v>
      </c>
      <c r="J232" s="8">
        <v>5105603</v>
      </c>
      <c r="K232" s="8">
        <v>4144</v>
      </c>
      <c r="L232" s="8">
        <v>4144</v>
      </c>
      <c r="M232" s="8">
        <v>1725694</v>
      </c>
      <c r="N232" s="8">
        <v>102114</v>
      </c>
      <c r="O232" s="8">
        <v>157305</v>
      </c>
      <c r="P232" s="9">
        <v>12.5489</v>
      </c>
      <c r="Q232" s="9">
        <v>9.1676000000000002</v>
      </c>
      <c r="R232" s="33">
        <v>3.3813000000000004</v>
      </c>
      <c r="S232" s="5">
        <f t="shared" ref="S232:AX232" si="402">SUM(S226:S231)</f>
        <v>0</v>
      </c>
      <c r="T232" s="8">
        <f t="shared" si="402"/>
        <v>30199</v>
      </c>
      <c r="U232" s="8">
        <f t="shared" si="402"/>
        <v>0</v>
      </c>
      <c r="V232" s="8">
        <f t="shared" si="402"/>
        <v>30199</v>
      </c>
      <c r="W232" s="8">
        <f t="shared" si="402"/>
        <v>0</v>
      </c>
      <c r="X232" s="8">
        <f t="shared" si="402"/>
        <v>0</v>
      </c>
      <c r="Y232" s="8">
        <f t="shared" si="402"/>
        <v>0</v>
      </c>
      <c r="Z232" s="8">
        <f t="shared" si="402"/>
        <v>30199</v>
      </c>
      <c r="AA232" s="8">
        <f t="shared" si="402"/>
        <v>10207</v>
      </c>
      <c r="AB232" s="8">
        <f t="shared" si="402"/>
        <v>604</v>
      </c>
      <c r="AC232" s="8">
        <f t="shared" si="402"/>
        <v>0</v>
      </c>
      <c r="AD232" s="8">
        <f t="shared" si="402"/>
        <v>0</v>
      </c>
      <c r="AE232" s="8">
        <f t="shared" si="402"/>
        <v>0</v>
      </c>
      <c r="AF232" s="8">
        <f t="shared" si="402"/>
        <v>41010</v>
      </c>
      <c r="AG232" s="9">
        <f t="shared" si="402"/>
        <v>0</v>
      </c>
      <c r="AH232" s="9">
        <f t="shared" si="402"/>
        <v>0</v>
      </c>
      <c r="AI232" s="9">
        <f t="shared" si="402"/>
        <v>0</v>
      </c>
      <c r="AJ232" s="9">
        <f t="shared" si="402"/>
        <v>0</v>
      </c>
      <c r="AK232" s="9">
        <f t="shared" si="402"/>
        <v>0</v>
      </c>
      <c r="AL232" s="9">
        <f t="shared" si="402"/>
        <v>0</v>
      </c>
      <c r="AM232" s="9">
        <f t="shared" si="402"/>
        <v>0</v>
      </c>
      <c r="AN232" s="74">
        <f t="shared" si="402"/>
        <v>0</v>
      </c>
      <c r="AO232" s="270">
        <f t="shared" si="402"/>
        <v>7135870</v>
      </c>
      <c r="AP232" s="8">
        <f t="shared" si="402"/>
        <v>5135802</v>
      </c>
      <c r="AQ232" s="38">
        <f t="shared" si="402"/>
        <v>4144</v>
      </c>
      <c r="AR232" s="38">
        <f t="shared" si="402"/>
        <v>4144</v>
      </c>
      <c r="AS232" s="8">
        <f t="shared" si="402"/>
        <v>1735901</v>
      </c>
      <c r="AT232" s="8">
        <f t="shared" si="402"/>
        <v>102718</v>
      </c>
      <c r="AU232" s="8">
        <f t="shared" si="402"/>
        <v>157305</v>
      </c>
      <c r="AV232" s="9">
        <f t="shared" si="402"/>
        <v>12.5489</v>
      </c>
      <c r="AW232" s="9">
        <f t="shared" si="402"/>
        <v>9.1676000000000002</v>
      </c>
      <c r="AX232" s="74">
        <f t="shared" si="402"/>
        <v>3.3813000000000004</v>
      </c>
    </row>
    <row r="233" spans="1:50" s="695" customFormat="1" ht="12.75" customHeight="1" x14ac:dyDescent="0.2">
      <c r="A233" s="720">
        <v>42</v>
      </c>
      <c r="B233" s="721">
        <v>4459</v>
      </c>
      <c r="C233" s="721">
        <v>650037171</v>
      </c>
      <c r="D233" s="721">
        <v>72742356</v>
      </c>
      <c r="E233" s="722" t="s">
        <v>231</v>
      </c>
      <c r="F233" s="721">
        <v>3111</v>
      </c>
      <c r="G233" s="531" t="s">
        <v>317</v>
      </c>
      <c r="H233" s="767" t="s">
        <v>283</v>
      </c>
      <c r="I233" s="495">
        <v>2282963</v>
      </c>
      <c r="J233" s="496">
        <v>2020024</v>
      </c>
      <c r="K233" s="496">
        <v>0</v>
      </c>
      <c r="L233" s="496">
        <v>0</v>
      </c>
      <c r="M233" s="496">
        <v>220492</v>
      </c>
      <c r="N233" s="496">
        <v>13047</v>
      </c>
      <c r="O233" s="496">
        <v>29400</v>
      </c>
      <c r="P233" s="497">
        <v>4.9733999999999998</v>
      </c>
      <c r="Q233" s="412">
        <v>3.9516</v>
      </c>
      <c r="R233" s="764">
        <v>1.0218</v>
      </c>
      <c r="S233" s="530">
        <f t="shared" ref="S233:S238" si="403">W233*-1</f>
        <v>0</v>
      </c>
      <c r="T233" s="486">
        <v>0</v>
      </c>
      <c r="U233" s="486">
        <v>0</v>
      </c>
      <c r="V233" s="486">
        <f t="shared" ref="V233:V238" si="404">SUM(S233:U233)</f>
        <v>0</v>
      </c>
      <c r="W233" s="486">
        <v>0</v>
      </c>
      <c r="X233" s="486">
        <v>0</v>
      </c>
      <c r="Y233" s="486">
        <f t="shared" ref="Y233:Y238" si="405">SUM(W233:X233)</f>
        <v>0</v>
      </c>
      <c r="Z233" s="486">
        <f t="shared" ref="Z233:Z238" si="406">V233+Y233</f>
        <v>0</v>
      </c>
      <c r="AA233" s="319">
        <f t="shared" ref="AA233:AA238" si="407">ROUND((V233+W233)*33.8%,0)</f>
        <v>0</v>
      </c>
      <c r="AB233" s="178">
        <f t="shared" ref="AB233:AB238" si="408">ROUND(V233*2%,0)</f>
        <v>0</v>
      </c>
      <c r="AC233" s="486">
        <v>0</v>
      </c>
      <c r="AD233" s="486">
        <v>0</v>
      </c>
      <c r="AE233" s="486">
        <f t="shared" si="359"/>
        <v>0</v>
      </c>
      <c r="AF233" s="486">
        <f t="shared" si="360"/>
        <v>0</v>
      </c>
      <c r="AG233" s="501">
        <v>0</v>
      </c>
      <c r="AH233" s="501">
        <v>0</v>
      </c>
      <c r="AI233" s="501">
        <v>0</v>
      </c>
      <c r="AJ233" s="501">
        <v>0</v>
      </c>
      <c r="AK233" s="501">
        <v>0</v>
      </c>
      <c r="AL233" s="501">
        <f t="shared" ref="AL233:AL238" si="409">AG233+AI233+AJ233</f>
        <v>0</v>
      </c>
      <c r="AM233" s="501">
        <f t="shared" ref="AM233:AM238" si="410">AH233+AK233</f>
        <v>0</v>
      </c>
      <c r="AN233" s="502">
        <f t="shared" si="361"/>
        <v>0</v>
      </c>
      <c r="AO233" s="499">
        <f t="shared" ref="AO233:AO238" si="411">I233+AF233</f>
        <v>2282963</v>
      </c>
      <c r="AP233" s="486">
        <f t="shared" ref="AP233:AP238" si="412">J233+V233</f>
        <v>2020024</v>
      </c>
      <c r="AQ233" s="486">
        <f t="shared" ref="AQ233:AQ238" si="413">K233+Y233</f>
        <v>0</v>
      </c>
      <c r="AR233" s="486">
        <f t="shared" ref="AR233:AR238" si="414">L233</f>
        <v>0</v>
      </c>
      <c r="AS233" s="486">
        <f t="shared" ref="AS233:AT238" si="415">M233+AA233</f>
        <v>220492</v>
      </c>
      <c r="AT233" s="486">
        <f t="shared" si="415"/>
        <v>13047</v>
      </c>
      <c r="AU233" s="486">
        <f t="shared" ref="AU233:AU238" si="416">O233+AE233</f>
        <v>29400</v>
      </c>
      <c r="AV233" s="501">
        <f t="shared" ref="AV233:AV238" si="417">P233+AN233</f>
        <v>4.9733999999999998</v>
      </c>
      <c r="AW233" s="501">
        <f t="shared" ref="AW233:AX238" si="418">Q233+AL233</f>
        <v>3.9516</v>
      </c>
      <c r="AX233" s="502">
        <f t="shared" si="418"/>
        <v>1.0218</v>
      </c>
    </row>
    <row r="234" spans="1:50" s="695" customFormat="1" ht="12.75" customHeight="1" x14ac:dyDescent="0.2">
      <c r="A234" s="720">
        <v>42</v>
      </c>
      <c r="B234" s="721">
        <v>4459</v>
      </c>
      <c r="C234" s="721">
        <v>650037171</v>
      </c>
      <c r="D234" s="721">
        <v>72742356</v>
      </c>
      <c r="E234" s="722" t="s">
        <v>231</v>
      </c>
      <c r="F234" s="721">
        <v>3113</v>
      </c>
      <c r="G234" s="531" t="s">
        <v>320</v>
      </c>
      <c r="H234" s="767" t="s">
        <v>283</v>
      </c>
      <c r="I234" s="495">
        <v>8772254</v>
      </c>
      <c r="J234" s="496">
        <v>5879312</v>
      </c>
      <c r="K234" s="496">
        <v>14060</v>
      </c>
      <c r="L234" s="496">
        <v>14060</v>
      </c>
      <c r="M234" s="496">
        <v>2492969</v>
      </c>
      <c r="N234" s="496">
        <v>147513</v>
      </c>
      <c r="O234" s="496">
        <v>238400</v>
      </c>
      <c r="P234" s="497">
        <v>12.804100000000002</v>
      </c>
      <c r="Q234" s="412">
        <v>8.7607999999999997</v>
      </c>
      <c r="R234" s="764">
        <v>4.0433000000000021</v>
      </c>
      <c r="S234" s="530">
        <f t="shared" si="403"/>
        <v>0</v>
      </c>
      <c r="T234" s="486">
        <v>0</v>
      </c>
      <c r="U234" s="486">
        <v>0</v>
      </c>
      <c r="V234" s="486">
        <f t="shared" si="404"/>
        <v>0</v>
      </c>
      <c r="W234" s="486">
        <v>0</v>
      </c>
      <c r="X234" s="486">
        <v>0</v>
      </c>
      <c r="Y234" s="486">
        <f t="shared" si="405"/>
        <v>0</v>
      </c>
      <c r="Z234" s="486">
        <f t="shared" si="406"/>
        <v>0</v>
      </c>
      <c r="AA234" s="319">
        <f t="shared" si="407"/>
        <v>0</v>
      </c>
      <c r="AB234" s="178">
        <f t="shared" si="408"/>
        <v>0</v>
      </c>
      <c r="AC234" s="486">
        <v>0</v>
      </c>
      <c r="AD234" s="486">
        <v>0</v>
      </c>
      <c r="AE234" s="486">
        <f t="shared" si="359"/>
        <v>0</v>
      </c>
      <c r="AF234" s="486">
        <f t="shared" si="360"/>
        <v>0</v>
      </c>
      <c r="AG234" s="501">
        <v>0</v>
      </c>
      <c r="AH234" s="501">
        <v>0</v>
      </c>
      <c r="AI234" s="501">
        <v>0</v>
      </c>
      <c r="AJ234" s="501">
        <v>0</v>
      </c>
      <c r="AK234" s="501">
        <v>0</v>
      </c>
      <c r="AL234" s="501">
        <f t="shared" si="409"/>
        <v>0</v>
      </c>
      <c r="AM234" s="501">
        <f t="shared" si="410"/>
        <v>0</v>
      </c>
      <c r="AN234" s="502">
        <f t="shared" si="361"/>
        <v>0</v>
      </c>
      <c r="AO234" s="499">
        <f t="shared" si="411"/>
        <v>8772254</v>
      </c>
      <c r="AP234" s="486">
        <f t="shared" si="412"/>
        <v>5879312</v>
      </c>
      <c r="AQ234" s="486">
        <f t="shared" si="413"/>
        <v>14060</v>
      </c>
      <c r="AR234" s="486">
        <f t="shared" si="414"/>
        <v>14060</v>
      </c>
      <c r="AS234" s="486">
        <f t="shared" si="415"/>
        <v>2492969</v>
      </c>
      <c r="AT234" s="486">
        <f t="shared" si="415"/>
        <v>147513</v>
      </c>
      <c r="AU234" s="486">
        <f t="shared" si="416"/>
        <v>238400</v>
      </c>
      <c r="AV234" s="501">
        <f t="shared" si="417"/>
        <v>12.804100000000002</v>
      </c>
      <c r="AW234" s="501">
        <f t="shared" si="418"/>
        <v>8.7607999999999997</v>
      </c>
      <c r="AX234" s="502">
        <f t="shared" si="418"/>
        <v>4.0433000000000021</v>
      </c>
    </row>
    <row r="235" spans="1:50" s="695" customFormat="1" ht="12.75" customHeight="1" x14ac:dyDescent="0.2">
      <c r="A235" s="720">
        <v>42</v>
      </c>
      <c r="B235" s="721">
        <v>4459</v>
      </c>
      <c r="C235" s="721">
        <v>650037171</v>
      </c>
      <c r="D235" s="721">
        <v>72742356</v>
      </c>
      <c r="E235" s="722" t="s">
        <v>231</v>
      </c>
      <c r="F235" s="721">
        <v>3113</v>
      </c>
      <c r="G235" s="531" t="s">
        <v>318</v>
      </c>
      <c r="H235" s="767" t="s">
        <v>284</v>
      </c>
      <c r="I235" s="495">
        <v>2610495</v>
      </c>
      <c r="J235" s="496">
        <v>1920100</v>
      </c>
      <c r="K235" s="475">
        <v>0</v>
      </c>
      <c r="L235" s="475">
        <v>0</v>
      </c>
      <c r="M235" s="319">
        <v>648993</v>
      </c>
      <c r="N235" s="319">
        <v>38402</v>
      </c>
      <c r="O235" s="496">
        <v>3000</v>
      </c>
      <c r="P235" s="497">
        <v>5.62</v>
      </c>
      <c r="Q235" s="412">
        <v>5.62</v>
      </c>
      <c r="R235" s="764">
        <v>0</v>
      </c>
      <c r="S235" s="530">
        <f t="shared" si="403"/>
        <v>0</v>
      </c>
      <c r="T235" s="486">
        <v>23115</v>
      </c>
      <c r="U235" s="486">
        <v>0</v>
      </c>
      <c r="V235" s="486">
        <f t="shared" si="404"/>
        <v>23115</v>
      </c>
      <c r="W235" s="486">
        <v>0</v>
      </c>
      <c r="X235" s="486">
        <v>0</v>
      </c>
      <c r="Y235" s="486">
        <f t="shared" si="405"/>
        <v>0</v>
      </c>
      <c r="Z235" s="486">
        <f t="shared" si="406"/>
        <v>23115</v>
      </c>
      <c r="AA235" s="319">
        <f t="shared" si="407"/>
        <v>7813</v>
      </c>
      <c r="AB235" s="178">
        <f t="shared" si="408"/>
        <v>462</v>
      </c>
      <c r="AC235" s="486">
        <v>0</v>
      </c>
      <c r="AD235" s="486">
        <v>0</v>
      </c>
      <c r="AE235" s="486">
        <f t="shared" si="359"/>
        <v>0</v>
      </c>
      <c r="AF235" s="486">
        <f t="shared" si="360"/>
        <v>31390</v>
      </c>
      <c r="AG235" s="501">
        <v>0</v>
      </c>
      <c r="AH235" s="501">
        <v>0</v>
      </c>
      <c r="AI235" s="501">
        <v>7.0000000000000007E-2</v>
      </c>
      <c r="AJ235" s="501">
        <v>0</v>
      </c>
      <c r="AK235" s="501">
        <v>0</v>
      </c>
      <c r="AL235" s="501">
        <f t="shared" si="409"/>
        <v>7.0000000000000007E-2</v>
      </c>
      <c r="AM235" s="501">
        <f t="shared" si="410"/>
        <v>0</v>
      </c>
      <c r="AN235" s="502">
        <f t="shared" si="361"/>
        <v>7.0000000000000007E-2</v>
      </c>
      <c r="AO235" s="499">
        <f t="shared" si="411"/>
        <v>2641885</v>
      </c>
      <c r="AP235" s="486">
        <f t="shared" si="412"/>
        <v>1943215</v>
      </c>
      <c r="AQ235" s="486">
        <f t="shared" si="413"/>
        <v>0</v>
      </c>
      <c r="AR235" s="486">
        <f t="shared" si="414"/>
        <v>0</v>
      </c>
      <c r="AS235" s="486">
        <f t="shared" si="415"/>
        <v>656806</v>
      </c>
      <c r="AT235" s="486">
        <f t="shared" si="415"/>
        <v>38864</v>
      </c>
      <c r="AU235" s="486">
        <f t="shared" si="416"/>
        <v>3000</v>
      </c>
      <c r="AV235" s="501">
        <f t="shared" si="417"/>
        <v>5.69</v>
      </c>
      <c r="AW235" s="501">
        <f t="shared" si="418"/>
        <v>5.69</v>
      </c>
      <c r="AX235" s="502">
        <f t="shared" si="418"/>
        <v>0</v>
      </c>
    </row>
    <row r="236" spans="1:50" s="695" customFormat="1" ht="12.75" customHeight="1" x14ac:dyDescent="0.2">
      <c r="A236" s="720">
        <v>42</v>
      </c>
      <c r="B236" s="721">
        <v>4459</v>
      </c>
      <c r="C236" s="721">
        <v>650037171</v>
      </c>
      <c r="D236" s="721">
        <v>72742356</v>
      </c>
      <c r="E236" s="712" t="s">
        <v>231</v>
      </c>
      <c r="F236" s="721">
        <v>3141</v>
      </c>
      <c r="G236" s="531" t="s">
        <v>321</v>
      </c>
      <c r="H236" s="767" t="s">
        <v>284</v>
      </c>
      <c r="I236" s="495">
        <v>1254089</v>
      </c>
      <c r="J236" s="496">
        <v>918357</v>
      </c>
      <c r="K236" s="475">
        <v>0</v>
      </c>
      <c r="L236" s="475">
        <v>0</v>
      </c>
      <c r="M236" s="319">
        <v>310405</v>
      </c>
      <c r="N236" s="319">
        <v>18367</v>
      </c>
      <c r="O236" s="496">
        <v>6960</v>
      </c>
      <c r="P236" s="497">
        <v>3.13</v>
      </c>
      <c r="Q236" s="412">
        <v>0</v>
      </c>
      <c r="R236" s="764">
        <v>3.13</v>
      </c>
      <c r="S236" s="530">
        <f t="shared" si="403"/>
        <v>0</v>
      </c>
      <c r="T236" s="486">
        <v>0</v>
      </c>
      <c r="U236" s="486">
        <v>0</v>
      </c>
      <c r="V236" s="486">
        <f t="shared" si="404"/>
        <v>0</v>
      </c>
      <c r="W236" s="486">
        <v>0</v>
      </c>
      <c r="X236" s="486">
        <v>0</v>
      </c>
      <c r="Y236" s="486">
        <f t="shared" si="405"/>
        <v>0</v>
      </c>
      <c r="Z236" s="486">
        <f t="shared" si="406"/>
        <v>0</v>
      </c>
      <c r="AA236" s="319">
        <f t="shared" si="407"/>
        <v>0</v>
      </c>
      <c r="AB236" s="178">
        <f t="shared" si="408"/>
        <v>0</v>
      </c>
      <c r="AC236" s="486">
        <v>0</v>
      </c>
      <c r="AD236" s="486">
        <v>0</v>
      </c>
      <c r="AE236" s="486">
        <f t="shared" si="359"/>
        <v>0</v>
      </c>
      <c r="AF236" s="486">
        <f t="shared" si="360"/>
        <v>0</v>
      </c>
      <c r="AG236" s="501">
        <v>0</v>
      </c>
      <c r="AH236" s="501">
        <v>0</v>
      </c>
      <c r="AI236" s="501">
        <v>0</v>
      </c>
      <c r="AJ236" s="501">
        <v>0</v>
      </c>
      <c r="AK236" s="501">
        <v>0</v>
      </c>
      <c r="AL236" s="501">
        <f t="shared" si="409"/>
        <v>0</v>
      </c>
      <c r="AM236" s="501">
        <f t="shared" si="410"/>
        <v>0</v>
      </c>
      <c r="AN236" s="502">
        <f t="shared" si="361"/>
        <v>0</v>
      </c>
      <c r="AO236" s="499">
        <f t="shared" si="411"/>
        <v>1254089</v>
      </c>
      <c r="AP236" s="486">
        <f t="shared" si="412"/>
        <v>918357</v>
      </c>
      <c r="AQ236" s="486">
        <f t="shared" si="413"/>
        <v>0</v>
      </c>
      <c r="AR236" s="486">
        <f t="shared" si="414"/>
        <v>0</v>
      </c>
      <c r="AS236" s="486">
        <f t="shared" si="415"/>
        <v>310405</v>
      </c>
      <c r="AT236" s="486">
        <f t="shared" si="415"/>
        <v>18367</v>
      </c>
      <c r="AU236" s="486">
        <f t="shared" si="416"/>
        <v>6960</v>
      </c>
      <c r="AV236" s="501">
        <f t="shared" si="417"/>
        <v>3.13</v>
      </c>
      <c r="AW236" s="501">
        <f t="shared" si="418"/>
        <v>0</v>
      </c>
      <c r="AX236" s="502">
        <f t="shared" si="418"/>
        <v>3.13</v>
      </c>
    </row>
    <row r="237" spans="1:50" s="695" customFormat="1" ht="12.75" customHeight="1" x14ac:dyDescent="0.2">
      <c r="A237" s="720">
        <v>42</v>
      </c>
      <c r="B237" s="721">
        <v>4459</v>
      </c>
      <c r="C237" s="721">
        <v>650037171</v>
      </c>
      <c r="D237" s="721">
        <v>72742356</v>
      </c>
      <c r="E237" s="722" t="s">
        <v>231</v>
      </c>
      <c r="F237" s="721">
        <v>3143</v>
      </c>
      <c r="G237" s="531" t="s">
        <v>634</v>
      </c>
      <c r="H237" s="701" t="s">
        <v>283</v>
      </c>
      <c r="I237" s="495">
        <v>1014538</v>
      </c>
      <c r="J237" s="496">
        <v>780999</v>
      </c>
      <c r="K237" s="496">
        <v>0</v>
      </c>
      <c r="L237" s="496">
        <v>0</v>
      </c>
      <c r="M237" s="496">
        <v>220492</v>
      </c>
      <c r="N237" s="496">
        <v>13047</v>
      </c>
      <c r="O237" s="496">
        <v>0</v>
      </c>
      <c r="P237" s="497">
        <v>1.875</v>
      </c>
      <c r="Q237" s="412">
        <v>1.875</v>
      </c>
      <c r="R237" s="764">
        <v>0</v>
      </c>
      <c r="S237" s="530">
        <f t="shared" si="403"/>
        <v>0</v>
      </c>
      <c r="T237" s="486">
        <v>0</v>
      </c>
      <c r="U237" s="486">
        <v>0</v>
      </c>
      <c r="V237" s="486">
        <f t="shared" si="404"/>
        <v>0</v>
      </c>
      <c r="W237" s="486">
        <v>0</v>
      </c>
      <c r="X237" s="486">
        <v>0</v>
      </c>
      <c r="Y237" s="486">
        <f t="shared" si="405"/>
        <v>0</v>
      </c>
      <c r="Z237" s="486">
        <f t="shared" si="406"/>
        <v>0</v>
      </c>
      <c r="AA237" s="319">
        <f t="shared" si="407"/>
        <v>0</v>
      </c>
      <c r="AB237" s="178">
        <f t="shared" si="408"/>
        <v>0</v>
      </c>
      <c r="AC237" s="486">
        <v>0</v>
      </c>
      <c r="AD237" s="486">
        <v>0</v>
      </c>
      <c r="AE237" s="486">
        <f t="shared" si="359"/>
        <v>0</v>
      </c>
      <c r="AF237" s="486">
        <f t="shared" si="360"/>
        <v>0</v>
      </c>
      <c r="AG237" s="501">
        <v>0</v>
      </c>
      <c r="AH237" s="501">
        <v>0</v>
      </c>
      <c r="AI237" s="501">
        <v>0</v>
      </c>
      <c r="AJ237" s="501">
        <v>0</v>
      </c>
      <c r="AK237" s="501">
        <v>0</v>
      </c>
      <c r="AL237" s="501">
        <f t="shared" si="409"/>
        <v>0</v>
      </c>
      <c r="AM237" s="501">
        <f t="shared" si="410"/>
        <v>0</v>
      </c>
      <c r="AN237" s="502">
        <f t="shared" si="361"/>
        <v>0</v>
      </c>
      <c r="AO237" s="499">
        <f t="shared" si="411"/>
        <v>1014538</v>
      </c>
      <c r="AP237" s="486">
        <f t="shared" si="412"/>
        <v>780999</v>
      </c>
      <c r="AQ237" s="486">
        <f t="shared" si="413"/>
        <v>0</v>
      </c>
      <c r="AR237" s="486">
        <f t="shared" si="414"/>
        <v>0</v>
      </c>
      <c r="AS237" s="486">
        <f t="shared" si="415"/>
        <v>220492</v>
      </c>
      <c r="AT237" s="486">
        <f t="shared" si="415"/>
        <v>13047</v>
      </c>
      <c r="AU237" s="486">
        <f t="shared" si="416"/>
        <v>0</v>
      </c>
      <c r="AV237" s="501">
        <f t="shared" si="417"/>
        <v>1.875</v>
      </c>
      <c r="AW237" s="501">
        <f t="shared" si="418"/>
        <v>1.875</v>
      </c>
      <c r="AX237" s="502">
        <f t="shared" si="418"/>
        <v>0</v>
      </c>
    </row>
    <row r="238" spans="1:50" s="695" customFormat="1" ht="12.75" customHeight="1" x14ac:dyDescent="0.2">
      <c r="A238" s="720">
        <v>42</v>
      </c>
      <c r="B238" s="721">
        <v>4459</v>
      </c>
      <c r="C238" s="721">
        <v>650037171</v>
      </c>
      <c r="D238" s="721">
        <v>72742356</v>
      </c>
      <c r="E238" s="722" t="s">
        <v>231</v>
      </c>
      <c r="F238" s="721">
        <v>3143</v>
      </c>
      <c r="G238" s="531" t="s">
        <v>635</v>
      </c>
      <c r="H238" s="701" t="s">
        <v>284</v>
      </c>
      <c r="I238" s="495">
        <v>24578</v>
      </c>
      <c r="J238" s="496">
        <v>17325</v>
      </c>
      <c r="K238" s="475">
        <v>0</v>
      </c>
      <c r="L238" s="475">
        <v>0</v>
      </c>
      <c r="M238" s="319">
        <v>5856</v>
      </c>
      <c r="N238" s="319">
        <v>347</v>
      </c>
      <c r="O238" s="496">
        <v>1050</v>
      </c>
      <c r="P238" s="497">
        <v>7.0000000000000007E-2</v>
      </c>
      <c r="Q238" s="412">
        <v>0</v>
      </c>
      <c r="R238" s="764">
        <v>7.0000000000000007E-2</v>
      </c>
      <c r="S238" s="530">
        <f t="shared" si="403"/>
        <v>0</v>
      </c>
      <c r="T238" s="486">
        <v>0</v>
      </c>
      <c r="U238" s="486">
        <v>0</v>
      </c>
      <c r="V238" s="486">
        <f t="shared" si="404"/>
        <v>0</v>
      </c>
      <c r="W238" s="486">
        <v>0</v>
      </c>
      <c r="X238" s="486">
        <v>0</v>
      </c>
      <c r="Y238" s="486">
        <f t="shared" si="405"/>
        <v>0</v>
      </c>
      <c r="Z238" s="486">
        <f t="shared" si="406"/>
        <v>0</v>
      </c>
      <c r="AA238" s="319">
        <f t="shared" si="407"/>
        <v>0</v>
      </c>
      <c r="AB238" s="178">
        <f t="shared" si="408"/>
        <v>0</v>
      </c>
      <c r="AC238" s="486">
        <v>0</v>
      </c>
      <c r="AD238" s="486">
        <v>0</v>
      </c>
      <c r="AE238" s="486">
        <f t="shared" si="359"/>
        <v>0</v>
      </c>
      <c r="AF238" s="486">
        <f t="shared" si="360"/>
        <v>0</v>
      </c>
      <c r="AG238" s="501">
        <v>0</v>
      </c>
      <c r="AH238" s="501">
        <v>0</v>
      </c>
      <c r="AI238" s="501">
        <v>0</v>
      </c>
      <c r="AJ238" s="501">
        <v>0</v>
      </c>
      <c r="AK238" s="501">
        <v>0</v>
      </c>
      <c r="AL238" s="501">
        <f t="shared" si="409"/>
        <v>0</v>
      </c>
      <c r="AM238" s="501">
        <f t="shared" si="410"/>
        <v>0</v>
      </c>
      <c r="AN238" s="502">
        <f t="shared" si="361"/>
        <v>0</v>
      </c>
      <c r="AO238" s="499">
        <f t="shared" si="411"/>
        <v>24578</v>
      </c>
      <c r="AP238" s="486">
        <f t="shared" si="412"/>
        <v>17325</v>
      </c>
      <c r="AQ238" s="486">
        <f t="shared" si="413"/>
        <v>0</v>
      </c>
      <c r="AR238" s="486">
        <f t="shared" si="414"/>
        <v>0</v>
      </c>
      <c r="AS238" s="486">
        <f t="shared" si="415"/>
        <v>5856</v>
      </c>
      <c r="AT238" s="486">
        <f t="shared" si="415"/>
        <v>347</v>
      </c>
      <c r="AU238" s="486">
        <f t="shared" si="416"/>
        <v>1050</v>
      </c>
      <c r="AV238" s="501">
        <f t="shared" si="417"/>
        <v>7.0000000000000007E-2</v>
      </c>
      <c r="AW238" s="501">
        <f t="shared" si="418"/>
        <v>0</v>
      </c>
      <c r="AX238" s="502">
        <f t="shared" si="418"/>
        <v>7.0000000000000007E-2</v>
      </c>
    </row>
    <row r="239" spans="1:50" s="695" customFormat="1" ht="12.75" customHeight="1" x14ac:dyDescent="0.2">
      <c r="A239" s="282">
        <v>42</v>
      </c>
      <c r="B239" s="27">
        <v>4459</v>
      </c>
      <c r="C239" s="27">
        <v>650037171</v>
      </c>
      <c r="D239" s="27">
        <v>72742356</v>
      </c>
      <c r="E239" s="292" t="s">
        <v>232</v>
      </c>
      <c r="F239" s="27"/>
      <c r="G239" s="281"/>
      <c r="H239" s="377"/>
      <c r="I239" s="5">
        <v>15958917</v>
      </c>
      <c r="J239" s="8">
        <v>11536117</v>
      </c>
      <c r="K239" s="8">
        <v>14060</v>
      </c>
      <c r="L239" s="8">
        <v>14060</v>
      </c>
      <c r="M239" s="8">
        <v>3899207</v>
      </c>
      <c r="N239" s="8">
        <v>230723</v>
      </c>
      <c r="O239" s="8">
        <v>278810</v>
      </c>
      <c r="P239" s="9">
        <v>28.472500000000004</v>
      </c>
      <c r="Q239" s="9">
        <v>20.2074</v>
      </c>
      <c r="R239" s="33">
        <v>8.2651000000000021</v>
      </c>
      <c r="S239" s="5">
        <f t="shared" ref="S239:AX239" si="419">SUM(S233:S238)</f>
        <v>0</v>
      </c>
      <c r="T239" s="8">
        <f t="shared" si="419"/>
        <v>23115</v>
      </c>
      <c r="U239" s="8">
        <f t="shared" si="419"/>
        <v>0</v>
      </c>
      <c r="V239" s="8">
        <f t="shared" si="419"/>
        <v>23115</v>
      </c>
      <c r="W239" s="8">
        <f t="shared" si="419"/>
        <v>0</v>
      </c>
      <c r="X239" s="8">
        <f t="shared" si="419"/>
        <v>0</v>
      </c>
      <c r="Y239" s="8">
        <f t="shared" si="419"/>
        <v>0</v>
      </c>
      <c r="Z239" s="8">
        <f t="shared" si="419"/>
        <v>23115</v>
      </c>
      <c r="AA239" s="8">
        <f t="shared" si="419"/>
        <v>7813</v>
      </c>
      <c r="AB239" s="8">
        <f t="shared" si="419"/>
        <v>462</v>
      </c>
      <c r="AC239" s="8">
        <f t="shared" si="419"/>
        <v>0</v>
      </c>
      <c r="AD239" s="8">
        <f t="shared" si="419"/>
        <v>0</v>
      </c>
      <c r="AE239" s="8">
        <f t="shared" si="419"/>
        <v>0</v>
      </c>
      <c r="AF239" s="8">
        <f t="shared" si="419"/>
        <v>31390</v>
      </c>
      <c r="AG239" s="9">
        <f t="shared" si="419"/>
        <v>0</v>
      </c>
      <c r="AH239" s="9">
        <f t="shared" si="419"/>
        <v>0</v>
      </c>
      <c r="AI239" s="9">
        <f t="shared" si="419"/>
        <v>7.0000000000000007E-2</v>
      </c>
      <c r="AJ239" s="9">
        <f t="shared" si="419"/>
        <v>0</v>
      </c>
      <c r="AK239" s="9">
        <f t="shared" si="419"/>
        <v>0</v>
      </c>
      <c r="AL239" s="9">
        <f t="shared" si="419"/>
        <v>7.0000000000000007E-2</v>
      </c>
      <c r="AM239" s="9">
        <f t="shared" si="419"/>
        <v>0</v>
      </c>
      <c r="AN239" s="74">
        <f t="shared" si="419"/>
        <v>7.0000000000000007E-2</v>
      </c>
      <c r="AO239" s="270">
        <f t="shared" si="419"/>
        <v>15990307</v>
      </c>
      <c r="AP239" s="8">
        <f t="shared" si="419"/>
        <v>11559232</v>
      </c>
      <c r="AQ239" s="38">
        <f t="shared" si="419"/>
        <v>14060</v>
      </c>
      <c r="AR239" s="38">
        <f t="shared" si="419"/>
        <v>14060</v>
      </c>
      <c r="AS239" s="8">
        <f t="shared" si="419"/>
        <v>3907020</v>
      </c>
      <c r="AT239" s="8">
        <f t="shared" si="419"/>
        <v>231185</v>
      </c>
      <c r="AU239" s="8">
        <f t="shared" si="419"/>
        <v>278810</v>
      </c>
      <c r="AV239" s="9">
        <f t="shared" si="419"/>
        <v>28.542500000000004</v>
      </c>
      <c r="AW239" s="9">
        <f t="shared" si="419"/>
        <v>20.2774</v>
      </c>
      <c r="AX239" s="74">
        <f t="shared" si="419"/>
        <v>8.2651000000000021</v>
      </c>
    </row>
    <row r="240" spans="1:50" s="695" customFormat="1" ht="12.75" customHeight="1" x14ac:dyDescent="0.2">
      <c r="A240" s="720">
        <v>43</v>
      </c>
      <c r="B240" s="721">
        <v>4424</v>
      </c>
      <c r="C240" s="721">
        <v>600074170</v>
      </c>
      <c r="D240" s="721">
        <v>72741562</v>
      </c>
      <c r="E240" s="722" t="s">
        <v>233</v>
      </c>
      <c r="F240" s="721">
        <v>3111</v>
      </c>
      <c r="G240" s="531" t="s">
        <v>317</v>
      </c>
      <c r="H240" s="767" t="s">
        <v>283</v>
      </c>
      <c r="I240" s="495">
        <v>3357921</v>
      </c>
      <c r="J240" s="496">
        <v>2451046</v>
      </c>
      <c r="K240" s="496">
        <v>0</v>
      </c>
      <c r="L240" s="496">
        <v>0</v>
      </c>
      <c r="M240" s="496">
        <v>828454</v>
      </c>
      <c r="N240" s="496">
        <v>49021</v>
      </c>
      <c r="O240" s="496">
        <v>29400</v>
      </c>
      <c r="P240" s="497">
        <v>5.7156000000000002</v>
      </c>
      <c r="Q240" s="412">
        <v>4.2257999999999996</v>
      </c>
      <c r="R240" s="764">
        <v>1.4898000000000007</v>
      </c>
      <c r="S240" s="530">
        <f t="shared" ref="S240:S242" si="420">W240*-1</f>
        <v>0</v>
      </c>
      <c r="T240" s="486">
        <v>0</v>
      </c>
      <c r="U240" s="486">
        <v>0</v>
      </c>
      <c r="V240" s="486">
        <f>SUM(S240:U240)</f>
        <v>0</v>
      </c>
      <c r="W240" s="486">
        <v>0</v>
      </c>
      <c r="X240" s="486">
        <v>0</v>
      </c>
      <c r="Y240" s="486">
        <f>SUM(W240:X240)</f>
        <v>0</v>
      </c>
      <c r="Z240" s="486">
        <f>V240+Y240</f>
        <v>0</v>
      </c>
      <c r="AA240" s="319">
        <f>ROUND((V240+W240)*33.8%,0)</f>
        <v>0</v>
      </c>
      <c r="AB240" s="178">
        <f>ROUND(V240*2%,0)</f>
        <v>0</v>
      </c>
      <c r="AC240" s="486">
        <v>0</v>
      </c>
      <c r="AD240" s="486">
        <v>0</v>
      </c>
      <c r="AE240" s="486">
        <f t="shared" si="359"/>
        <v>0</v>
      </c>
      <c r="AF240" s="486">
        <f t="shared" si="360"/>
        <v>0</v>
      </c>
      <c r="AG240" s="501">
        <v>0</v>
      </c>
      <c r="AH240" s="501">
        <v>0</v>
      </c>
      <c r="AI240" s="501">
        <v>0</v>
      </c>
      <c r="AJ240" s="501">
        <v>0</v>
      </c>
      <c r="AK240" s="501">
        <v>0</v>
      </c>
      <c r="AL240" s="501">
        <f t="shared" ref="AL240:AL242" si="421">AG240+AI240+AJ240</f>
        <v>0</v>
      </c>
      <c r="AM240" s="501">
        <f t="shared" ref="AM240:AM242" si="422">AH240+AK240</f>
        <v>0</v>
      </c>
      <c r="AN240" s="502">
        <f t="shared" si="361"/>
        <v>0</v>
      </c>
      <c r="AO240" s="499">
        <f>I240+AF240</f>
        <v>3357921</v>
      </c>
      <c r="AP240" s="486">
        <f>J240+V240</f>
        <v>2451046</v>
      </c>
      <c r="AQ240" s="486">
        <f>K240+Y240</f>
        <v>0</v>
      </c>
      <c r="AR240" s="486">
        <f>L240</f>
        <v>0</v>
      </c>
      <c r="AS240" s="486">
        <f t="shared" ref="AS240:AT242" si="423">M240+AA240</f>
        <v>828454</v>
      </c>
      <c r="AT240" s="486">
        <f t="shared" si="423"/>
        <v>49021</v>
      </c>
      <c r="AU240" s="486">
        <f>O240+AE240</f>
        <v>29400</v>
      </c>
      <c r="AV240" s="501">
        <f>P240+AN240</f>
        <v>5.7156000000000002</v>
      </c>
      <c r="AW240" s="501">
        <f t="shared" ref="AW240:AX242" si="424">Q240+AL240</f>
        <v>4.2257999999999996</v>
      </c>
      <c r="AX240" s="502">
        <f t="shared" si="424"/>
        <v>1.4898000000000007</v>
      </c>
    </row>
    <row r="241" spans="1:50" s="695" customFormat="1" ht="12.75" customHeight="1" x14ac:dyDescent="0.2">
      <c r="A241" s="720">
        <v>43</v>
      </c>
      <c r="B241" s="721">
        <v>4424</v>
      </c>
      <c r="C241" s="721">
        <v>600074170</v>
      </c>
      <c r="D241" s="721">
        <v>72741562</v>
      </c>
      <c r="E241" s="722" t="s">
        <v>233</v>
      </c>
      <c r="F241" s="721">
        <v>3111</v>
      </c>
      <c r="G241" s="531" t="s">
        <v>318</v>
      </c>
      <c r="H241" s="767" t="s">
        <v>284</v>
      </c>
      <c r="I241" s="495">
        <v>116796</v>
      </c>
      <c r="J241" s="496">
        <v>84901</v>
      </c>
      <c r="K241" s="496">
        <v>0</v>
      </c>
      <c r="L241" s="496">
        <v>0</v>
      </c>
      <c r="M241" s="496">
        <v>28697</v>
      </c>
      <c r="N241" s="496">
        <v>1698</v>
      </c>
      <c r="O241" s="496">
        <v>1500</v>
      </c>
      <c r="P241" s="497">
        <v>0.25</v>
      </c>
      <c r="Q241" s="412">
        <v>0.25</v>
      </c>
      <c r="R241" s="764">
        <v>0</v>
      </c>
      <c r="S241" s="530">
        <f t="shared" si="420"/>
        <v>0</v>
      </c>
      <c r="T241" s="486">
        <v>0</v>
      </c>
      <c r="U241" s="486">
        <v>0</v>
      </c>
      <c r="V241" s="486">
        <f>SUM(S241:U241)</f>
        <v>0</v>
      </c>
      <c r="W241" s="486">
        <v>0</v>
      </c>
      <c r="X241" s="486">
        <v>0</v>
      </c>
      <c r="Y241" s="486">
        <f>SUM(W241:X241)</f>
        <v>0</v>
      </c>
      <c r="Z241" s="486">
        <f>V241+Y241</f>
        <v>0</v>
      </c>
      <c r="AA241" s="319">
        <f>ROUND((V241+W241)*33.8%,0)</f>
        <v>0</v>
      </c>
      <c r="AB241" s="178">
        <f>ROUND(V241*2%,0)</f>
        <v>0</v>
      </c>
      <c r="AC241" s="486">
        <v>0</v>
      </c>
      <c r="AD241" s="486">
        <v>0</v>
      </c>
      <c r="AE241" s="486">
        <f t="shared" ref="AE241" si="425">SUM(AC241:AD241)</f>
        <v>0</v>
      </c>
      <c r="AF241" s="486">
        <f t="shared" si="360"/>
        <v>0</v>
      </c>
      <c r="AG241" s="501">
        <v>0</v>
      </c>
      <c r="AH241" s="501">
        <v>0</v>
      </c>
      <c r="AI241" s="501">
        <v>0</v>
      </c>
      <c r="AJ241" s="501">
        <v>0</v>
      </c>
      <c r="AK241" s="501">
        <v>0</v>
      </c>
      <c r="AL241" s="501">
        <f t="shared" si="421"/>
        <v>0</v>
      </c>
      <c r="AM241" s="501">
        <f t="shared" si="422"/>
        <v>0</v>
      </c>
      <c r="AN241" s="502">
        <f t="shared" si="361"/>
        <v>0</v>
      </c>
      <c r="AO241" s="499">
        <f>I241+AF241</f>
        <v>116796</v>
      </c>
      <c r="AP241" s="486">
        <f>J241+V241</f>
        <v>84901</v>
      </c>
      <c r="AQ241" s="486">
        <f>K241+Y241</f>
        <v>0</v>
      </c>
      <c r="AR241" s="486">
        <f>L241</f>
        <v>0</v>
      </c>
      <c r="AS241" s="486">
        <f t="shared" si="423"/>
        <v>28697</v>
      </c>
      <c r="AT241" s="486">
        <f t="shared" si="423"/>
        <v>1698</v>
      </c>
      <c r="AU241" s="486">
        <f>O241+AE241</f>
        <v>1500</v>
      </c>
      <c r="AV241" s="501">
        <f>P241+AN241</f>
        <v>0.25</v>
      </c>
      <c r="AW241" s="501">
        <f t="shared" si="424"/>
        <v>0.25</v>
      </c>
      <c r="AX241" s="502">
        <f t="shared" si="424"/>
        <v>0</v>
      </c>
    </row>
    <row r="242" spans="1:50" s="695" customFormat="1" ht="12.75" customHeight="1" x14ac:dyDescent="0.2">
      <c r="A242" s="720">
        <v>43</v>
      </c>
      <c r="B242" s="721">
        <v>4424</v>
      </c>
      <c r="C242" s="721">
        <v>600074170</v>
      </c>
      <c r="D242" s="721">
        <v>72741562</v>
      </c>
      <c r="E242" s="722" t="s">
        <v>233</v>
      </c>
      <c r="F242" s="721">
        <v>3141</v>
      </c>
      <c r="G242" s="531" t="s">
        <v>321</v>
      </c>
      <c r="H242" s="767" t="s">
        <v>284</v>
      </c>
      <c r="I242" s="495">
        <v>969353</v>
      </c>
      <c r="J242" s="496">
        <v>710435</v>
      </c>
      <c r="K242" s="475">
        <v>0</v>
      </c>
      <c r="L242" s="475">
        <v>0</v>
      </c>
      <c r="M242" s="319">
        <v>240127</v>
      </c>
      <c r="N242" s="319">
        <v>14209</v>
      </c>
      <c r="O242" s="496">
        <v>4582</v>
      </c>
      <c r="P242" s="497">
        <v>2.41</v>
      </c>
      <c r="Q242" s="412">
        <v>0</v>
      </c>
      <c r="R242" s="764">
        <v>2.41</v>
      </c>
      <c r="S242" s="530">
        <f t="shared" si="420"/>
        <v>0</v>
      </c>
      <c r="T242" s="486">
        <v>0</v>
      </c>
      <c r="U242" s="486">
        <v>0</v>
      </c>
      <c r="V242" s="486">
        <f>SUM(S242:U242)</f>
        <v>0</v>
      </c>
      <c r="W242" s="486">
        <v>0</v>
      </c>
      <c r="X242" s="486">
        <v>0</v>
      </c>
      <c r="Y242" s="486">
        <f>SUM(W242:X242)</f>
        <v>0</v>
      </c>
      <c r="Z242" s="486">
        <f>V242+Y242</f>
        <v>0</v>
      </c>
      <c r="AA242" s="319">
        <f>ROUND((V242+W242)*33.8%,0)</f>
        <v>0</v>
      </c>
      <c r="AB242" s="178">
        <f>ROUND(V242*2%,0)</f>
        <v>0</v>
      </c>
      <c r="AC242" s="486">
        <v>0</v>
      </c>
      <c r="AD242" s="486">
        <v>0</v>
      </c>
      <c r="AE242" s="486">
        <f t="shared" si="359"/>
        <v>0</v>
      </c>
      <c r="AF242" s="486">
        <f t="shared" si="360"/>
        <v>0</v>
      </c>
      <c r="AG242" s="501">
        <v>0</v>
      </c>
      <c r="AH242" s="501">
        <v>0</v>
      </c>
      <c r="AI242" s="501">
        <v>0</v>
      </c>
      <c r="AJ242" s="501">
        <v>0</v>
      </c>
      <c r="AK242" s="501">
        <v>0</v>
      </c>
      <c r="AL242" s="501">
        <f t="shared" si="421"/>
        <v>0</v>
      </c>
      <c r="AM242" s="501">
        <f t="shared" si="422"/>
        <v>0</v>
      </c>
      <c r="AN242" s="502">
        <f t="shared" si="361"/>
        <v>0</v>
      </c>
      <c r="AO242" s="499">
        <f>I242+AF242</f>
        <v>969353</v>
      </c>
      <c r="AP242" s="486">
        <f>J242+V242</f>
        <v>710435</v>
      </c>
      <c r="AQ242" s="486">
        <f>K242+Y242</f>
        <v>0</v>
      </c>
      <c r="AR242" s="486">
        <f>L242</f>
        <v>0</v>
      </c>
      <c r="AS242" s="486">
        <f t="shared" si="423"/>
        <v>240127</v>
      </c>
      <c r="AT242" s="486">
        <f t="shared" si="423"/>
        <v>14209</v>
      </c>
      <c r="AU242" s="486">
        <f>O242+AE242</f>
        <v>4582</v>
      </c>
      <c r="AV242" s="501">
        <f>P242+AN242</f>
        <v>2.41</v>
      </c>
      <c r="AW242" s="501">
        <f t="shared" si="424"/>
        <v>0</v>
      </c>
      <c r="AX242" s="502">
        <f t="shared" si="424"/>
        <v>2.41</v>
      </c>
    </row>
    <row r="243" spans="1:50" s="695" customFormat="1" ht="12.75" customHeight="1" x14ac:dyDescent="0.2">
      <c r="A243" s="282">
        <v>43</v>
      </c>
      <c r="B243" s="27">
        <v>4424</v>
      </c>
      <c r="C243" s="27">
        <v>600074170</v>
      </c>
      <c r="D243" s="27">
        <v>72741562</v>
      </c>
      <c r="E243" s="292" t="s">
        <v>234</v>
      </c>
      <c r="F243" s="27"/>
      <c r="G243" s="281"/>
      <c r="H243" s="377"/>
      <c r="I243" s="5">
        <v>4444070</v>
      </c>
      <c r="J243" s="8">
        <v>3246382</v>
      </c>
      <c r="K243" s="8">
        <v>0</v>
      </c>
      <c r="L243" s="8">
        <v>0</v>
      </c>
      <c r="M243" s="8">
        <v>1097278</v>
      </c>
      <c r="N243" s="8">
        <v>64928</v>
      </c>
      <c r="O243" s="8">
        <v>35482</v>
      </c>
      <c r="P243" s="9">
        <v>8.3756000000000004</v>
      </c>
      <c r="Q243" s="9">
        <v>4.4757999999999996</v>
      </c>
      <c r="R243" s="33">
        <v>3.8998000000000008</v>
      </c>
      <c r="S243" s="5">
        <f t="shared" ref="S243:AX243" si="426">SUM(S240:S242)</f>
        <v>0</v>
      </c>
      <c r="T243" s="8">
        <f t="shared" si="426"/>
        <v>0</v>
      </c>
      <c r="U243" s="8">
        <f t="shared" si="426"/>
        <v>0</v>
      </c>
      <c r="V243" s="8">
        <f t="shared" si="426"/>
        <v>0</v>
      </c>
      <c r="W243" s="8">
        <f t="shared" si="426"/>
        <v>0</v>
      </c>
      <c r="X243" s="8">
        <f t="shared" si="426"/>
        <v>0</v>
      </c>
      <c r="Y243" s="8">
        <f t="shared" si="426"/>
        <v>0</v>
      </c>
      <c r="Z243" s="8">
        <f t="shared" si="426"/>
        <v>0</v>
      </c>
      <c r="AA243" s="8">
        <f t="shared" si="426"/>
        <v>0</v>
      </c>
      <c r="AB243" s="8">
        <f t="shared" si="426"/>
        <v>0</v>
      </c>
      <c r="AC243" s="8">
        <f t="shared" si="426"/>
        <v>0</v>
      </c>
      <c r="AD243" s="8">
        <f t="shared" si="426"/>
        <v>0</v>
      </c>
      <c r="AE243" s="8">
        <f t="shared" si="426"/>
        <v>0</v>
      </c>
      <c r="AF243" s="8">
        <f t="shared" si="426"/>
        <v>0</v>
      </c>
      <c r="AG243" s="9">
        <f t="shared" si="426"/>
        <v>0</v>
      </c>
      <c r="AH243" s="9">
        <f t="shared" si="426"/>
        <v>0</v>
      </c>
      <c r="AI243" s="9">
        <f t="shared" si="426"/>
        <v>0</v>
      </c>
      <c r="AJ243" s="9">
        <f t="shared" si="426"/>
        <v>0</v>
      </c>
      <c r="AK243" s="9">
        <f t="shared" si="426"/>
        <v>0</v>
      </c>
      <c r="AL243" s="9">
        <f t="shared" si="426"/>
        <v>0</v>
      </c>
      <c r="AM243" s="9">
        <f t="shared" si="426"/>
        <v>0</v>
      </c>
      <c r="AN243" s="74">
        <f t="shared" si="426"/>
        <v>0</v>
      </c>
      <c r="AO243" s="270">
        <f t="shared" si="426"/>
        <v>4444070</v>
      </c>
      <c r="AP243" s="8">
        <f t="shared" si="426"/>
        <v>3246382</v>
      </c>
      <c r="AQ243" s="38">
        <f t="shared" si="426"/>
        <v>0</v>
      </c>
      <c r="AR243" s="38">
        <f t="shared" si="426"/>
        <v>0</v>
      </c>
      <c r="AS243" s="8">
        <f t="shared" si="426"/>
        <v>1097278</v>
      </c>
      <c r="AT243" s="8">
        <f t="shared" si="426"/>
        <v>64928</v>
      </c>
      <c r="AU243" s="8">
        <f t="shared" si="426"/>
        <v>35482</v>
      </c>
      <c r="AV243" s="9">
        <f t="shared" si="426"/>
        <v>8.3756000000000004</v>
      </c>
      <c r="AW243" s="9">
        <f t="shared" si="426"/>
        <v>4.4757999999999996</v>
      </c>
      <c r="AX243" s="74">
        <f t="shared" si="426"/>
        <v>3.8998000000000008</v>
      </c>
    </row>
    <row r="244" spans="1:50" s="695" customFormat="1" ht="12.75" customHeight="1" x14ac:dyDescent="0.2">
      <c r="A244" s="720">
        <v>44</v>
      </c>
      <c r="B244" s="721">
        <v>4489</v>
      </c>
      <c r="C244" s="721">
        <v>600075036</v>
      </c>
      <c r="D244" s="721">
        <v>72742607</v>
      </c>
      <c r="E244" s="722" t="s">
        <v>235</v>
      </c>
      <c r="F244" s="721">
        <v>3111</v>
      </c>
      <c r="G244" s="531" t="s">
        <v>317</v>
      </c>
      <c r="H244" s="767" t="s">
        <v>283</v>
      </c>
      <c r="I244" s="495">
        <v>2490886</v>
      </c>
      <c r="J244" s="496">
        <v>2223747</v>
      </c>
      <c r="K244" s="496">
        <v>0</v>
      </c>
      <c r="L244" s="496">
        <v>0</v>
      </c>
      <c r="M244" s="496">
        <v>220492</v>
      </c>
      <c r="N244" s="496">
        <v>13047</v>
      </c>
      <c r="O244" s="496">
        <v>33600</v>
      </c>
      <c r="P244" s="497">
        <v>5.1884999999999994</v>
      </c>
      <c r="Q244" s="412">
        <v>4.1666999999999996</v>
      </c>
      <c r="R244" s="764">
        <v>1.0218</v>
      </c>
      <c r="S244" s="530">
        <f t="shared" ref="S244:S249" si="427">W244*-1</f>
        <v>0</v>
      </c>
      <c r="T244" s="486">
        <v>0</v>
      </c>
      <c r="U244" s="486">
        <v>0</v>
      </c>
      <c r="V244" s="486">
        <f t="shared" ref="V244:V249" si="428">SUM(S244:U244)</f>
        <v>0</v>
      </c>
      <c r="W244" s="486">
        <v>0</v>
      </c>
      <c r="X244" s="486">
        <v>0</v>
      </c>
      <c r="Y244" s="486">
        <f t="shared" ref="Y244:Y249" si="429">SUM(W244:X244)</f>
        <v>0</v>
      </c>
      <c r="Z244" s="486">
        <f t="shared" ref="Z244:Z249" si="430">V244+Y244</f>
        <v>0</v>
      </c>
      <c r="AA244" s="319">
        <f t="shared" ref="AA244:AA249" si="431">ROUND((V244+W244)*33.8%,0)</f>
        <v>0</v>
      </c>
      <c r="AB244" s="178">
        <f t="shared" ref="AB244:AB249" si="432">ROUND(V244*2%,0)</f>
        <v>0</v>
      </c>
      <c r="AC244" s="486">
        <v>0</v>
      </c>
      <c r="AD244" s="486">
        <v>0</v>
      </c>
      <c r="AE244" s="486">
        <f t="shared" si="359"/>
        <v>0</v>
      </c>
      <c r="AF244" s="486">
        <f t="shared" si="360"/>
        <v>0</v>
      </c>
      <c r="AG244" s="501">
        <v>0</v>
      </c>
      <c r="AH244" s="501">
        <v>0</v>
      </c>
      <c r="AI244" s="501">
        <v>0</v>
      </c>
      <c r="AJ244" s="501">
        <v>0</v>
      </c>
      <c r="AK244" s="501">
        <v>0</v>
      </c>
      <c r="AL244" s="501">
        <f t="shared" ref="AL244:AL249" si="433">AG244+AI244+AJ244</f>
        <v>0</v>
      </c>
      <c r="AM244" s="501">
        <f t="shared" ref="AM244:AM249" si="434">AH244+AK244</f>
        <v>0</v>
      </c>
      <c r="AN244" s="502">
        <f t="shared" si="361"/>
        <v>0</v>
      </c>
      <c r="AO244" s="499">
        <f t="shared" ref="AO244:AO249" si="435">I244+AF244</f>
        <v>2490886</v>
      </c>
      <c r="AP244" s="486">
        <f t="shared" ref="AP244:AP249" si="436">J244+V244</f>
        <v>2223747</v>
      </c>
      <c r="AQ244" s="486">
        <f t="shared" ref="AQ244:AQ249" si="437">K244+Y244</f>
        <v>0</v>
      </c>
      <c r="AR244" s="486">
        <f t="shared" ref="AR244:AR249" si="438">L244</f>
        <v>0</v>
      </c>
      <c r="AS244" s="486">
        <f t="shared" ref="AS244:AT249" si="439">M244+AA244</f>
        <v>220492</v>
      </c>
      <c r="AT244" s="486">
        <f t="shared" si="439"/>
        <v>13047</v>
      </c>
      <c r="AU244" s="486">
        <f t="shared" ref="AU244:AU249" si="440">O244+AE244</f>
        <v>33600</v>
      </c>
      <c r="AV244" s="501">
        <f t="shared" ref="AV244:AV249" si="441">P244+AN244</f>
        <v>5.1884999999999994</v>
      </c>
      <c r="AW244" s="501">
        <f t="shared" ref="AW244:AX249" si="442">Q244+AL244</f>
        <v>4.1666999999999996</v>
      </c>
      <c r="AX244" s="502">
        <f t="shared" si="442"/>
        <v>1.0218</v>
      </c>
    </row>
    <row r="245" spans="1:50" s="695" customFormat="1" ht="12.75" customHeight="1" x14ac:dyDescent="0.2">
      <c r="A245" s="720">
        <v>44</v>
      </c>
      <c r="B245" s="721">
        <v>4489</v>
      </c>
      <c r="C245" s="721">
        <v>600075036</v>
      </c>
      <c r="D245" s="721">
        <v>72742607</v>
      </c>
      <c r="E245" s="722" t="s">
        <v>235</v>
      </c>
      <c r="F245" s="721">
        <v>3117</v>
      </c>
      <c r="G245" s="531" t="s">
        <v>320</v>
      </c>
      <c r="H245" s="767" t="s">
        <v>283</v>
      </c>
      <c r="I245" s="495">
        <v>3884741</v>
      </c>
      <c r="J245" s="496">
        <v>2360276</v>
      </c>
      <c r="K245" s="496">
        <v>22047</v>
      </c>
      <c r="L245" s="496">
        <v>12047</v>
      </c>
      <c r="M245" s="496">
        <v>1313874</v>
      </c>
      <c r="N245" s="496">
        <v>77544</v>
      </c>
      <c r="O245" s="496">
        <v>111000</v>
      </c>
      <c r="P245" s="497">
        <v>5.3172000000000006</v>
      </c>
      <c r="Q245" s="412">
        <v>3.5324</v>
      </c>
      <c r="R245" s="764">
        <v>1.7848000000000006</v>
      </c>
      <c r="S245" s="530">
        <f t="shared" si="427"/>
        <v>0</v>
      </c>
      <c r="T245" s="486">
        <v>0</v>
      </c>
      <c r="U245" s="486">
        <v>0</v>
      </c>
      <c r="V245" s="486">
        <f t="shared" si="428"/>
        <v>0</v>
      </c>
      <c r="W245" s="486">
        <v>0</v>
      </c>
      <c r="X245" s="486">
        <v>0</v>
      </c>
      <c r="Y245" s="486">
        <f t="shared" si="429"/>
        <v>0</v>
      </c>
      <c r="Z245" s="486">
        <f t="shared" si="430"/>
        <v>0</v>
      </c>
      <c r="AA245" s="319">
        <f t="shared" si="431"/>
        <v>0</v>
      </c>
      <c r="AB245" s="178">
        <f t="shared" si="432"/>
        <v>0</v>
      </c>
      <c r="AC245" s="486">
        <v>0</v>
      </c>
      <c r="AD245" s="486">
        <v>0</v>
      </c>
      <c r="AE245" s="486">
        <f t="shared" si="359"/>
        <v>0</v>
      </c>
      <c r="AF245" s="486">
        <f t="shared" si="360"/>
        <v>0</v>
      </c>
      <c r="AG245" s="501">
        <v>0</v>
      </c>
      <c r="AH245" s="501">
        <v>0</v>
      </c>
      <c r="AI245" s="501">
        <v>0</v>
      </c>
      <c r="AJ245" s="501">
        <v>0</v>
      </c>
      <c r="AK245" s="501">
        <v>0</v>
      </c>
      <c r="AL245" s="501">
        <f t="shared" si="433"/>
        <v>0</v>
      </c>
      <c r="AM245" s="501">
        <f t="shared" si="434"/>
        <v>0</v>
      </c>
      <c r="AN245" s="502">
        <f t="shared" si="361"/>
        <v>0</v>
      </c>
      <c r="AO245" s="499">
        <f t="shared" si="435"/>
        <v>3884741</v>
      </c>
      <c r="AP245" s="486">
        <f t="shared" si="436"/>
        <v>2360276</v>
      </c>
      <c r="AQ245" s="486">
        <f t="shared" si="437"/>
        <v>22047</v>
      </c>
      <c r="AR245" s="486">
        <f t="shared" si="438"/>
        <v>12047</v>
      </c>
      <c r="AS245" s="486">
        <f t="shared" si="439"/>
        <v>1313874</v>
      </c>
      <c r="AT245" s="486">
        <f t="shared" si="439"/>
        <v>77544</v>
      </c>
      <c r="AU245" s="486">
        <f t="shared" si="440"/>
        <v>111000</v>
      </c>
      <c r="AV245" s="501">
        <f t="shared" si="441"/>
        <v>5.3172000000000006</v>
      </c>
      <c r="AW245" s="501">
        <f t="shared" si="442"/>
        <v>3.5324</v>
      </c>
      <c r="AX245" s="502">
        <f t="shared" si="442"/>
        <v>1.7848000000000006</v>
      </c>
    </row>
    <row r="246" spans="1:50" s="695" customFormat="1" ht="12.75" customHeight="1" x14ac:dyDescent="0.2">
      <c r="A246" s="720">
        <v>44</v>
      </c>
      <c r="B246" s="721">
        <v>4489</v>
      </c>
      <c r="C246" s="721">
        <v>600075036</v>
      </c>
      <c r="D246" s="721">
        <v>72742607</v>
      </c>
      <c r="E246" s="722" t="s">
        <v>235</v>
      </c>
      <c r="F246" s="721">
        <v>3117</v>
      </c>
      <c r="G246" s="531" t="s">
        <v>318</v>
      </c>
      <c r="H246" s="767" t="s">
        <v>284</v>
      </c>
      <c r="I246" s="495">
        <v>976675</v>
      </c>
      <c r="J246" s="496">
        <v>712390</v>
      </c>
      <c r="K246" s="475">
        <v>0</v>
      </c>
      <c r="L246" s="475">
        <v>0</v>
      </c>
      <c r="M246" s="319">
        <v>240787</v>
      </c>
      <c r="N246" s="319">
        <v>14248</v>
      </c>
      <c r="O246" s="496">
        <v>9250</v>
      </c>
      <c r="P246" s="497">
        <v>2.11</v>
      </c>
      <c r="Q246" s="412">
        <v>2.11</v>
      </c>
      <c r="R246" s="764">
        <v>0</v>
      </c>
      <c r="S246" s="530">
        <f t="shared" si="427"/>
        <v>0</v>
      </c>
      <c r="T246" s="486">
        <v>0</v>
      </c>
      <c r="U246" s="486">
        <v>0</v>
      </c>
      <c r="V246" s="486">
        <f t="shared" si="428"/>
        <v>0</v>
      </c>
      <c r="W246" s="486">
        <v>0</v>
      </c>
      <c r="X246" s="486">
        <v>0</v>
      </c>
      <c r="Y246" s="486">
        <f t="shared" si="429"/>
        <v>0</v>
      </c>
      <c r="Z246" s="486">
        <f t="shared" si="430"/>
        <v>0</v>
      </c>
      <c r="AA246" s="319">
        <f t="shared" si="431"/>
        <v>0</v>
      </c>
      <c r="AB246" s="178">
        <f t="shared" si="432"/>
        <v>0</v>
      </c>
      <c r="AC246" s="486">
        <v>0</v>
      </c>
      <c r="AD246" s="486">
        <v>0</v>
      </c>
      <c r="AE246" s="486">
        <f t="shared" si="359"/>
        <v>0</v>
      </c>
      <c r="AF246" s="486">
        <f t="shared" si="360"/>
        <v>0</v>
      </c>
      <c r="AG246" s="501">
        <v>0</v>
      </c>
      <c r="AH246" s="501">
        <v>0</v>
      </c>
      <c r="AI246" s="501">
        <v>0</v>
      </c>
      <c r="AJ246" s="501">
        <v>0</v>
      </c>
      <c r="AK246" s="501">
        <v>0</v>
      </c>
      <c r="AL246" s="501">
        <f t="shared" si="433"/>
        <v>0</v>
      </c>
      <c r="AM246" s="501">
        <f t="shared" si="434"/>
        <v>0</v>
      </c>
      <c r="AN246" s="502">
        <f t="shared" si="361"/>
        <v>0</v>
      </c>
      <c r="AO246" s="499">
        <f t="shared" si="435"/>
        <v>976675</v>
      </c>
      <c r="AP246" s="486">
        <f t="shared" si="436"/>
        <v>712390</v>
      </c>
      <c r="AQ246" s="486">
        <f t="shared" si="437"/>
        <v>0</v>
      </c>
      <c r="AR246" s="486">
        <f t="shared" si="438"/>
        <v>0</v>
      </c>
      <c r="AS246" s="486">
        <f t="shared" si="439"/>
        <v>240787</v>
      </c>
      <c r="AT246" s="486">
        <f t="shared" si="439"/>
        <v>14248</v>
      </c>
      <c r="AU246" s="486">
        <f t="shared" si="440"/>
        <v>9250</v>
      </c>
      <c r="AV246" s="501">
        <f t="shared" si="441"/>
        <v>2.11</v>
      </c>
      <c r="AW246" s="501">
        <f t="shared" si="442"/>
        <v>2.11</v>
      </c>
      <c r="AX246" s="502">
        <f t="shared" si="442"/>
        <v>0</v>
      </c>
    </row>
    <row r="247" spans="1:50" s="695" customFormat="1" ht="12.75" customHeight="1" x14ac:dyDescent="0.2">
      <c r="A247" s="720">
        <v>44</v>
      </c>
      <c r="B247" s="721">
        <v>4489</v>
      </c>
      <c r="C247" s="721">
        <v>600075036</v>
      </c>
      <c r="D247" s="721">
        <v>72742607</v>
      </c>
      <c r="E247" s="722" t="s">
        <v>235</v>
      </c>
      <c r="F247" s="721">
        <v>3141</v>
      </c>
      <c r="G247" s="531" t="s">
        <v>321</v>
      </c>
      <c r="H247" s="767" t="s">
        <v>284</v>
      </c>
      <c r="I247" s="495">
        <v>1000209</v>
      </c>
      <c r="J247" s="496">
        <v>713281</v>
      </c>
      <c r="K247" s="475">
        <v>20000</v>
      </c>
      <c r="L247" s="475">
        <v>0</v>
      </c>
      <c r="M247" s="319">
        <v>247849</v>
      </c>
      <c r="N247" s="319">
        <v>14265</v>
      </c>
      <c r="O247" s="496">
        <v>4814</v>
      </c>
      <c r="P247" s="497">
        <v>2.4899999999999998</v>
      </c>
      <c r="Q247" s="412">
        <v>0</v>
      </c>
      <c r="R247" s="764">
        <v>2.4899999999999998</v>
      </c>
      <c r="S247" s="530">
        <f t="shared" si="427"/>
        <v>0</v>
      </c>
      <c r="T247" s="486">
        <v>0</v>
      </c>
      <c r="U247" s="486">
        <v>0</v>
      </c>
      <c r="V247" s="486">
        <f t="shared" si="428"/>
        <v>0</v>
      </c>
      <c r="W247" s="486">
        <v>0</v>
      </c>
      <c r="X247" s="486">
        <v>0</v>
      </c>
      <c r="Y247" s="486">
        <f t="shared" si="429"/>
        <v>0</v>
      </c>
      <c r="Z247" s="486">
        <f t="shared" si="430"/>
        <v>0</v>
      </c>
      <c r="AA247" s="319">
        <f t="shared" si="431"/>
        <v>0</v>
      </c>
      <c r="AB247" s="178">
        <f t="shared" si="432"/>
        <v>0</v>
      </c>
      <c r="AC247" s="486">
        <v>0</v>
      </c>
      <c r="AD247" s="486">
        <v>0</v>
      </c>
      <c r="AE247" s="486">
        <f t="shared" si="359"/>
        <v>0</v>
      </c>
      <c r="AF247" s="486">
        <f t="shared" si="360"/>
        <v>0</v>
      </c>
      <c r="AG247" s="501">
        <v>0</v>
      </c>
      <c r="AH247" s="501">
        <v>0</v>
      </c>
      <c r="AI247" s="501">
        <v>0</v>
      </c>
      <c r="AJ247" s="501">
        <v>0</v>
      </c>
      <c r="AK247" s="501">
        <v>0</v>
      </c>
      <c r="AL247" s="501">
        <f t="shared" si="433"/>
        <v>0</v>
      </c>
      <c r="AM247" s="501">
        <f t="shared" si="434"/>
        <v>0</v>
      </c>
      <c r="AN247" s="502">
        <f t="shared" si="361"/>
        <v>0</v>
      </c>
      <c r="AO247" s="499">
        <f t="shared" si="435"/>
        <v>1000209</v>
      </c>
      <c r="AP247" s="486">
        <f t="shared" si="436"/>
        <v>713281</v>
      </c>
      <c r="AQ247" s="486">
        <f t="shared" si="437"/>
        <v>20000</v>
      </c>
      <c r="AR247" s="486">
        <f t="shared" si="438"/>
        <v>0</v>
      </c>
      <c r="AS247" s="486">
        <f t="shared" si="439"/>
        <v>247849</v>
      </c>
      <c r="AT247" s="486">
        <f t="shared" si="439"/>
        <v>14265</v>
      </c>
      <c r="AU247" s="486">
        <f t="shared" si="440"/>
        <v>4814</v>
      </c>
      <c r="AV247" s="501">
        <f t="shared" si="441"/>
        <v>2.4899999999999998</v>
      </c>
      <c r="AW247" s="501">
        <f t="shared" si="442"/>
        <v>0</v>
      </c>
      <c r="AX247" s="502">
        <f t="shared" si="442"/>
        <v>2.4899999999999998</v>
      </c>
    </row>
    <row r="248" spans="1:50" s="695" customFormat="1" ht="12.75" customHeight="1" x14ac:dyDescent="0.2">
      <c r="A248" s="720">
        <v>44</v>
      </c>
      <c r="B248" s="721">
        <v>4489</v>
      </c>
      <c r="C248" s="721">
        <v>600075036</v>
      </c>
      <c r="D248" s="721">
        <v>72742607</v>
      </c>
      <c r="E248" s="722" t="s">
        <v>235</v>
      </c>
      <c r="F248" s="721">
        <v>3143</v>
      </c>
      <c r="G248" s="531" t="s">
        <v>634</v>
      </c>
      <c r="H248" s="701" t="s">
        <v>283</v>
      </c>
      <c r="I248" s="495">
        <v>831402</v>
      </c>
      <c r="J248" s="496">
        <v>597863</v>
      </c>
      <c r="K248" s="496">
        <v>0</v>
      </c>
      <c r="L248" s="496">
        <v>0</v>
      </c>
      <c r="M248" s="496">
        <v>220492</v>
      </c>
      <c r="N248" s="496">
        <v>13047</v>
      </c>
      <c r="O248" s="496">
        <v>0</v>
      </c>
      <c r="P248" s="497">
        <v>1.1667000000000001</v>
      </c>
      <c r="Q248" s="412">
        <v>1.1667000000000001</v>
      </c>
      <c r="R248" s="764">
        <v>0</v>
      </c>
      <c r="S248" s="530">
        <f t="shared" si="427"/>
        <v>0</v>
      </c>
      <c r="T248" s="486">
        <v>0</v>
      </c>
      <c r="U248" s="486">
        <v>0</v>
      </c>
      <c r="V248" s="486">
        <f t="shared" si="428"/>
        <v>0</v>
      </c>
      <c r="W248" s="486">
        <v>0</v>
      </c>
      <c r="X248" s="486">
        <v>0</v>
      </c>
      <c r="Y248" s="486">
        <f t="shared" si="429"/>
        <v>0</v>
      </c>
      <c r="Z248" s="486">
        <f t="shared" si="430"/>
        <v>0</v>
      </c>
      <c r="AA248" s="319">
        <f t="shared" si="431"/>
        <v>0</v>
      </c>
      <c r="AB248" s="178">
        <f t="shared" si="432"/>
        <v>0</v>
      </c>
      <c r="AC248" s="486">
        <v>0</v>
      </c>
      <c r="AD248" s="486">
        <v>0</v>
      </c>
      <c r="AE248" s="486">
        <f t="shared" si="359"/>
        <v>0</v>
      </c>
      <c r="AF248" s="486">
        <f t="shared" si="360"/>
        <v>0</v>
      </c>
      <c r="AG248" s="501">
        <v>0</v>
      </c>
      <c r="AH248" s="501">
        <v>0</v>
      </c>
      <c r="AI248" s="501">
        <v>0</v>
      </c>
      <c r="AJ248" s="501">
        <v>0</v>
      </c>
      <c r="AK248" s="501">
        <v>0</v>
      </c>
      <c r="AL248" s="501">
        <f t="shared" si="433"/>
        <v>0</v>
      </c>
      <c r="AM248" s="501">
        <f t="shared" si="434"/>
        <v>0</v>
      </c>
      <c r="AN248" s="502">
        <f t="shared" si="361"/>
        <v>0</v>
      </c>
      <c r="AO248" s="499">
        <f t="shared" si="435"/>
        <v>831402</v>
      </c>
      <c r="AP248" s="486">
        <f t="shared" si="436"/>
        <v>597863</v>
      </c>
      <c r="AQ248" s="486">
        <f t="shared" si="437"/>
        <v>0</v>
      </c>
      <c r="AR248" s="486">
        <f t="shared" si="438"/>
        <v>0</v>
      </c>
      <c r="AS248" s="486">
        <f t="shared" si="439"/>
        <v>220492</v>
      </c>
      <c r="AT248" s="486">
        <f t="shared" si="439"/>
        <v>13047</v>
      </c>
      <c r="AU248" s="486">
        <f t="shared" si="440"/>
        <v>0</v>
      </c>
      <c r="AV248" s="501">
        <f t="shared" si="441"/>
        <v>1.1667000000000001</v>
      </c>
      <c r="AW248" s="501">
        <f t="shared" si="442"/>
        <v>1.1667000000000001</v>
      </c>
      <c r="AX248" s="502">
        <f t="shared" si="442"/>
        <v>0</v>
      </c>
    </row>
    <row r="249" spans="1:50" s="695" customFormat="1" ht="12.75" customHeight="1" x14ac:dyDescent="0.2">
      <c r="A249" s="720">
        <v>44</v>
      </c>
      <c r="B249" s="721">
        <v>4489</v>
      </c>
      <c r="C249" s="721">
        <v>600075036</v>
      </c>
      <c r="D249" s="721">
        <v>72742607</v>
      </c>
      <c r="E249" s="722" t="s">
        <v>235</v>
      </c>
      <c r="F249" s="721">
        <v>3143</v>
      </c>
      <c r="G249" s="531" t="s">
        <v>635</v>
      </c>
      <c r="H249" s="701" t="s">
        <v>284</v>
      </c>
      <c r="I249" s="495">
        <v>18257</v>
      </c>
      <c r="J249" s="496">
        <v>12870</v>
      </c>
      <c r="K249" s="475">
        <v>0</v>
      </c>
      <c r="L249" s="475">
        <v>0</v>
      </c>
      <c r="M249" s="319">
        <v>4350</v>
      </c>
      <c r="N249" s="319">
        <v>257</v>
      </c>
      <c r="O249" s="496">
        <v>780</v>
      </c>
      <c r="P249" s="497">
        <v>0.05</v>
      </c>
      <c r="Q249" s="412">
        <v>0</v>
      </c>
      <c r="R249" s="764">
        <v>0.05</v>
      </c>
      <c r="S249" s="530">
        <f t="shared" si="427"/>
        <v>0</v>
      </c>
      <c r="T249" s="486">
        <v>0</v>
      </c>
      <c r="U249" s="486">
        <v>0</v>
      </c>
      <c r="V249" s="486">
        <f t="shared" si="428"/>
        <v>0</v>
      </c>
      <c r="W249" s="486">
        <v>0</v>
      </c>
      <c r="X249" s="486">
        <v>0</v>
      </c>
      <c r="Y249" s="486">
        <f t="shared" si="429"/>
        <v>0</v>
      </c>
      <c r="Z249" s="486">
        <f t="shared" si="430"/>
        <v>0</v>
      </c>
      <c r="AA249" s="319">
        <f t="shared" si="431"/>
        <v>0</v>
      </c>
      <c r="AB249" s="178">
        <f t="shared" si="432"/>
        <v>0</v>
      </c>
      <c r="AC249" s="486">
        <v>0</v>
      </c>
      <c r="AD249" s="486">
        <v>0</v>
      </c>
      <c r="AE249" s="486">
        <f t="shared" si="359"/>
        <v>0</v>
      </c>
      <c r="AF249" s="486">
        <f t="shared" si="360"/>
        <v>0</v>
      </c>
      <c r="AG249" s="501">
        <v>0</v>
      </c>
      <c r="AH249" s="501">
        <v>0</v>
      </c>
      <c r="AI249" s="501">
        <v>0</v>
      </c>
      <c r="AJ249" s="501">
        <v>0</v>
      </c>
      <c r="AK249" s="501">
        <v>0</v>
      </c>
      <c r="AL249" s="501">
        <f t="shared" si="433"/>
        <v>0</v>
      </c>
      <c r="AM249" s="501">
        <f t="shared" si="434"/>
        <v>0</v>
      </c>
      <c r="AN249" s="502">
        <f t="shared" si="361"/>
        <v>0</v>
      </c>
      <c r="AO249" s="499">
        <f t="shared" si="435"/>
        <v>18257</v>
      </c>
      <c r="AP249" s="486">
        <f t="shared" si="436"/>
        <v>12870</v>
      </c>
      <c r="AQ249" s="486">
        <f t="shared" si="437"/>
        <v>0</v>
      </c>
      <c r="AR249" s="486">
        <f t="shared" si="438"/>
        <v>0</v>
      </c>
      <c r="AS249" s="486">
        <f t="shared" si="439"/>
        <v>4350</v>
      </c>
      <c r="AT249" s="486">
        <f t="shared" si="439"/>
        <v>257</v>
      </c>
      <c r="AU249" s="486">
        <f t="shared" si="440"/>
        <v>780</v>
      </c>
      <c r="AV249" s="501">
        <f t="shared" si="441"/>
        <v>0.05</v>
      </c>
      <c r="AW249" s="501">
        <f t="shared" si="442"/>
        <v>0</v>
      </c>
      <c r="AX249" s="502">
        <f t="shared" si="442"/>
        <v>0.05</v>
      </c>
    </row>
    <row r="250" spans="1:50" s="695" customFormat="1" ht="12.75" customHeight="1" x14ac:dyDescent="0.2">
      <c r="A250" s="282">
        <v>44</v>
      </c>
      <c r="B250" s="27">
        <v>4489</v>
      </c>
      <c r="C250" s="27">
        <v>600075036</v>
      </c>
      <c r="D250" s="27">
        <v>72742607</v>
      </c>
      <c r="E250" s="292" t="s">
        <v>236</v>
      </c>
      <c r="F250" s="27"/>
      <c r="G250" s="281"/>
      <c r="H250" s="377"/>
      <c r="I250" s="5">
        <v>9202170</v>
      </c>
      <c r="J250" s="8">
        <v>6620427</v>
      </c>
      <c r="K250" s="8">
        <v>42047</v>
      </c>
      <c r="L250" s="8">
        <v>12047</v>
      </c>
      <c r="M250" s="8">
        <v>2247844</v>
      </c>
      <c r="N250" s="8">
        <v>132408</v>
      </c>
      <c r="O250" s="8">
        <v>159444</v>
      </c>
      <c r="P250" s="9">
        <v>16.322400000000002</v>
      </c>
      <c r="Q250" s="9">
        <v>10.9758</v>
      </c>
      <c r="R250" s="33">
        <v>5.3465999999999996</v>
      </c>
      <c r="S250" s="5">
        <f t="shared" ref="S250:AX250" si="443">SUM(S244:S249)</f>
        <v>0</v>
      </c>
      <c r="T250" s="8">
        <f t="shared" si="443"/>
        <v>0</v>
      </c>
      <c r="U250" s="8">
        <f t="shared" si="443"/>
        <v>0</v>
      </c>
      <c r="V250" s="8">
        <f t="shared" si="443"/>
        <v>0</v>
      </c>
      <c r="W250" s="8">
        <f t="shared" si="443"/>
        <v>0</v>
      </c>
      <c r="X250" s="8">
        <f t="shared" si="443"/>
        <v>0</v>
      </c>
      <c r="Y250" s="8">
        <f t="shared" si="443"/>
        <v>0</v>
      </c>
      <c r="Z250" s="8">
        <f t="shared" si="443"/>
        <v>0</v>
      </c>
      <c r="AA250" s="8">
        <f t="shared" si="443"/>
        <v>0</v>
      </c>
      <c r="AB250" s="8">
        <f t="shared" si="443"/>
        <v>0</v>
      </c>
      <c r="AC250" s="8">
        <f t="shared" si="443"/>
        <v>0</v>
      </c>
      <c r="AD250" s="8">
        <f t="shared" si="443"/>
        <v>0</v>
      </c>
      <c r="AE250" s="8">
        <f t="shared" si="443"/>
        <v>0</v>
      </c>
      <c r="AF250" s="8">
        <f t="shared" si="443"/>
        <v>0</v>
      </c>
      <c r="AG250" s="9">
        <f t="shared" si="443"/>
        <v>0</v>
      </c>
      <c r="AH250" s="9">
        <f t="shared" si="443"/>
        <v>0</v>
      </c>
      <c r="AI250" s="9">
        <f t="shared" si="443"/>
        <v>0</v>
      </c>
      <c r="AJ250" s="9">
        <f t="shared" si="443"/>
        <v>0</v>
      </c>
      <c r="AK250" s="9">
        <f t="shared" si="443"/>
        <v>0</v>
      </c>
      <c r="AL250" s="9">
        <f t="shared" si="443"/>
        <v>0</v>
      </c>
      <c r="AM250" s="9">
        <f t="shared" si="443"/>
        <v>0</v>
      </c>
      <c r="AN250" s="74">
        <f t="shared" si="443"/>
        <v>0</v>
      </c>
      <c r="AO250" s="270">
        <f t="shared" si="443"/>
        <v>9202170</v>
      </c>
      <c r="AP250" s="8">
        <f t="shared" si="443"/>
        <v>6620427</v>
      </c>
      <c r="AQ250" s="38">
        <f t="shared" si="443"/>
        <v>42047</v>
      </c>
      <c r="AR250" s="38">
        <f t="shared" si="443"/>
        <v>12047</v>
      </c>
      <c r="AS250" s="8">
        <f t="shared" si="443"/>
        <v>2247844</v>
      </c>
      <c r="AT250" s="8">
        <f t="shared" si="443"/>
        <v>132408</v>
      </c>
      <c r="AU250" s="8">
        <f t="shared" si="443"/>
        <v>159444</v>
      </c>
      <c r="AV250" s="9">
        <f t="shared" si="443"/>
        <v>16.322400000000002</v>
      </c>
      <c r="AW250" s="9">
        <f t="shared" si="443"/>
        <v>10.9758</v>
      </c>
      <c r="AX250" s="74">
        <f t="shared" si="443"/>
        <v>5.3465999999999996</v>
      </c>
    </row>
    <row r="251" spans="1:50" s="695" customFormat="1" ht="12.75" customHeight="1" x14ac:dyDescent="0.2">
      <c r="A251" s="720">
        <v>45</v>
      </c>
      <c r="B251" s="721">
        <v>4426</v>
      </c>
      <c r="C251" s="721">
        <v>600074129</v>
      </c>
      <c r="D251" s="721">
        <v>72742160</v>
      </c>
      <c r="E251" s="722" t="s">
        <v>237</v>
      </c>
      <c r="F251" s="721">
        <v>3111</v>
      </c>
      <c r="G251" s="531" t="s">
        <v>317</v>
      </c>
      <c r="H251" s="767" t="s">
        <v>283</v>
      </c>
      <c r="I251" s="495">
        <v>3213796</v>
      </c>
      <c r="J251" s="496">
        <v>2326001</v>
      </c>
      <c r="K251" s="496">
        <v>0</v>
      </c>
      <c r="L251" s="496">
        <v>0</v>
      </c>
      <c r="M251" s="496">
        <v>786189</v>
      </c>
      <c r="N251" s="496">
        <v>46520</v>
      </c>
      <c r="O251" s="496">
        <v>55086</v>
      </c>
      <c r="P251" s="497">
        <v>5.5833000000000004</v>
      </c>
      <c r="Q251" s="412">
        <v>4.1935000000000002</v>
      </c>
      <c r="R251" s="764">
        <v>1.3898000000000001</v>
      </c>
      <c r="S251" s="530">
        <f t="shared" ref="S251:S252" si="444">W251*-1</f>
        <v>0</v>
      </c>
      <c r="T251" s="486">
        <v>0</v>
      </c>
      <c r="U251" s="486">
        <v>-14728</v>
      </c>
      <c r="V251" s="486">
        <f>SUM(S251:U251)</f>
        <v>-14728</v>
      </c>
      <c r="W251" s="486">
        <v>0</v>
      </c>
      <c r="X251" s="486">
        <v>0</v>
      </c>
      <c r="Y251" s="486">
        <f>SUM(W251:X251)</f>
        <v>0</v>
      </c>
      <c r="Z251" s="486">
        <f>V251+Y251</f>
        <v>-14728</v>
      </c>
      <c r="AA251" s="319">
        <f>ROUND((V251+W251)*33.8%,0)</f>
        <v>-4978</v>
      </c>
      <c r="AB251" s="178">
        <f>ROUND(V251*2%,0)</f>
        <v>-295</v>
      </c>
      <c r="AC251" s="486">
        <v>0</v>
      </c>
      <c r="AD251" s="486">
        <v>20001</v>
      </c>
      <c r="AE251" s="486">
        <f t="shared" si="359"/>
        <v>20001</v>
      </c>
      <c r="AF251" s="486">
        <f t="shared" si="360"/>
        <v>0</v>
      </c>
      <c r="AG251" s="501">
        <v>0</v>
      </c>
      <c r="AH251" s="501">
        <v>0</v>
      </c>
      <c r="AI251" s="501">
        <v>0</v>
      </c>
      <c r="AJ251" s="501">
        <v>0</v>
      </c>
      <c r="AK251" s="501">
        <v>0</v>
      </c>
      <c r="AL251" s="501">
        <f t="shared" ref="AL251:AL252" si="445">AG251+AI251+AJ251</f>
        <v>0</v>
      </c>
      <c r="AM251" s="501">
        <f t="shared" ref="AM251:AM252" si="446">AH251+AK251</f>
        <v>0</v>
      </c>
      <c r="AN251" s="502">
        <f t="shared" si="361"/>
        <v>0</v>
      </c>
      <c r="AO251" s="499">
        <f>I251+AF251</f>
        <v>3213796</v>
      </c>
      <c r="AP251" s="486">
        <f>J251+V251</f>
        <v>2311273</v>
      </c>
      <c r="AQ251" s="486">
        <f>K251+Y251</f>
        <v>0</v>
      </c>
      <c r="AR251" s="486">
        <f>L251</f>
        <v>0</v>
      </c>
      <c r="AS251" s="486">
        <f>M251+AA251</f>
        <v>781211</v>
      </c>
      <c r="AT251" s="486">
        <f>N251+AB251</f>
        <v>46225</v>
      </c>
      <c r="AU251" s="486">
        <f>O251+AE251</f>
        <v>75087</v>
      </c>
      <c r="AV251" s="501">
        <f>P251+AN251</f>
        <v>5.5833000000000004</v>
      </c>
      <c r="AW251" s="501">
        <f>Q251+AL251</f>
        <v>4.1935000000000002</v>
      </c>
      <c r="AX251" s="502">
        <f>R251+AM251</f>
        <v>1.3898000000000001</v>
      </c>
    </row>
    <row r="252" spans="1:50" s="695" customFormat="1" ht="12.75" customHeight="1" x14ac:dyDescent="0.2">
      <c r="A252" s="720">
        <v>45</v>
      </c>
      <c r="B252" s="721">
        <v>4426</v>
      </c>
      <c r="C252" s="721">
        <v>600074129</v>
      </c>
      <c r="D252" s="721">
        <v>72742160</v>
      </c>
      <c r="E252" s="722" t="s">
        <v>237</v>
      </c>
      <c r="F252" s="721">
        <v>3141</v>
      </c>
      <c r="G252" s="531" t="s">
        <v>321</v>
      </c>
      <c r="H252" s="767" t="s">
        <v>284</v>
      </c>
      <c r="I252" s="495">
        <v>482473</v>
      </c>
      <c r="J252" s="496">
        <v>353872</v>
      </c>
      <c r="K252" s="475">
        <v>0</v>
      </c>
      <c r="L252" s="475">
        <v>0</v>
      </c>
      <c r="M252" s="319">
        <v>119609</v>
      </c>
      <c r="N252" s="319">
        <v>7078</v>
      </c>
      <c r="O252" s="496">
        <v>1914</v>
      </c>
      <c r="P252" s="497">
        <v>1.2</v>
      </c>
      <c r="Q252" s="412">
        <v>0</v>
      </c>
      <c r="R252" s="764">
        <v>1.2</v>
      </c>
      <c r="S252" s="530">
        <f t="shared" si="444"/>
        <v>0</v>
      </c>
      <c r="T252" s="486">
        <v>0</v>
      </c>
      <c r="U252" s="486">
        <v>0</v>
      </c>
      <c r="V252" s="486">
        <f>SUM(S252:U252)</f>
        <v>0</v>
      </c>
      <c r="W252" s="486">
        <v>0</v>
      </c>
      <c r="X252" s="486">
        <v>0</v>
      </c>
      <c r="Y252" s="486">
        <f>SUM(W252:X252)</f>
        <v>0</v>
      </c>
      <c r="Z252" s="486">
        <f>V252+Y252</f>
        <v>0</v>
      </c>
      <c r="AA252" s="319">
        <f>ROUND((V252+W252)*33.8%,0)</f>
        <v>0</v>
      </c>
      <c r="AB252" s="178">
        <f>ROUND(V252*2%,0)</f>
        <v>0</v>
      </c>
      <c r="AC252" s="486">
        <v>0</v>
      </c>
      <c r="AD252" s="486">
        <v>0</v>
      </c>
      <c r="AE252" s="486">
        <f t="shared" si="359"/>
        <v>0</v>
      </c>
      <c r="AF252" s="486">
        <f t="shared" si="360"/>
        <v>0</v>
      </c>
      <c r="AG252" s="501">
        <v>0</v>
      </c>
      <c r="AH252" s="501">
        <v>0</v>
      </c>
      <c r="AI252" s="501">
        <v>0</v>
      </c>
      <c r="AJ252" s="501">
        <v>0</v>
      </c>
      <c r="AK252" s="501">
        <v>0</v>
      </c>
      <c r="AL252" s="501">
        <f t="shared" si="445"/>
        <v>0</v>
      </c>
      <c r="AM252" s="501">
        <f t="shared" si="446"/>
        <v>0</v>
      </c>
      <c r="AN252" s="502">
        <f t="shared" si="361"/>
        <v>0</v>
      </c>
      <c r="AO252" s="499">
        <f>I252+AF252</f>
        <v>482473</v>
      </c>
      <c r="AP252" s="486">
        <f>J252+V252</f>
        <v>353872</v>
      </c>
      <c r="AQ252" s="486">
        <f>K252+Y252</f>
        <v>0</v>
      </c>
      <c r="AR252" s="486">
        <f>L252</f>
        <v>0</v>
      </c>
      <c r="AS252" s="486">
        <f>M252+AA252</f>
        <v>119609</v>
      </c>
      <c r="AT252" s="486">
        <f>N252+AB252</f>
        <v>7078</v>
      </c>
      <c r="AU252" s="486">
        <f>O252+AE252</f>
        <v>1914</v>
      </c>
      <c r="AV252" s="501">
        <f>P252+AN252</f>
        <v>1.2</v>
      </c>
      <c r="AW252" s="501">
        <f>Q252+AL252</f>
        <v>0</v>
      </c>
      <c r="AX252" s="502">
        <f>R252+AM252</f>
        <v>1.2</v>
      </c>
    </row>
    <row r="253" spans="1:50" s="695" customFormat="1" ht="12.75" customHeight="1" x14ac:dyDescent="0.2">
      <c r="A253" s="282">
        <v>45</v>
      </c>
      <c r="B253" s="27">
        <v>4426</v>
      </c>
      <c r="C253" s="27">
        <v>600074129</v>
      </c>
      <c r="D253" s="27">
        <v>72742160</v>
      </c>
      <c r="E253" s="292" t="s">
        <v>238</v>
      </c>
      <c r="F253" s="27"/>
      <c r="G253" s="281"/>
      <c r="H253" s="377"/>
      <c r="I253" s="6">
        <v>3696269</v>
      </c>
      <c r="J253" s="10">
        <v>2679873</v>
      </c>
      <c r="K253" s="10">
        <v>0</v>
      </c>
      <c r="L253" s="10">
        <v>0</v>
      </c>
      <c r="M253" s="10">
        <v>905798</v>
      </c>
      <c r="N253" s="10">
        <v>53598</v>
      </c>
      <c r="O253" s="10">
        <v>57000</v>
      </c>
      <c r="P253" s="11">
        <v>6.7833000000000006</v>
      </c>
      <c r="Q253" s="11">
        <v>4.1935000000000002</v>
      </c>
      <c r="R253" s="32">
        <v>2.5898000000000003</v>
      </c>
      <c r="S253" s="6">
        <f t="shared" ref="S253:AX253" si="447">SUM(S251:S252)</f>
        <v>0</v>
      </c>
      <c r="T253" s="10">
        <f t="shared" si="447"/>
        <v>0</v>
      </c>
      <c r="U253" s="10">
        <f t="shared" si="447"/>
        <v>-14728</v>
      </c>
      <c r="V253" s="10">
        <f t="shared" si="447"/>
        <v>-14728</v>
      </c>
      <c r="W253" s="10">
        <f t="shared" si="447"/>
        <v>0</v>
      </c>
      <c r="X253" s="10">
        <f t="shared" si="447"/>
        <v>0</v>
      </c>
      <c r="Y253" s="10">
        <f t="shared" si="447"/>
        <v>0</v>
      </c>
      <c r="Z253" s="10">
        <f t="shared" si="447"/>
        <v>-14728</v>
      </c>
      <c r="AA253" s="10">
        <f t="shared" si="447"/>
        <v>-4978</v>
      </c>
      <c r="AB253" s="10">
        <f t="shared" si="447"/>
        <v>-295</v>
      </c>
      <c r="AC253" s="10">
        <f t="shared" si="447"/>
        <v>0</v>
      </c>
      <c r="AD253" s="10">
        <f t="shared" si="447"/>
        <v>20001</v>
      </c>
      <c r="AE253" s="10">
        <f t="shared" si="447"/>
        <v>20001</v>
      </c>
      <c r="AF253" s="10">
        <f t="shared" si="447"/>
        <v>0</v>
      </c>
      <c r="AG253" s="11">
        <f t="shared" si="447"/>
        <v>0</v>
      </c>
      <c r="AH253" s="11">
        <f t="shared" si="447"/>
        <v>0</v>
      </c>
      <c r="AI253" s="11">
        <f t="shared" si="447"/>
        <v>0</v>
      </c>
      <c r="AJ253" s="11">
        <f t="shared" si="447"/>
        <v>0</v>
      </c>
      <c r="AK253" s="11">
        <f t="shared" si="447"/>
        <v>0</v>
      </c>
      <c r="AL253" s="11">
        <f t="shared" si="447"/>
        <v>0</v>
      </c>
      <c r="AM253" s="11">
        <f t="shared" si="447"/>
        <v>0</v>
      </c>
      <c r="AN253" s="75">
        <f t="shared" si="447"/>
        <v>0</v>
      </c>
      <c r="AO253" s="271">
        <f t="shared" si="447"/>
        <v>3696269</v>
      </c>
      <c r="AP253" s="10">
        <f t="shared" si="447"/>
        <v>2665145</v>
      </c>
      <c r="AQ253" s="71">
        <f t="shared" si="447"/>
        <v>0</v>
      </c>
      <c r="AR253" s="71">
        <f t="shared" si="447"/>
        <v>0</v>
      </c>
      <c r="AS253" s="10">
        <f t="shared" si="447"/>
        <v>900820</v>
      </c>
      <c r="AT253" s="10">
        <f t="shared" si="447"/>
        <v>53303</v>
      </c>
      <c r="AU253" s="10">
        <f t="shared" si="447"/>
        <v>77001</v>
      </c>
      <c r="AV253" s="11">
        <f t="shared" si="447"/>
        <v>6.7833000000000006</v>
      </c>
      <c r="AW253" s="11">
        <f t="shared" si="447"/>
        <v>4.1935000000000002</v>
      </c>
      <c r="AX253" s="75">
        <f t="shared" si="447"/>
        <v>2.5898000000000003</v>
      </c>
    </row>
    <row r="254" spans="1:50" s="695" customFormat="1" ht="12.75" customHeight="1" x14ac:dyDescent="0.2">
      <c r="A254" s="720">
        <v>46</v>
      </c>
      <c r="B254" s="721">
        <v>4461</v>
      </c>
      <c r="C254" s="721">
        <v>600074765</v>
      </c>
      <c r="D254" s="721">
        <v>46750088</v>
      </c>
      <c r="E254" s="722" t="s">
        <v>239</v>
      </c>
      <c r="F254" s="721">
        <v>3111</v>
      </c>
      <c r="G254" s="531" t="s">
        <v>317</v>
      </c>
      <c r="H254" s="767" t="s">
        <v>283</v>
      </c>
      <c r="I254" s="495">
        <v>6796762</v>
      </c>
      <c r="J254" s="496">
        <v>6460567</v>
      </c>
      <c r="K254" s="496">
        <v>0</v>
      </c>
      <c r="L254" s="496">
        <v>0</v>
      </c>
      <c r="M254" s="496">
        <v>222244</v>
      </c>
      <c r="N254" s="496">
        <v>13151</v>
      </c>
      <c r="O254" s="496">
        <v>100800</v>
      </c>
      <c r="P254" s="497">
        <v>14.688499999999999</v>
      </c>
      <c r="Q254" s="412">
        <v>11.622999999999999</v>
      </c>
      <c r="R254" s="764">
        <v>3.0655000000000001</v>
      </c>
      <c r="S254" s="530">
        <f t="shared" ref="S254:S259" si="448">W254*-1</f>
        <v>0</v>
      </c>
      <c r="T254" s="486">
        <v>0</v>
      </c>
      <c r="U254" s="486">
        <v>0</v>
      </c>
      <c r="V254" s="486">
        <f t="shared" ref="V254:V259" si="449">SUM(S254:U254)</f>
        <v>0</v>
      </c>
      <c r="W254" s="486">
        <v>0</v>
      </c>
      <c r="X254" s="486">
        <v>0</v>
      </c>
      <c r="Y254" s="486">
        <f t="shared" ref="Y254:Y259" si="450">SUM(W254:X254)</f>
        <v>0</v>
      </c>
      <c r="Z254" s="486">
        <f t="shared" ref="Z254:Z259" si="451">V254+Y254</f>
        <v>0</v>
      </c>
      <c r="AA254" s="319">
        <f t="shared" ref="AA254:AA259" si="452">ROUND((V254+W254)*33.8%,0)</f>
        <v>0</v>
      </c>
      <c r="AB254" s="178">
        <f t="shared" ref="AB254:AB259" si="453">ROUND(V254*2%,0)</f>
        <v>0</v>
      </c>
      <c r="AC254" s="486">
        <v>0</v>
      </c>
      <c r="AD254" s="486">
        <v>0</v>
      </c>
      <c r="AE254" s="486">
        <f t="shared" si="359"/>
        <v>0</v>
      </c>
      <c r="AF254" s="486">
        <f t="shared" si="360"/>
        <v>0</v>
      </c>
      <c r="AG254" s="501">
        <v>0</v>
      </c>
      <c r="AH254" s="501">
        <v>0</v>
      </c>
      <c r="AI254" s="501">
        <v>0</v>
      </c>
      <c r="AJ254" s="501">
        <v>0</v>
      </c>
      <c r="AK254" s="501">
        <v>0</v>
      </c>
      <c r="AL254" s="501">
        <f t="shared" ref="AL254:AL259" si="454">AG254+AI254+AJ254</f>
        <v>0</v>
      </c>
      <c r="AM254" s="501">
        <f t="shared" ref="AM254:AM259" si="455">AH254+AK254</f>
        <v>0</v>
      </c>
      <c r="AN254" s="502">
        <f t="shared" si="361"/>
        <v>0</v>
      </c>
      <c r="AO254" s="499">
        <f t="shared" ref="AO254:AO259" si="456">I254+AF254</f>
        <v>6796762</v>
      </c>
      <c r="AP254" s="486">
        <f t="shared" ref="AP254:AP259" si="457">J254+V254</f>
        <v>6460567</v>
      </c>
      <c r="AQ254" s="486">
        <f t="shared" ref="AQ254:AQ259" si="458">K254+Y254</f>
        <v>0</v>
      </c>
      <c r="AR254" s="486">
        <f t="shared" ref="AR254:AR259" si="459">L254</f>
        <v>0</v>
      </c>
      <c r="AS254" s="486">
        <f t="shared" ref="AS254:AT259" si="460">M254+AA254</f>
        <v>222244</v>
      </c>
      <c r="AT254" s="486">
        <f t="shared" si="460"/>
        <v>13151</v>
      </c>
      <c r="AU254" s="486">
        <f t="shared" ref="AU254:AU259" si="461">O254+AE254</f>
        <v>100800</v>
      </c>
      <c r="AV254" s="501">
        <f t="shared" ref="AV254:AV259" si="462">P254+AN254</f>
        <v>14.688499999999999</v>
      </c>
      <c r="AW254" s="501">
        <f t="shared" ref="AW254:AX259" si="463">Q254+AL254</f>
        <v>11.622999999999999</v>
      </c>
      <c r="AX254" s="502">
        <f t="shared" si="463"/>
        <v>3.0655000000000001</v>
      </c>
    </row>
    <row r="255" spans="1:50" s="695" customFormat="1" ht="12.75" customHeight="1" x14ac:dyDescent="0.2">
      <c r="A255" s="720">
        <v>46</v>
      </c>
      <c r="B255" s="721">
        <v>4461</v>
      </c>
      <c r="C255" s="721">
        <v>600074765</v>
      </c>
      <c r="D255" s="721">
        <v>46750088</v>
      </c>
      <c r="E255" s="722" t="s">
        <v>239</v>
      </c>
      <c r="F255" s="721">
        <v>3113</v>
      </c>
      <c r="G255" s="531" t="s">
        <v>320</v>
      </c>
      <c r="H255" s="767" t="s">
        <v>283</v>
      </c>
      <c r="I255" s="495">
        <v>26683837</v>
      </c>
      <c r="J255" s="496">
        <v>16848129</v>
      </c>
      <c r="K255" s="496">
        <v>361087</v>
      </c>
      <c r="L255" s="496">
        <v>157087</v>
      </c>
      <c r="M255" s="496">
        <v>7997477</v>
      </c>
      <c r="N255" s="496">
        <v>469144</v>
      </c>
      <c r="O255" s="496">
        <v>1008000</v>
      </c>
      <c r="P255" s="497">
        <v>32.5839</v>
      </c>
      <c r="Q255" s="412">
        <v>25.408100000000001</v>
      </c>
      <c r="R255" s="764">
        <v>7.1757999999999962</v>
      </c>
      <c r="S255" s="530">
        <f t="shared" si="448"/>
        <v>0</v>
      </c>
      <c r="T255" s="486">
        <v>0</v>
      </c>
      <c r="U255" s="486">
        <v>0</v>
      </c>
      <c r="V255" s="486">
        <f t="shared" si="449"/>
        <v>0</v>
      </c>
      <c r="W255" s="486">
        <v>0</v>
      </c>
      <c r="X255" s="486">
        <v>0</v>
      </c>
      <c r="Y255" s="486">
        <f t="shared" si="450"/>
        <v>0</v>
      </c>
      <c r="Z255" s="486">
        <f t="shared" si="451"/>
        <v>0</v>
      </c>
      <c r="AA255" s="319">
        <f t="shared" si="452"/>
        <v>0</v>
      </c>
      <c r="AB255" s="178">
        <f t="shared" si="453"/>
        <v>0</v>
      </c>
      <c r="AC255" s="486">
        <v>0</v>
      </c>
      <c r="AD255" s="486">
        <v>0</v>
      </c>
      <c r="AE255" s="486">
        <f t="shared" si="359"/>
        <v>0</v>
      </c>
      <c r="AF255" s="486">
        <f t="shared" si="360"/>
        <v>0</v>
      </c>
      <c r="AG255" s="501">
        <v>0</v>
      </c>
      <c r="AH255" s="501">
        <v>0</v>
      </c>
      <c r="AI255" s="501">
        <v>0</v>
      </c>
      <c r="AJ255" s="501">
        <v>0</v>
      </c>
      <c r="AK255" s="501">
        <v>0</v>
      </c>
      <c r="AL255" s="501">
        <f t="shared" si="454"/>
        <v>0</v>
      </c>
      <c r="AM255" s="501">
        <f t="shared" si="455"/>
        <v>0</v>
      </c>
      <c r="AN255" s="502">
        <f t="shared" si="361"/>
        <v>0</v>
      </c>
      <c r="AO255" s="499">
        <f t="shared" si="456"/>
        <v>26683837</v>
      </c>
      <c r="AP255" s="486">
        <f t="shared" si="457"/>
        <v>16848129</v>
      </c>
      <c r="AQ255" s="486">
        <f t="shared" si="458"/>
        <v>361087</v>
      </c>
      <c r="AR255" s="486">
        <f t="shared" si="459"/>
        <v>157087</v>
      </c>
      <c r="AS255" s="486">
        <f t="shared" si="460"/>
        <v>7997477</v>
      </c>
      <c r="AT255" s="486">
        <f t="shared" si="460"/>
        <v>469144</v>
      </c>
      <c r="AU255" s="486">
        <f t="shared" si="461"/>
        <v>1008000</v>
      </c>
      <c r="AV255" s="501">
        <f t="shared" si="462"/>
        <v>32.5839</v>
      </c>
      <c r="AW255" s="501">
        <f t="shared" si="463"/>
        <v>25.408100000000001</v>
      </c>
      <c r="AX255" s="502">
        <f t="shared" si="463"/>
        <v>7.1757999999999962</v>
      </c>
    </row>
    <row r="256" spans="1:50" s="695" customFormat="1" ht="12.75" customHeight="1" x14ac:dyDescent="0.2">
      <c r="A256" s="720">
        <v>46</v>
      </c>
      <c r="B256" s="721">
        <v>4461</v>
      </c>
      <c r="C256" s="721">
        <v>600074765</v>
      </c>
      <c r="D256" s="721">
        <v>46750088</v>
      </c>
      <c r="E256" s="722" t="s">
        <v>239</v>
      </c>
      <c r="F256" s="721">
        <v>3113</v>
      </c>
      <c r="G256" s="531" t="s">
        <v>318</v>
      </c>
      <c r="H256" s="767" t="s">
        <v>284</v>
      </c>
      <c r="I256" s="495">
        <v>1924595</v>
      </c>
      <c r="J256" s="496">
        <v>1367890</v>
      </c>
      <c r="K256" s="475">
        <v>0</v>
      </c>
      <c r="L256" s="475">
        <v>0</v>
      </c>
      <c r="M256" s="319">
        <v>462347</v>
      </c>
      <c r="N256" s="319">
        <v>27358</v>
      </c>
      <c r="O256" s="496">
        <v>67000</v>
      </c>
      <c r="P256" s="497">
        <v>4.08</v>
      </c>
      <c r="Q256" s="412">
        <v>4.08</v>
      </c>
      <c r="R256" s="764">
        <v>0</v>
      </c>
      <c r="S256" s="530">
        <f t="shared" si="448"/>
        <v>0</v>
      </c>
      <c r="T256" s="486">
        <v>0</v>
      </c>
      <c r="U256" s="486">
        <v>0</v>
      </c>
      <c r="V256" s="486">
        <f t="shared" si="449"/>
        <v>0</v>
      </c>
      <c r="W256" s="486">
        <v>0</v>
      </c>
      <c r="X256" s="486">
        <v>0</v>
      </c>
      <c r="Y256" s="486">
        <f t="shared" si="450"/>
        <v>0</v>
      </c>
      <c r="Z256" s="486">
        <f t="shared" si="451"/>
        <v>0</v>
      </c>
      <c r="AA256" s="319">
        <f t="shared" si="452"/>
        <v>0</v>
      </c>
      <c r="AB256" s="178">
        <f t="shared" si="453"/>
        <v>0</v>
      </c>
      <c r="AC256" s="486">
        <v>3750</v>
      </c>
      <c r="AD256" s="486">
        <v>0</v>
      </c>
      <c r="AE256" s="486">
        <f t="shared" si="359"/>
        <v>3750</v>
      </c>
      <c r="AF256" s="486">
        <f t="shared" si="360"/>
        <v>3750</v>
      </c>
      <c r="AG256" s="501">
        <v>0</v>
      </c>
      <c r="AH256" s="501">
        <v>0</v>
      </c>
      <c r="AI256" s="501">
        <v>0</v>
      </c>
      <c r="AJ256" s="501">
        <v>0</v>
      </c>
      <c r="AK256" s="501">
        <v>0</v>
      </c>
      <c r="AL256" s="501">
        <f t="shared" si="454"/>
        <v>0</v>
      </c>
      <c r="AM256" s="501">
        <f t="shared" si="455"/>
        <v>0</v>
      </c>
      <c r="AN256" s="502">
        <f t="shared" si="361"/>
        <v>0</v>
      </c>
      <c r="AO256" s="499">
        <f t="shared" si="456"/>
        <v>1928345</v>
      </c>
      <c r="AP256" s="486">
        <f t="shared" si="457"/>
        <v>1367890</v>
      </c>
      <c r="AQ256" s="486">
        <f t="shared" si="458"/>
        <v>0</v>
      </c>
      <c r="AR256" s="486">
        <f t="shared" si="459"/>
        <v>0</v>
      </c>
      <c r="AS256" s="486">
        <f t="shared" si="460"/>
        <v>462347</v>
      </c>
      <c r="AT256" s="486">
        <f t="shared" si="460"/>
        <v>27358</v>
      </c>
      <c r="AU256" s="486">
        <f t="shared" si="461"/>
        <v>70750</v>
      </c>
      <c r="AV256" s="501">
        <f t="shared" si="462"/>
        <v>4.08</v>
      </c>
      <c r="AW256" s="501">
        <f t="shared" si="463"/>
        <v>4.08</v>
      </c>
      <c r="AX256" s="502">
        <f t="shared" si="463"/>
        <v>0</v>
      </c>
    </row>
    <row r="257" spans="1:50" s="695" customFormat="1" ht="12.75" customHeight="1" x14ac:dyDescent="0.2">
      <c r="A257" s="720">
        <v>46</v>
      </c>
      <c r="B257" s="721">
        <v>4461</v>
      </c>
      <c r="C257" s="721">
        <v>600074765</v>
      </c>
      <c r="D257" s="721">
        <v>46750088</v>
      </c>
      <c r="E257" s="712" t="s">
        <v>239</v>
      </c>
      <c r="F257" s="721">
        <v>3141</v>
      </c>
      <c r="G257" s="531" t="s">
        <v>321</v>
      </c>
      <c r="H257" s="767" t="s">
        <v>284</v>
      </c>
      <c r="I257" s="495">
        <v>2953440</v>
      </c>
      <c r="J257" s="496">
        <v>2156920</v>
      </c>
      <c r="K257" s="475">
        <v>0</v>
      </c>
      <c r="L257" s="475">
        <v>0</v>
      </c>
      <c r="M257" s="319">
        <v>729039</v>
      </c>
      <c r="N257" s="319">
        <v>43139</v>
      </c>
      <c r="O257" s="496">
        <v>24342</v>
      </c>
      <c r="P257" s="497">
        <v>7.34</v>
      </c>
      <c r="Q257" s="412">
        <v>0</v>
      </c>
      <c r="R257" s="764">
        <v>7.34</v>
      </c>
      <c r="S257" s="530">
        <f t="shared" si="448"/>
        <v>0</v>
      </c>
      <c r="T257" s="486">
        <v>0</v>
      </c>
      <c r="U257" s="486">
        <v>0</v>
      </c>
      <c r="V257" s="486">
        <f t="shared" si="449"/>
        <v>0</v>
      </c>
      <c r="W257" s="486">
        <v>0</v>
      </c>
      <c r="X257" s="486">
        <v>0</v>
      </c>
      <c r="Y257" s="486">
        <f t="shared" si="450"/>
        <v>0</v>
      </c>
      <c r="Z257" s="486">
        <f t="shared" si="451"/>
        <v>0</v>
      </c>
      <c r="AA257" s="319">
        <f t="shared" si="452"/>
        <v>0</v>
      </c>
      <c r="AB257" s="178">
        <f t="shared" si="453"/>
        <v>0</v>
      </c>
      <c r="AC257" s="486">
        <v>0</v>
      </c>
      <c r="AD257" s="486">
        <v>0</v>
      </c>
      <c r="AE257" s="486">
        <f t="shared" si="359"/>
        <v>0</v>
      </c>
      <c r="AF257" s="486">
        <f t="shared" si="360"/>
        <v>0</v>
      </c>
      <c r="AG257" s="501">
        <v>0</v>
      </c>
      <c r="AH257" s="501">
        <v>0</v>
      </c>
      <c r="AI257" s="501">
        <v>0</v>
      </c>
      <c r="AJ257" s="501">
        <v>0</v>
      </c>
      <c r="AK257" s="501">
        <v>0</v>
      </c>
      <c r="AL257" s="501">
        <f t="shared" si="454"/>
        <v>0</v>
      </c>
      <c r="AM257" s="501">
        <f t="shared" si="455"/>
        <v>0</v>
      </c>
      <c r="AN257" s="502">
        <f t="shared" si="361"/>
        <v>0</v>
      </c>
      <c r="AO257" s="499">
        <f t="shared" si="456"/>
        <v>2953440</v>
      </c>
      <c r="AP257" s="486">
        <f t="shared" si="457"/>
        <v>2156920</v>
      </c>
      <c r="AQ257" s="486">
        <f t="shared" si="458"/>
        <v>0</v>
      </c>
      <c r="AR257" s="486">
        <f t="shared" si="459"/>
        <v>0</v>
      </c>
      <c r="AS257" s="486">
        <f t="shared" si="460"/>
        <v>729039</v>
      </c>
      <c r="AT257" s="486">
        <f t="shared" si="460"/>
        <v>43139</v>
      </c>
      <c r="AU257" s="486">
        <f t="shared" si="461"/>
        <v>24342</v>
      </c>
      <c r="AV257" s="501">
        <f t="shared" si="462"/>
        <v>7.34</v>
      </c>
      <c r="AW257" s="501">
        <f t="shared" si="463"/>
        <v>0</v>
      </c>
      <c r="AX257" s="502">
        <f t="shared" si="463"/>
        <v>7.34</v>
      </c>
    </row>
    <row r="258" spans="1:50" s="695" customFormat="1" ht="12.75" customHeight="1" x14ac:dyDescent="0.2">
      <c r="A258" s="720">
        <v>46</v>
      </c>
      <c r="B258" s="721">
        <v>4461</v>
      </c>
      <c r="C258" s="721">
        <v>600074765</v>
      </c>
      <c r="D258" s="721">
        <v>46750088</v>
      </c>
      <c r="E258" s="722" t="s">
        <v>239</v>
      </c>
      <c r="F258" s="721">
        <v>3143</v>
      </c>
      <c r="G258" s="531" t="s">
        <v>634</v>
      </c>
      <c r="H258" s="701" t="s">
        <v>283</v>
      </c>
      <c r="I258" s="495">
        <v>1691186</v>
      </c>
      <c r="J258" s="496">
        <v>1423347</v>
      </c>
      <c r="K258" s="496">
        <v>35000</v>
      </c>
      <c r="L258" s="496">
        <v>0</v>
      </c>
      <c r="M258" s="496">
        <v>220492</v>
      </c>
      <c r="N258" s="496">
        <v>12347</v>
      </c>
      <c r="O258" s="496">
        <v>0</v>
      </c>
      <c r="P258" s="497">
        <v>3.2321</v>
      </c>
      <c r="Q258" s="412">
        <v>3.2321</v>
      </c>
      <c r="R258" s="764">
        <v>0</v>
      </c>
      <c r="S258" s="530">
        <f t="shared" si="448"/>
        <v>0</v>
      </c>
      <c r="T258" s="486">
        <v>0</v>
      </c>
      <c r="U258" s="486">
        <v>0</v>
      </c>
      <c r="V258" s="486">
        <f t="shared" si="449"/>
        <v>0</v>
      </c>
      <c r="W258" s="486">
        <v>0</v>
      </c>
      <c r="X258" s="486">
        <v>0</v>
      </c>
      <c r="Y258" s="486">
        <f t="shared" si="450"/>
        <v>0</v>
      </c>
      <c r="Z258" s="486">
        <f t="shared" si="451"/>
        <v>0</v>
      </c>
      <c r="AA258" s="319">
        <f t="shared" si="452"/>
        <v>0</v>
      </c>
      <c r="AB258" s="178">
        <f t="shared" si="453"/>
        <v>0</v>
      </c>
      <c r="AC258" s="486">
        <v>0</v>
      </c>
      <c r="AD258" s="486">
        <v>0</v>
      </c>
      <c r="AE258" s="486">
        <f t="shared" si="359"/>
        <v>0</v>
      </c>
      <c r="AF258" s="486">
        <f t="shared" si="360"/>
        <v>0</v>
      </c>
      <c r="AG258" s="501">
        <v>0</v>
      </c>
      <c r="AH258" s="501">
        <v>0</v>
      </c>
      <c r="AI258" s="501">
        <v>0</v>
      </c>
      <c r="AJ258" s="501">
        <v>0</v>
      </c>
      <c r="AK258" s="501">
        <v>0</v>
      </c>
      <c r="AL258" s="501">
        <f t="shared" si="454"/>
        <v>0</v>
      </c>
      <c r="AM258" s="501">
        <f t="shared" si="455"/>
        <v>0</v>
      </c>
      <c r="AN258" s="502">
        <f t="shared" si="361"/>
        <v>0</v>
      </c>
      <c r="AO258" s="499">
        <f t="shared" si="456"/>
        <v>1691186</v>
      </c>
      <c r="AP258" s="486">
        <f t="shared" si="457"/>
        <v>1423347</v>
      </c>
      <c r="AQ258" s="486">
        <f t="shared" si="458"/>
        <v>35000</v>
      </c>
      <c r="AR258" s="486">
        <f t="shared" si="459"/>
        <v>0</v>
      </c>
      <c r="AS258" s="486">
        <f t="shared" si="460"/>
        <v>220492</v>
      </c>
      <c r="AT258" s="486">
        <f t="shared" si="460"/>
        <v>12347</v>
      </c>
      <c r="AU258" s="486">
        <f t="shared" si="461"/>
        <v>0</v>
      </c>
      <c r="AV258" s="501">
        <f t="shared" si="462"/>
        <v>3.2321</v>
      </c>
      <c r="AW258" s="501">
        <f t="shared" si="463"/>
        <v>3.2321</v>
      </c>
      <c r="AX258" s="502">
        <f t="shared" si="463"/>
        <v>0</v>
      </c>
    </row>
    <row r="259" spans="1:50" s="695" customFormat="1" ht="12.75" customHeight="1" x14ac:dyDescent="0.2">
      <c r="A259" s="720">
        <v>46</v>
      </c>
      <c r="B259" s="721">
        <v>4461</v>
      </c>
      <c r="C259" s="721">
        <v>600074765</v>
      </c>
      <c r="D259" s="721">
        <v>46750088</v>
      </c>
      <c r="E259" s="722" t="s">
        <v>239</v>
      </c>
      <c r="F259" s="721">
        <v>3143</v>
      </c>
      <c r="G259" s="531" t="s">
        <v>635</v>
      </c>
      <c r="H259" s="701" t="s">
        <v>284</v>
      </c>
      <c r="I259" s="495">
        <v>75838</v>
      </c>
      <c r="J259" s="496">
        <v>53460</v>
      </c>
      <c r="K259" s="475">
        <v>0</v>
      </c>
      <c r="L259" s="475">
        <v>0</v>
      </c>
      <c r="M259" s="319">
        <v>18069</v>
      </c>
      <c r="N259" s="319">
        <v>1069</v>
      </c>
      <c r="O259" s="496">
        <v>3240</v>
      </c>
      <c r="P259" s="497">
        <v>0.23</v>
      </c>
      <c r="Q259" s="412">
        <v>0</v>
      </c>
      <c r="R259" s="764">
        <v>0.23</v>
      </c>
      <c r="S259" s="530">
        <f t="shared" si="448"/>
        <v>0</v>
      </c>
      <c r="T259" s="486">
        <v>0</v>
      </c>
      <c r="U259" s="486"/>
      <c r="V259" s="486">
        <f t="shared" si="449"/>
        <v>0</v>
      </c>
      <c r="W259" s="486">
        <v>0</v>
      </c>
      <c r="X259" s="486">
        <v>0</v>
      </c>
      <c r="Y259" s="486">
        <f t="shared" si="450"/>
        <v>0</v>
      </c>
      <c r="Z259" s="486">
        <f t="shared" si="451"/>
        <v>0</v>
      </c>
      <c r="AA259" s="319">
        <f t="shared" si="452"/>
        <v>0</v>
      </c>
      <c r="AB259" s="178">
        <f t="shared" si="453"/>
        <v>0</v>
      </c>
      <c r="AC259" s="486">
        <v>0</v>
      </c>
      <c r="AD259" s="486">
        <v>0</v>
      </c>
      <c r="AE259" s="486">
        <f t="shared" si="359"/>
        <v>0</v>
      </c>
      <c r="AF259" s="486">
        <f t="shared" si="360"/>
        <v>0</v>
      </c>
      <c r="AG259" s="501">
        <v>0</v>
      </c>
      <c r="AH259" s="501">
        <v>0</v>
      </c>
      <c r="AI259" s="501">
        <v>0</v>
      </c>
      <c r="AJ259" s="501">
        <v>0</v>
      </c>
      <c r="AK259" s="501">
        <v>0</v>
      </c>
      <c r="AL259" s="501">
        <f t="shared" si="454"/>
        <v>0</v>
      </c>
      <c r="AM259" s="501">
        <f t="shared" si="455"/>
        <v>0</v>
      </c>
      <c r="AN259" s="502">
        <f t="shared" si="361"/>
        <v>0</v>
      </c>
      <c r="AO259" s="499">
        <f t="shared" si="456"/>
        <v>75838</v>
      </c>
      <c r="AP259" s="486">
        <f t="shared" si="457"/>
        <v>53460</v>
      </c>
      <c r="AQ259" s="486">
        <f t="shared" si="458"/>
        <v>0</v>
      </c>
      <c r="AR259" s="486">
        <f t="shared" si="459"/>
        <v>0</v>
      </c>
      <c r="AS259" s="486">
        <f t="shared" si="460"/>
        <v>18069</v>
      </c>
      <c r="AT259" s="486">
        <f t="shared" si="460"/>
        <v>1069</v>
      </c>
      <c r="AU259" s="486">
        <f t="shared" si="461"/>
        <v>3240</v>
      </c>
      <c r="AV259" s="501">
        <f t="shared" si="462"/>
        <v>0.23</v>
      </c>
      <c r="AW259" s="501">
        <f t="shared" si="463"/>
        <v>0</v>
      </c>
      <c r="AX259" s="502">
        <f t="shared" si="463"/>
        <v>0.23</v>
      </c>
    </row>
    <row r="260" spans="1:50" s="695" customFormat="1" ht="12.75" customHeight="1" x14ac:dyDescent="0.2">
      <c r="A260" s="282">
        <v>46</v>
      </c>
      <c r="B260" s="27">
        <v>4461</v>
      </c>
      <c r="C260" s="27">
        <v>600074765</v>
      </c>
      <c r="D260" s="27">
        <v>46750088</v>
      </c>
      <c r="E260" s="292" t="s">
        <v>240</v>
      </c>
      <c r="F260" s="27"/>
      <c r="G260" s="281"/>
      <c r="H260" s="377"/>
      <c r="I260" s="5">
        <v>40125658</v>
      </c>
      <c r="J260" s="8">
        <v>28310313</v>
      </c>
      <c r="K260" s="8">
        <v>396087</v>
      </c>
      <c r="L260" s="8">
        <v>157087</v>
      </c>
      <c r="M260" s="8">
        <v>9649668</v>
      </c>
      <c r="N260" s="8">
        <v>566208</v>
      </c>
      <c r="O260" s="8">
        <v>1203382</v>
      </c>
      <c r="P260" s="9">
        <v>62.154499999999992</v>
      </c>
      <c r="Q260" s="9">
        <v>44.343200000000003</v>
      </c>
      <c r="R260" s="33">
        <v>17.811299999999996</v>
      </c>
      <c r="S260" s="5">
        <f t="shared" ref="S260:AX260" si="464">SUM(S254:S259)</f>
        <v>0</v>
      </c>
      <c r="T260" s="8">
        <f t="shared" si="464"/>
        <v>0</v>
      </c>
      <c r="U260" s="8">
        <f t="shared" si="464"/>
        <v>0</v>
      </c>
      <c r="V260" s="8">
        <f t="shared" si="464"/>
        <v>0</v>
      </c>
      <c r="W260" s="8">
        <f t="shared" si="464"/>
        <v>0</v>
      </c>
      <c r="X260" s="8">
        <f t="shared" si="464"/>
        <v>0</v>
      </c>
      <c r="Y260" s="8">
        <f t="shared" si="464"/>
        <v>0</v>
      </c>
      <c r="Z260" s="8">
        <f t="shared" si="464"/>
        <v>0</v>
      </c>
      <c r="AA260" s="8">
        <f t="shared" si="464"/>
        <v>0</v>
      </c>
      <c r="AB260" s="8">
        <f t="shared" si="464"/>
        <v>0</v>
      </c>
      <c r="AC260" s="8">
        <f t="shared" si="464"/>
        <v>3750</v>
      </c>
      <c r="AD260" s="8">
        <f t="shared" si="464"/>
        <v>0</v>
      </c>
      <c r="AE260" s="8">
        <f t="shared" si="464"/>
        <v>3750</v>
      </c>
      <c r="AF260" s="8">
        <f t="shared" si="464"/>
        <v>3750</v>
      </c>
      <c r="AG260" s="9">
        <f t="shared" si="464"/>
        <v>0</v>
      </c>
      <c r="AH260" s="9">
        <f t="shared" si="464"/>
        <v>0</v>
      </c>
      <c r="AI260" s="9">
        <f t="shared" si="464"/>
        <v>0</v>
      </c>
      <c r="AJ260" s="9">
        <f t="shared" si="464"/>
        <v>0</v>
      </c>
      <c r="AK260" s="9">
        <f t="shared" si="464"/>
        <v>0</v>
      </c>
      <c r="AL260" s="9">
        <f t="shared" si="464"/>
        <v>0</v>
      </c>
      <c r="AM260" s="9">
        <f t="shared" si="464"/>
        <v>0</v>
      </c>
      <c r="AN260" s="74">
        <f t="shared" si="464"/>
        <v>0</v>
      </c>
      <c r="AO260" s="270">
        <f t="shared" si="464"/>
        <v>40129408</v>
      </c>
      <c r="AP260" s="8">
        <f t="shared" si="464"/>
        <v>28310313</v>
      </c>
      <c r="AQ260" s="38">
        <f t="shared" si="464"/>
        <v>396087</v>
      </c>
      <c r="AR260" s="38">
        <f t="shared" si="464"/>
        <v>157087</v>
      </c>
      <c r="AS260" s="8">
        <f t="shared" si="464"/>
        <v>9649668</v>
      </c>
      <c r="AT260" s="8">
        <f t="shared" si="464"/>
        <v>566208</v>
      </c>
      <c r="AU260" s="8">
        <f t="shared" si="464"/>
        <v>1207132</v>
      </c>
      <c r="AV260" s="9">
        <f t="shared" si="464"/>
        <v>62.154499999999992</v>
      </c>
      <c r="AW260" s="9">
        <f t="shared" si="464"/>
        <v>44.343200000000003</v>
      </c>
      <c r="AX260" s="74">
        <f t="shared" si="464"/>
        <v>17.811299999999996</v>
      </c>
    </row>
    <row r="261" spans="1:50" s="695" customFormat="1" ht="12.75" customHeight="1" x14ac:dyDescent="0.2">
      <c r="A261" s="720">
        <v>47</v>
      </c>
      <c r="B261" s="721">
        <v>4427</v>
      </c>
      <c r="C261" s="721">
        <v>600074188</v>
      </c>
      <c r="D261" s="721">
        <v>70982678</v>
      </c>
      <c r="E261" s="722" t="s">
        <v>241</v>
      </c>
      <c r="F261" s="721">
        <v>3111</v>
      </c>
      <c r="G261" s="531" t="s">
        <v>317</v>
      </c>
      <c r="H261" s="767" t="s">
        <v>283</v>
      </c>
      <c r="I261" s="495">
        <v>2993081</v>
      </c>
      <c r="J261" s="496">
        <v>2160045</v>
      </c>
      <c r="K261" s="496">
        <v>30000</v>
      </c>
      <c r="L261" s="496">
        <v>0</v>
      </c>
      <c r="M261" s="496">
        <v>740235</v>
      </c>
      <c r="N261" s="496">
        <v>43201</v>
      </c>
      <c r="O261" s="496">
        <v>19600</v>
      </c>
      <c r="P261" s="497">
        <v>5.2298</v>
      </c>
      <c r="Q261" s="412">
        <v>4</v>
      </c>
      <c r="R261" s="764">
        <v>1.2298000000000002</v>
      </c>
      <c r="S261" s="530">
        <f t="shared" ref="S261:S262" si="465">W261*-1</f>
        <v>0</v>
      </c>
      <c r="T261" s="486">
        <v>0</v>
      </c>
      <c r="U261" s="486">
        <v>0</v>
      </c>
      <c r="V261" s="486">
        <f>SUM(S261:U261)</f>
        <v>0</v>
      </c>
      <c r="W261" s="486">
        <v>0</v>
      </c>
      <c r="X261" s="486">
        <v>0</v>
      </c>
      <c r="Y261" s="486">
        <f>SUM(W261:X261)</f>
        <v>0</v>
      </c>
      <c r="Z261" s="486">
        <f>V261+Y261</f>
        <v>0</v>
      </c>
      <c r="AA261" s="319">
        <f>ROUND((V261+W261)*33.8%,0)</f>
        <v>0</v>
      </c>
      <c r="AB261" s="178">
        <f>ROUND(V261*2%,0)</f>
        <v>0</v>
      </c>
      <c r="AC261" s="486">
        <v>0</v>
      </c>
      <c r="AD261" s="486">
        <v>0</v>
      </c>
      <c r="AE261" s="486">
        <f t="shared" si="359"/>
        <v>0</v>
      </c>
      <c r="AF261" s="486">
        <f t="shared" si="360"/>
        <v>0</v>
      </c>
      <c r="AG261" s="501">
        <v>0</v>
      </c>
      <c r="AH261" s="501">
        <v>0</v>
      </c>
      <c r="AI261" s="501">
        <v>0</v>
      </c>
      <c r="AJ261" s="501">
        <v>0</v>
      </c>
      <c r="AK261" s="501">
        <v>0</v>
      </c>
      <c r="AL261" s="501">
        <f t="shared" ref="AL261:AL262" si="466">AG261+AI261+AJ261</f>
        <v>0</v>
      </c>
      <c r="AM261" s="501">
        <f t="shared" ref="AM261:AM262" si="467">AH261+AK261</f>
        <v>0</v>
      </c>
      <c r="AN261" s="502">
        <f t="shared" si="361"/>
        <v>0</v>
      </c>
      <c r="AO261" s="499">
        <f>I261+AF261</f>
        <v>2993081</v>
      </c>
      <c r="AP261" s="486">
        <f>J261+V261</f>
        <v>2160045</v>
      </c>
      <c r="AQ261" s="486">
        <f>K261+Y261</f>
        <v>30000</v>
      </c>
      <c r="AR261" s="486">
        <f>L261</f>
        <v>0</v>
      </c>
      <c r="AS261" s="486">
        <f>M261+AA261</f>
        <v>740235</v>
      </c>
      <c r="AT261" s="486">
        <f>N261+AB261</f>
        <v>43201</v>
      </c>
      <c r="AU261" s="486">
        <f>O261+AE261</f>
        <v>19600</v>
      </c>
      <c r="AV261" s="501">
        <f>P261+AN261</f>
        <v>5.2298</v>
      </c>
      <c r="AW261" s="501">
        <f>Q261+AL261</f>
        <v>4</v>
      </c>
      <c r="AX261" s="502">
        <f>R261+AM261</f>
        <v>1.2298000000000002</v>
      </c>
    </row>
    <row r="262" spans="1:50" s="695" customFormat="1" ht="12.75" customHeight="1" x14ac:dyDescent="0.2">
      <c r="A262" s="720">
        <v>47</v>
      </c>
      <c r="B262" s="721">
        <v>4427</v>
      </c>
      <c r="C262" s="721">
        <v>600074188</v>
      </c>
      <c r="D262" s="721">
        <v>70982678</v>
      </c>
      <c r="E262" s="722" t="s">
        <v>241</v>
      </c>
      <c r="F262" s="721">
        <v>3141</v>
      </c>
      <c r="G262" s="531" t="s">
        <v>321</v>
      </c>
      <c r="H262" s="767" t="s">
        <v>284</v>
      </c>
      <c r="I262" s="495">
        <v>420968</v>
      </c>
      <c r="J262" s="496">
        <v>289090</v>
      </c>
      <c r="K262" s="475">
        <v>20000</v>
      </c>
      <c r="L262" s="475">
        <v>0</v>
      </c>
      <c r="M262" s="319">
        <v>104472</v>
      </c>
      <c r="N262" s="319">
        <v>5782</v>
      </c>
      <c r="O262" s="496">
        <v>1624</v>
      </c>
      <c r="P262" s="497">
        <v>1.05</v>
      </c>
      <c r="Q262" s="412">
        <v>0</v>
      </c>
      <c r="R262" s="764">
        <v>1.05</v>
      </c>
      <c r="S262" s="530">
        <f t="shared" si="465"/>
        <v>0</v>
      </c>
      <c r="T262" s="486">
        <v>0</v>
      </c>
      <c r="U262" s="486">
        <v>0</v>
      </c>
      <c r="V262" s="486">
        <f>SUM(S262:U262)</f>
        <v>0</v>
      </c>
      <c r="W262" s="486">
        <v>0</v>
      </c>
      <c r="X262" s="486">
        <v>0</v>
      </c>
      <c r="Y262" s="486">
        <f>SUM(W262:X262)</f>
        <v>0</v>
      </c>
      <c r="Z262" s="486">
        <f>V262+Y262</f>
        <v>0</v>
      </c>
      <c r="AA262" s="319">
        <f>ROUND((V262+W262)*33.8%,0)</f>
        <v>0</v>
      </c>
      <c r="AB262" s="178">
        <f>ROUND(V262*2%,0)</f>
        <v>0</v>
      </c>
      <c r="AC262" s="486">
        <v>0</v>
      </c>
      <c r="AD262" s="486">
        <v>0</v>
      </c>
      <c r="AE262" s="486">
        <f t="shared" si="359"/>
        <v>0</v>
      </c>
      <c r="AF262" s="486">
        <f t="shared" si="360"/>
        <v>0</v>
      </c>
      <c r="AG262" s="501">
        <v>0</v>
      </c>
      <c r="AH262" s="501">
        <v>0</v>
      </c>
      <c r="AI262" s="501">
        <v>0</v>
      </c>
      <c r="AJ262" s="501">
        <v>0</v>
      </c>
      <c r="AK262" s="501">
        <v>0</v>
      </c>
      <c r="AL262" s="501">
        <f t="shared" si="466"/>
        <v>0</v>
      </c>
      <c r="AM262" s="501">
        <f t="shared" si="467"/>
        <v>0</v>
      </c>
      <c r="AN262" s="502">
        <f t="shared" si="361"/>
        <v>0</v>
      </c>
      <c r="AO262" s="499">
        <f>I262+AF262</f>
        <v>420968</v>
      </c>
      <c r="AP262" s="486">
        <f>J262+V262</f>
        <v>289090</v>
      </c>
      <c r="AQ262" s="486">
        <f>K262+Y262</f>
        <v>20000</v>
      </c>
      <c r="AR262" s="486">
        <f>L262</f>
        <v>0</v>
      </c>
      <c r="AS262" s="486">
        <f>M262+AA262</f>
        <v>104472</v>
      </c>
      <c r="AT262" s="486">
        <f>N262+AB262</f>
        <v>5782</v>
      </c>
      <c r="AU262" s="486">
        <f>O262+AE262</f>
        <v>1624</v>
      </c>
      <c r="AV262" s="501">
        <f>P262+AN262</f>
        <v>1.05</v>
      </c>
      <c r="AW262" s="501">
        <f>Q262+AL262</f>
        <v>0</v>
      </c>
      <c r="AX262" s="502">
        <f>R262+AM262</f>
        <v>1.05</v>
      </c>
    </row>
    <row r="263" spans="1:50" s="695" customFormat="1" ht="12.75" customHeight="1" x14ac:dyDescent="0.2">
      <c r="A263" s="282">
        <v>47</v>
      </c>
      <c r="B263" s="27">
        <v>4427</v>
      </c>
      <c r="C263" s="27">
        <v>600074188</v>
      </c>
      <c r="D263" s="27">
        <v>70982678</v>
      </c>
      <c r="E263" s="292" t="s">
        <v>242</v>
      </c>
      <c r="F263" s="27"/>
      <c r="G263" s="281"/>
      <c r="H263" s="377"/>
      <c r="I263" s="5">
        <v>3414049</v>
      </c>
      <c r="J263" s="8">
        <v>2449135</v>
      </c>
      <c r="K263" s="8">
        <v>50000</v>
      </c>
      <c r="L263" s="8">
        <v>0</v>
      </c>
      <c r="M263" s="8">
        <v>844707</v>
      </c>
      <c r="N263" s="8">
        <v>48983</v>
      </c>
      <c r="O263" s="8">
        <v>21224</v>
      </c>
      <c r="P263" s="9">
        <v>6.2797999999999998</v>
      </c>
      <c r="Q263" s="9">
        <v>4</v>
      </c>
      <c r="R263" s="33">
        <v>2.2798000000000003</v>
      </c>
      <c r="S263" s="5">
        <f t="shared" ref="S263:AX263" si="468">SUM(S261:S262)</f>
        <v>0</v>
      </c>
      <c r="T263" s="8">
        <f t="shared" si="468"/>
        <v>0</v>
      </c>
      <c r="U263" s="8">
        <f t="shared" si="468"/>
        <v>0</v>
      </c>
      <c r="V263" s="8">
        <f t="shared" si="468"/>
        <v>0</v>
      </c>
      <c r="W263" s="8">
        <f t="shared" si="468"/>
        <v>0</v>
      </c>
      <c r="X263" s="8">
        <f t="shared" si="468"/>
        <v>0</v>
      </c>
      <c r="Y263" s="8">
        <f t="shared" si="468"/>
        <v>0</v>
      </c>
      <c r="Z263" s="8">
        <f t="shared" si="468"/>
        <v>0</v>
      </c>
      <c r="AA263" s="8">
        <f t="shared" si="468"/>
        <v>0</v>
      </c>
      <c r="AB263" s="8">
        <f t="shared" si="468"/>
        <v>0</v>
      </c>
      <c r="AC263" s="8">
        <f t="shared" si="468"/>
        <v>0</v>
      </c>
      <c r="AD263" s="8">
        <f t="shared" si="468"/>
        <v>0</v>
      </c>
      <c r="AE263" s="8">
        <f t="shared" si="468"/>
        <v>0</v>
      </c>
      <c r="AF263" s="8">
        <f t="shared" si="468"/>
        <v>0</v>
      </c>
      <c r="AG263" s="9">
        <f t="shared" si="468"/>
        <v>0</v>
      </c>
      <c r="AH263" s="9">
        <f t="shared" si="468"/>
        <v>0</v>
      </c>
      <c r="AI263" s="9">
        <f t="shared" si="468"/>
        <v>0</v>
      </c>
      <c r="AJ263" s="9">
        <f t="shared" si="468"/>
        <v>0</v>
      </c>
      <c r="AK263" s="9">
        <f t="shared" si="468"/>
        <v>0</v>
      </c>
      <c r="AL263" s="9">
        <f t="shared" si="468"/>
        <v>0</v>
      </c>
      <c r="AM263" s="9">
        <f t="shared" si="468"/>
        <v>0</v>
      </c>
      <c r="AN263" s="74">
        <f t="shared" si="468"/>
        <v>0</v>
      </c>
      <c r="AO263" s="270">
        <f t="shared" si="468"/>
        <v>3414049</v>
      </c>
      <c r="AP263" s="8">
        <f t="shared" si="468"/>
        <v>2449135</v>
      </c>
      <c r="AQ263" s="38">
        <f t="shared" si="468"/>
        <v>50000</v>
      </c>
      <c r="AR263" s="38">
        <f t="shared" si="468"/>
        <v>0</v>
      </c>
      <c r="AS263" s="8">
        <f t="shared" si="468"/>
        <v>844707</v>
      </c>
      <c r="AT263" s="8">
        <f t="shared" si="468"/>
        <v>48983</v>
      </c>
      <c r="AU263" s="8">
        <f t="shared" si="468"/>
        <v>21224</v>
      </c>
      <c r="AV263" s="9">
        <f t="shared" si="468"/>
        <v>6.2797999999999998</v>
      </c>
      <c r="AW263" s="9">
        <f t="shared" si="468"/>
        <v>4</v>
      </c>
      <c r="AX263" s="74">
        <f t="shared" si="468"/>
        <v>2.2798000000000003</v>
      </c>
    </row>
    <row r="264" spans="1:50" s="695" customFormat="1" ht="12.75" customHeight="1" x14ac:dyDescent="0.2">
      <c r="A264" s="720">
        <v>48</v>
      </c>
      <c r="B264" s="721">
        <v>4462</v>
      </c>
      <c r="C264" s="721">
        <v>600074676</v>
      </c>
      <c r="D264" s="721">
        <v>70982660</v>
      </c>
      <c r="E264" s="722" t="s">
        <v>244</v>
      </c>
      <c r="F264" s="721">
        <v>3117</v>
      </c>
      <c r="G264" s="531" t="s">
        <v>320</v>
      </c>
      <c r="H264" s="767" t="s">
        <v>283</v>
      </c>
      <c r="I264" s="495">
        <v>2126335</v>
      </c>
      <c r="J264" s="496">
        <v>1573840</v>
      </c>
      <c r="K264" s="496">
        <v>17516</v>
      </c>
      <c r="L264" s="496">
        <v>2516</v>
      </c>
      <c r="M264" s="496">
        <v>457225</v>
      </c>
      <c r="N264" s="496">
        <v>26754</v>
      </c>
      <c r="O264" s="496">
        <v>51000</v>
      </c>
      <c r="P264" s="497">
        <v>2.8123000000000005</v>
      </c>
      <c r="Q264" s="412">
        <v>1.8200000000000003</v>
      </c>
      <c r="R264" s="764">
        <v>0.99230000000000018</v>
      </c>
      <c r="S264" s="530">
        <f t="shared" ref="S264:S268" si="469">W264*-1</f>
        <v>0</v>
      </c>
      <c r="T264" s="486">
        <v>0</v>
      </c>
      <c r="U264" s="486">
        <v>0</v>
      </c>
      <c r="V264" s="486">
        <f>SUM(S264:U264)</f>
        <v>0</v>
      </c>
      <c r="W264" s="486">
        <v>0</v>
      </c>
      <c r="X264" s="486">
        <v>0</v>
      </c>
      <c r="Y264" s="486">
        <f>SUM(W264:X264)</f>
        <v>0</v>
      </c>
      <c r="Z264" s="486">
        <f>V264+Y264</f>
        <v>0</v>
      </c>
      <c r="AA264" s="319">
        <f>ROUND((V264+W264)*33.8%,0)</f>
        <v>0</v>
      </c>
      <c r="AB264" s="178">
        <f>ROUND(V264*2%,0)</f>
        <v>0</v>
      </c>
      <c r="AC264" s="486">
        <v>0</v>
      </c>
      <c r="AD264" s="486">
        <v>0</v>
      </c>
      <c r="AE264" s="486">
        <f t="shared" si="359"/>
        <v>0</v>
      </c>
      <c r="AF264" s="486">
        <f t="shared" si="360"/>
        <v>0</v>
      </c>
      <c r="AG264" s="501">
        <v>0</v>
      </c>
      <c r="AH264" s="501">
        <v>0</v>
      </c>
      <c r="AI264" s="501">
        <v>0</v>
      </c>
      <c r="AJ264" s="501">
        <v>0</v>
      </c>
      <c r="AK264" s="501">
        <v>0</v>
      </c>
      <c r="AL264" s="501">
        <f t="shared" ref="AL264:AL268" si="470">AG264+AI264+AJ264</f>
        <v>0</v>
      </c>
      <c r="AM264" s="501">
        <f t="shared" ref="AM264:AM268" si="471">AH264+AK264</f>
        <v>0</v>
      </c>
      <c r="AN264" s="502">
        <f t="shared" si="361"/>
        <v>0</v>
      </c>
      <c r="AO264" s="499">
        <f>I264+AF264</f>
        <v>2126335</v>
      </c>
      <c r="AP264" s="486">
        <f>J264+V264</f>
        <v>1573840</v>
      </c>
      <c r="AQ264" s="486">
        <f>K264+Y264</f>
        <v>17516</v>
      </c>
      <c r="AR264" s="486">
        <f>L264</f>
        <v>2516</v>
      </c>
      <c r="AS264" s="486">
        <f t="shared" ref="AS264:AT268" si="472">M264+AA264</f>
        <v>457225</v>
      </c>
      <c r="AT264" s="486">
        <f t="shared" si="472"/>
        <v>26754</v>
      </c>
      <c r="AU264" s="486">
        <f>O264+AE264</f>
        <v>51000</v>
      </c>
      <c r="AV264" s="501">
        <f>P264+AN264</f>
        <v>2.8123000000000005</v>
      </c>
      <c r="AW264" s="501">
        <f t="shared" ref="AW264:AX268" si="473">Q264+AL264</f>
        <v>1.8200000000000003</v>
      </c>
      <c r="AX264" s="502">
        <f t="shared" si="473"/>
        <v>0.99230000000000018</v>
      </c>
    </row>
    <row r="265" spans="1:50" s="695" customFormat="1" ht="12.75" customHeight="1" x14ac:dyDescent="0.2">
      <c r="A265" s="720">
        <v>48</v>
      </c>
      <c r="B265" s="721">
        <v>4462</v>
      </c>
      <c r="C265" s="721">
        <v>600074676</v>
      </c>
      <c r="D265" s="721">
        <v>70982660</v>
      </c>
      <c r="E265" s="722" t="s">
        <v>244</v>
      </c>
      <c r="F265" s="721">
        <v>3117</v>
      </c>
      <c r="G265" s="531" t="s">
        <v>318</v>
      </c>
      <c r="H265" s="767" t="s">
        <v>284</v>
      </c>
      <c r="I265" s="495">
        <v>535255</v>
      </c>
      <c r="J265" s="496">
        <v>394149</v>
      </c>
      <c r="K265" s="475">
        <v>0</v>
      </c>
      <c r="L265" s="475">
        <v>0</v>
      </c>
      <c r="M265" s="319">
        <v>133223</v>
      </c>
      <c r="N265" s="319">
        <v>7883</v>
      </c>
      <c r="O265" s="496">
        <v>0</v>
      </c>
      <c r="P265" s="497">
        <v>1.1400000000000001</v>
      </c>
      <c r="Q265" s="412">
        <v>1.1400000000000001</v>
      </c>
      <c r="R265" s="764">
        <v>0</v>
      </c>
      <c r="S265" s="530">
        <f t="shared" si="469"/>
        <v>0</v>
      </c>
      <c r="T265" s="486">
        <v>0</v>
      </c>
      <c r="U265" s="486">
        <v>0</v>
      </c>
      <c r="V265" s="486">
        <f>SUM(S265:U265)</f>
        <v>0</v>
      </c>
      <c r="W265" s="486">
        <v>0</v>
      </c>
      <c r="X265" s="486">
        <v>0</v>
      </c>
      <c r="Y265" s="486">
        <f>SUM(W265:X265)</f>
        <v>0</v>
      </c>
      <c r="Z265" s="486">
        <f>V265+Y265</f>
        <v>0</v>
      </c>
      <c r="AA265" s="319">
        <f>ROUND((V265+W265)*33.8%,0)</f>
        <v>0</v>
      </c>
      <c r="AB265" s="178">
        <f>ROUND(V265*2%,0)</f>
        <v>0</v>
      </c>
      <c r="AC265" s="486">
        <v>0</v>
      </c>
      <c r="AD265" s="486">
        <v>0</v>
      </c>
      <c r="AE265" s="486">
        <f t="shared" si="359"/>
        <v>0</v>
      </c>
      <c r="AF265" s="486">
        <f t="shared" si="360"/>
        <v>0</v>
      </c>
      <c r="AG265" s="501">
        <v>0</v>
      </c>
      <c r="AH265" s="501">
        <v>0</v>
      </c>
      <c r="AI265" s="501">
        <v>0</v>
      </c>
      <c r="AJ265" s="501">
        <v>0</v>
      </c>
      <c r="AK265" s="501">
        <v>0</v>
      </c>
      <c r="AL265" s="501">
        <f t="shared" si="470"/>
        <v>0</v>
      </c>
      <c r="AM265" s="501">
        <f t="shared" si="471"/>
        <v>0</v>
      </c>
      <c r="AN265" s="502">
        <f t="shared" si="361"/>
        <v>0</v>
      </c>
      <c r="AO265" s="499">
        <f>I265+AF265</f>
        <v>535255</v>
      </c>
      <c r="AP265" s="486">
        <f>J265+V265</f>
        <v>394149</v>
      </c>
      <c r="AQ265" s="486">
        <f>K265+Y265</f>
        <v>0</v>
      </c>
      <c r="AR265" s="486">
        <f>L265</f>
        <v>0</v>
      </c>
      <c r="AS265" s="486">
        <f t="shared" si="472"/>
        <v>133223</v>
      </c>
      <c r="AT265" s="486">
        <f t="shared" si="472"/>
        <v>7883</v>
      </c>
      <c r="AU265" s="486">
        <f>O265+AE265</f>
        <v>0</v>
      </c>
      <c r="AV265" s="501">
        <f>P265+AN265</f>
        <v>1.1400000000000001</v>
      </c>
      <c r="AW265" s="501">
        <f t="shared" si="473"/>
        <v>1.1400000000000001</v>
      </c>
      <c r="AX265" s="502">
        <f t="shared" si="473"/>
        <v>0</v>
      </c>
    </row>
    <row r="266" spans="1:50" s="695" customFormat="1" ht="12.75" customHeight="1" x14ac:dyDescent="0.2">
      <c r="A266" s="720">
        <v>48</v>
      </c>
      <c r="B266" s="721">
        <v>4462</v>
      </c>
      <c r="C266" s="721">
        <v>600074676</v>
      </c>
      <c r="D266" s="721">
        <v>70982660</v>
      </c>
      <c r="E266" s="722" t="s">
        <v>243</v>
      </c>
      <c r="F266" s="721">
        <v>3141</v>
      </c>
      <c r="G266" s="531" t="s">
        <v>321</v>
      </c>
      <c r="H266" s="767" t="s">
        <v>284</v>
      </c>
      <c r="I266" s="495">
        <v>64615</v>
      </c>
      <c r="J266" s="496">
        <v>47105</v>
      </c>
      <c r="K266" s="475">
        <v>0</v>
      </c>
      <c r="L266" s="475">
        <v>0</v>
      </c>
      <c r="M266" s="319">
        <v>15922</v>
      </c>
      <c r="N266" s="319">
        <v>942</v>
      </c>
      <c r="O266" s="496">
        <v>646</v>
      </c>
      <c r="P266" s="497">
        <v>0.16</v>
      </c>
      <c r="Q266" s="412">
        <v>0</v>
      </c>
      <c r="R266" s="764">
        <v>0.16</v>
      </c>
      <c r="S266" s="530">
        <f t="shared" si="469"/>
        <v>0</v>
      </c>
      <c r="T266" s="486">
        <v>0</v>
      </c>
      <c r="U266" s="486">
        <v>0</v>
      </c>
      <c r="V266" s="486">
        <f>SUM(S266:U266)</f>
        <v>0</v>
      </c>
      <c r="W266" s="486">
        <v>0</v>
      </c>
      <c r="X266" s="486">
        <v>0</v>
      </c>
      <c r="Y266" s="486">
        <f>SUM(W266:X266)</f>
        <v>0</v>
      </c>
      <c r="Z266" s="486">
        <f>V266+Y266</f>
        <v>0</v>
      </c>
      <c r="AA266" s="319">
        <f>ROUND((V266+W266)*33.8%,0)</f>
        <v>0</v>
      </c>
      <c r="AB266" s="178">
        <f>ROUND(V266*2%,0)</f>
        <v>0</v>
      </c>
      <c r="AC266" s="486">
        <v>0</v>
      </c>
      <c r="AD266" s="486">
        <v>0</v>
      </c>
      <c r="AE266" s="486">
        <f t="shared" si="359"/>
        <v>0</v>
      </c>
      <c r="AF266" s="486">
        <f t="shared" si="360"/>
        <v>0</v>
      </c>
      <c r="AG266" s="501">
        <v>0</v>
      </c>
      <c r="AH266" s="501">
        <v>0</v>
      </c>
      <c r="AI266" s="501">
        <v>0</v>
      </c>
      <c r="AJ266" s="501">
        <v>0</v>
      </c>
      <c r="AK266" s="501">
        <v>0</v>
      </c>
      <c r="AL266" s="501">
        <f t="shared" si="470"/>
        <v>0</v>
      </c>
      <c r="AM266" s="501">
        <f t="shared" si="471"/>
        <v>0</v>
      </c>
      <c r="AN266" s="502">
        <f t="shared" si="361"/>
        <v>0</v>
      </c>
      <c r="AO266" s="499">
        <f>I266+AF266</f>
        <v>64615</v>
      </c>
      <c r="AP266" s="486">
        <f>J266+V266</f>
        <v>47105</v>
      </c>
      <c r="AQ266" s="486">
        <f>K266+Y266</f>
        <v>0</v>
      </c>
      <c r="AR266" s="486">
        <f>L266</f>
        <v>0</v>
      </c>
      <c r="AS266" s="486">
        <f t="shared" si="472"/>
        <v>15922</v>
      </c>
      <c r="AT266" s="486">
        <f t="shared" si="472"/>
        <v>942</v>
      </c>
      <c r="AU266" s="486">
        <f>O266+AE266</f>
        <v>646</v>
      </c>
      <c r="AV266" s="501">
        <f>P266+AN266</f>
        <v>0.16</v>
      </c>
      <c r="AW266" s="501">
        <f t="shared" si="473"/>
        <v>0</v>
      </c>
      <c r="AX266" s="502">
        <f t="shared" si="473"/>
        <v>0.16</v>
      </c>
    </row>
    <row r="267" spans="1:50" s="695" customFormat="1" ht="12.75" customHeight="1" x14ac:dyDescent="0.2">
      <c r="A267" s="720">
        <v>48</v>
      </c>
      <c r="B267" s="721">
        <v>4462</v>
      </c>
      <c r="C267" s="721">
        <v>600074676</v>
      </c>
      <c r="D267" s="721">
        <v>70982660</v>
      </c>
      <c r="E267" s="712" t="s">
        <v>243</v>
      </c>
      <c r="F267" s="721">
        <v>3143</v>
      </c>
      <c r="G267" s="531" t="s">
        <v>634</v>
      </c>
      <c r="H267" s="701" t="s">
        <v>283</v>
      </c>
      <c r="I267" s="495">
        <v>649778</v>
      </c>
      <c r="J267" s="496">
        <v>416239</v>
      </c>
      <c r="K267" s="496">
        <v>0</v>
      </c>
      <c r="L267" s="496">
        <v>0</v>
      </c>
      <c r="M267" s="496">
        <v>220492</v>
      </c>
      <c r="N267" s="496">
        <v>13047</v>
      </c>
      <c r="O267" s="496">
        <v>0</v>
      </c>
      <c r="P267" s="497">
        <v>0.98219999999999996</v>
      </c>
      <c r="Q267" s="412">
        <v>0.98219999999999996</v>
      </c>
      <c r="R267" s="764">
        <v>0</v>
      </c>
      <c r="S267" s="530">
        <f t="shared" si="469"/>
        <v>0</v>
      </c>
      <c r="T267" s="486">
        <v>0</v>
      </c>
      <c r="U267" s="486">
        <v>0</v>
      </c>
      <c r="V267" s="486">
        <f>SUM(S267:U267)</f>
        <v>0</v>
      </c>
      <c r="W267" s="486">
        <v>0</v>
      </c>
      <c r="X267" s="486">
        <v>0</v>
      </c>
      <c r="Y267" s="486">
        <f>SUM(W267:X267)</f>
        <v>0</v>
      </c>
      <c r="Z267" s="486">
        <f>V267+Y267</f>
        <v>0</v>
      </c>
      <c r="AA267" s="319">
        <f>ROUND((V267+W267)*33.8%,0)</f>
        <v>0</v>
      </c>
      <c r="AB267" s="178">
        <f>ROUND(V267*2%,0)</f>
        <v>0</v>
      </c>
      <c r="AC267" s="486">
        <v>0</v>
      </c>
      <c r="AD267" s="486">
        <v>0</v>
      </c>
      <c r="AE267" s="486">
        <f t="shared" si="359"/>
        <v>0</v>
      </c>
      <c r="AF267" s="486">
        <f t="shared" si="360"/>
        <v>0</v>
      </c>
      <c r="AG267" s="501">
        <v>0</v>
      </c>
      <c r="AH267" s="501">
        <v>0</v>
      </c>
      <c r="AI267" s="501">
        <v>0</v>
      </c>
      <c r="AJ267" s="501">
        <v>0</v>
      </c>
      <c r="AK267" s="501">
        <v>0</v>
      </c>
      <c r="AL267" s="501">
        <f t="shared" si="470"/>
        <v>0</v>
      </c>
      <c r="AM267" s="501">
        <f t="shared" si="471"/>
        <v>0</v>
      </c>
      <c r="AN267" s="502">
        <f t="shared" si="361"/>
        <v>0</v>
      </c>
      <c r="AO267" s="499">
        <f>I267+AF267</f>
        <v>649778</v>
      </c>
      <c r="AP267" s="486">
        <f>J267+V267</f>
        <v>416239</v>
      </c>
      <c r="AQ267" s="486">
        <f>K267+Y267</f>
        <v>0</v>
      </c>
      <c r="AR267" s="486">
        <f>L267</f>
        <v>0</v>
      </c>
      <c r="AS267" s="486">
        <f t="shared" si="472"/>
        <v>220492</v>
      </c>
      <c r="AT267" s="486">
        <f t="shared" si="472"/>
        <v>13047</v>
      </c>
      <c r="AU267" s="486">
        <f>O267+AE267</f>
        <v>0</v>
      </c>
      <c r="AV267" s="501">
        <f>P267+AN267</f>
        <v>0.98219999999999996</v>
      </c>
      <c r="AW267" s="501">
        <f t="shared" si="473"/>
        <v>0.98219999999999996</v>
      </c>
      <c r="AX267" s="502">
        <f t="shared" si="473"/>
        <v>0</v>
      </c>
    </row>
    <row r="268" spans="1:50" s="695" customFormat="1" ht="12.75" customHeight="1" x14ac:dyDescent="0.2">
      <c r="A268" s="720">
        <v>48</v>
      </c>
      <c r="B268" s="721">
        <v>4462</v>
      </c>
      <c r="C268" s="721">
        <v>600074676</v>
      </c>
      <c r="D268" s="721">
        <v>70982660</v>
      </c>
      <c r="E268" s="712" t="s">
        <v>243</v>
      </c>
      <c r="F268" s="721">
        <v>3143</v>
      </c>
      <c r="G268" s="531" t="s">
        <v>635</v>
      </c>
      <c r="H268" s="701" t="s">
        <v>284</v>
      </c>
      <c r="I268" s="495">
        <v>11937</v>
      </c>
      <c r="J268" s="496">
        <v>8415</v>
      </c>
      <c r="K268" s="475">
        <v>0</v>
      </c>
      <c r="L268" s="475">
        <v>0</v>
      </c>
      <c r="M268" s="319">
        <v>2844</v>
      </c>
      <c r="N268" s="319">
        <v>168</v>
      </c>
      <c r="O268" s="496">
        <v>510</v>
      </c>
      <c r="P268" s="497">
        <v>0.04</v>
      </c>
      <c r="Q268" s="412">
        <v>0</v>
      </c>
      <c r="R268" s="764">
        <v>0.04</v>
      </c>
      <c r="S268" s="530">
        <f t="shared" si="469"/>
        <v>0</v>
      </c>
      <c r="T268" s="486">
        <v>0</v>
      </c>
      <c r="U268" s="486">
        <v>0</v>
      </c>
      <c r="V268" s="486">
        <f>SUM(S268:U268)</f>
        <v>0</v>
      </c>
      <c r="W268" s="486">
        <v>0</v>
      </c>
      <c r="X268" s="486">
        <v>0</v>
      </c>
      <c r="Y268" s="486">
        <f>SUM(W268:X268)</f>
        <v>0</v>
      </c>
      <c r="Z268" s="486">
        <f>V268+Y268</f>
        <v>0</v>
      </c>
      <c r="AA268" s="319">
        <f>ROUND((V268+W268)*33.8%,0)</f>
        <v>0</v>
      </c>
      <c r="AB268" s="178">
        <f>ROUND(V268*2%,0)</f>
        <v>0</v>
      </c>
      <c r="AC268" s="486">
        <v>0</v>
      </c>
      <c r="AD268" s="486">
        <v>0</v>
      </c>
      <c r="AE268" s="486">
        <f t="shared" si="359"/>
        <v>0</v>
      </c>
      <c r="AF268" s="486">
        <f t="shared" si="360"/>
        <v>0</v>
      </c>
      <c r="AG268" s="501">
        <v>0</v>
      </c>
      <c r="AH268" s="501">
        <v>0</v>
      </c>
      <c r="AI268" s="501">
        <v>0</v>
      </c>
      <c r="AJ268" s="501">
        <v>0</v>
      </c>
      <c r="AK268" s="501">
        <v>0</v>
      </c>
      <c r="AL268" s="501">
        <f t="shared" si="470"/>
        <v>0</v>
      </c>
      <c r="AM268" s="501">
        <f t="shared" si="471"/>
        <v>0</v>
      </c>
      <c r="AN268" s="502">
        <f t="shared" si="361"/>
        <v>0</v>
      </c>
      <c r="AO268" s="499">
        <f>I268+AF268</f>
        <v>11937</v>
      </c>
      <c r="AP268" s="486">
        <f>J268+V268</f>
        <v>8415</v>
      </c>
      <c r="AQ268" s="486">
        <f>K268+Y268</f>
        <v>0</v>
      </c>
      <c r="AR268" s="486">
        <f>L268</f>
        <v>0</v>
      </c>
      <c r="AS268" s="486">
        <f t="shared" si="472"/>
        <v>2844</v>
      </c>
      <c r="AT268" s="486">
        <f t="shared" si="472"/>
        <v>168</v>
      </c>
      <c r="AU268" s="486">
        <f>O268+AE268</f>
        <v>510</v>
      </c>
      <c r="AV268" s="501">
        <f>P268+AN268</f>
        <v>0.04</v>
      </c>
      <c r="AW268" s="501">
        <f t="shared" si="473"/>
        <v>0</v>
      </c>
      <c r="AX268" s="502">
        <f t="shared" si="473"/>
        <v>0.04</v>
      </c>
    </row>
    <row r="269" spans="1:50" s="695" customFormat="1" ht="12.75" customHeight="1" x14ac:dyDescent="0.2">
      <c r="A269" s="282">
        <v>48</v>
      </c>
      <c r="B269" s="27">
        <v>4462</v>
      </c>
      <c r="C269" s="27">
        <v>600074676</v>
      </c>
      <c r="D269" s="27">
        <v>70982660</v>
      </c>
      <c r="E269" s="292" t="s">
        <v>245</v>
      </c>
      <c r="F269" s="27"/>
      <c r="G269" s="281"/>
      <c r="H269" s="377"/>
      <c r="I269" s="5">
        <v>3387920</v>
      </c>
      <c r="J269" s="8">
        <v>2439748</v>
      </c>
      <c r="K269" s="8">
        <v>17516</v>
      </c>
      <c r="L269" s="8">
        <v>2516</v>
      </c>
      <c r="M269" s="8">
        <v>829706</v>
      </c>
      <c r="N269" s="8">
        <v>48794</v>
      </c>
      <c r="O269" s="8">
        <v>52156</v>
      </c>
      <c r="P269" s="9">
        <v>5.1345000000000001</v>
      </c>
      <c r="Q269" s="9">
        <v>3.9422000000000006</v>
      </c>
      <c r="R269" s="33">
        <v>1.1923000000000001</v>
      </c>
      <c r="S269" s="5">
        <f t="shared" ref="S269:AX269" si="474">SUM(S264:S268)</f>
        <v>0</v>
      </c>
      <c r="T269" s="8">
        <f t="shared" si="474"/>
        <v>0</v>
      </c>
      <c r="U269" s="8">
        <f t="shared" si="474"/>
        <v>0</v>
      </c>
      <c r="V269" s="8">
        <f t="shared" si="474"/>
        <v>0</v>
      </c>
      <c r="W269" s="8">
        <f t="shared" si="474"/>
        <v>0</v>
      </c>
      <c r="X269" s="8">
        <f t="shared" si="474"/>
        <v>0</v>
      </c>
      <c r="Y269" s="8">
        <f t="shared" si="474"/>
        <v>0</v>
      </c>
      <c r="Z269" s="8">
        <f t="shared" si="474"/>
        <v>0</v>
      </c>
      <c r="AA269" s="8">
        <f t="shared" si="474"/>
        <v>0</v>
      </c>
      <c r="AB269" s="8">
        <f t="shared" si="474"/>
        <v>0</v>
      </c>
      <c r="AC269" s="8">
        <f t="shared" si="474"/>
        <v>0</v>
      </c>
      <c r="AD269" s="8">
        <f t="shared" si="474"/>
        <v>0</v>
      </c>
      <c r="AE269" s="8">
        <f t="shared" si="474"/>
        <v>0</v>
      </c>
      <c r="AF269" s="8">
        <f t="shared" si="474"/>
        <v>0</v>
      </c>
      <c r="AG269" s="9">
        <f t="shared" si="474"/>
        <v>0</v>
      </c>
      <c r="AH269" s="9">
        <f t="shared" si="474"/>
        <v>0</v>
      </c>
      <c r="AI269" s="9">
        <f t="shared" si="474"/>
        <v>0</v>
      </c>
      <c r="AJ269" s="9">
        <f t="shared" si="474"/>
        <v>0</v>
      </c>
      <c r="AK269" s="9">
        <f t="shared" si="474"/>
        <v>0</v>
      </c>
      <c r="AL269" s="9">
        <f t="shared" si="474"/>
        <v>0</v>
      </c>
      <c r="AM269" s="9">
        <f t="shared" si="474"/>
        <v>0</v>
      </c>
      <c r="AN269" s="74">
        <f t="shared" si="474"/>
        <v>0</v>
      </c>
      <c r="AO269" s="270">
        <f t="shared" si="474"/>
        <v>3387920</v>
      </c>
      <c r="AP269" s="8">
        <f t="shared" si="474"/>
        <v>2439748</v>
      </c>
      <c r="AQ269" s="38">
        <f t="shared" si="474"/>
        <v>17516</v>
      </c>
      <c r="AR269" s="38">
        <f t="shared" si="474"/>
        <v>2516</v>
      </c>
      <c r="AS269" s="8">
        <f t="shared" si="474"/>
        <v>829706</v>
      </c>
      <c r="AT269" s="8">
        <f t="shared" si="474"/>
        <v>48794</v>
      </c>
      <c r="AU269" s="8">
        <f t="shared" si="474"/>
        <v>52156</v>
      </c>
      <c r="AV269" s="9">
        <f t="shared" si="474"/>
        <v>5.1345000000000001</v>
      </c>
      <c r="AW269" s="9">
        <f t="shared" si="474"/>
        <v>3.9422000000000006</v>
      </c>
      <c r="AX269" s="74">
        <f t="shared" si="474"/>
        <v>1.1923000000000001</v>
      </c>
    </row>
    <row r="270" spans="1:50" s="695" customFormat="1" ht="12.75" customHeight="1" x14ac:dyDescent="0.2">
      <c r="A270" s="720">
        <v>49</v>
      </c>
      <c r="B270" s="721">
        <v>4490</v>
      </c>
      <c r="C270" s="721">
        <v>600074692</v>
      </c>
      <c r="D270" s="721">
        <v>72745088</v>
      </c>
      <c r="E270" s="722" t="s">
        <v>246</v>
      </c>
      <c r="F270" s="721">
        <v>3111</v>
      </c>
      <c r="G270" s="531" t="s">
        <v>317</v>
      </c>
      <c r="H270" s="767" t="s">
        <v>283</v>
      </c>
      <c r="I270" s="495">
        <v>1115314</v>
      </c>
      <c r="J270" s="496">
        <v>871275</v>
      </c>
      <c r="K270" s="496">
        <v>0</v>
      </c>
      <c r="L270" s="496">
        <v>0</v>
      </c>
      <c r="M270" s="496">
        <v>220492</v>
      </c>
      <c r="N270" s="496">
        <v>13047</v>
      </c>
      <c r="O270" s="496">
        <v>10500</v>
      </c>
      <c r="P270" s="497">
        <v>2.2673999999999999</v>
      </c>
      <c r="Q270" s="412">
        <v>1.8065</v>
      </c>
      <c r="R270" s="764">
        <v>0.46089999999999998</v>
      </c>
      <c r="S270" s="530">
        <f t="shared" ref="S270:S275" si="475">W270*-1</f>
        <v>0</v>
      </c>
      <c r="T270" s="486">
        <v>0</v>
      </c>
      <c r="U270" s="486">
        <v>0</v>
      </c>
      <c r="V270" s="486">
        <f t="shared" ref="V270:V275" si="476">SUM(S270:U270)</f>
        <v>0</v>
      </c>
      <c r="W270" s="486">
        <v>0</v>
      </c>
      <c r="X270" s="486">
        <v>0</v>
      </c>
      <c r="Y270" s="486">
        <f t="shared" ref="Y270:Y275" si="477">SUM(W270:X270)</f>
        <v>0</v>
      </c>
      <c r="Z270" s="486">
        <f t="shared" ref="Z270:Z275" si="478">V270+Y270</f>
        <v>0</v>
      </c>
      <c r="AA270" s="319">
        <f t="shared" ref="AA270:AA275" si="479">ROUND((V270+W270)*33.8%,0)</f>
        <v>0</v>
      </c>
      <c r="AB270" s="178">
        <f t="shared" ref="AB270:AB275" si="480">ROUND(V270*2%,0)</f>
        <v>0</v>
      </c>
      <c r="AC270" s="486">
        <v>0</v>
      </c>
      <c r="AD270" s="486">
        <v>0</v>
      </c>
      <c r="AE270" s="486">
        <f t="shared" si="359"/>
        <v>0</v>
      </c>
      <c r="AF270" s="486">
        <f t="shared" si="360"/>
        <v>0</v>
      </c>
      <c r="AG270" s="501">
        <v>0</v>
      </c>
      <c r="AH270" s="501">
        <v>0</v>
      </c>
      <c r="AI270" s="501">
        <v>0</v>
      </c>
      <c r="AJ270" s="501">
        <v>0</v>
      </c>
      <c r="AK270" s="501">
        <v>0</v>
      </c>
      <c r="AL270" s="501">
        <f t="shared" ref="AL270:AL275" si="481">AG270+AI270+AJ270</f>
        <v>0</v>
      </c>
      <c r="AM270" s="501">
        <f t="shared" ref="AM270:AM275" si="482">AH270+AK270</f>
        <v>0</v>
      </c>
      <c r="AN270" s="502">
        <f t="shared" si="361"/>
        <v>0</v>
      </c>
      <c r="AO270" s="499">
        <f t="shared" ref="AO270:AO275" si="483">I270+AF270</f>
        <v>1115314</v>
      </c>
      <c r="AP270" s="486">
        <f t="shared" ref="AP270:AP275" si="484">J270+V270</f>
        <v>871275</v>
      </c>
      <c r="AQ270" s="486">
        <f t="shared" ref="AQ270:AQ275" si="485">K270+Y270</f>
        <v>0</v>
      </c>
      <c r="AR270" s="486">
        <f t="shared" ref="AR270:AR275" si="486">L270</f>
        <v>0</v>
      </c>
      <c r="AS270" s="486">
        <f t="shared" ref="AS270:AT275" si="487">M270+AA270</f>
        <v>220492</v>
      </c>
      <c r="AT270" s="486">
        <f t="shared" si="487"/>
        <v>13047</v>
      </c>
      <c r="AU270" s="486">
        <f t="shared" ref="AU270:AU275" si="488">O270+AE270</f>
        <v>10500</v>
      </c>
      <c r="AV270" s="501">
        <f t="shared" ref="AV270:AV275" si="489">P270+AN270</f>
        <v>2.2673999999999999</v>
      </c>
      <c r="AW270" s="501">
        <f t="shared" ref="AW270:AX275" si="490">Q270+AL270</f>
        <v>1.8065</v>
      </c>
      <c r="AX270" s="502">
        <f t="shared" si="490"/>
        <v>0.46089999999999998</v>
      </c>
    </row>
    <row r="271" spans="1:50" s="695" customFormat="1" ht="12.75" customHeight="1" x14ac:dyDescent="0.2">
      <c r="A271" s="720">
        <v>49</v>
      </c>
      <c r="B271" s="721">
        <v>4490</v>
      </c>
      <c r="C271" s="721">
        <v>600074692</v>
      </c>
      <c r="D271" s="721">
        <v>72745088</v>
      </c>
      <c r="E271" s="722" t="s">
        <v>246</v>
      </c>
      <c r="F271" s="721">
        <v>3117</v>
      </c>
      <c r="G271" s="531" t="s">
        <v>320</v>
      </c>
      <c r="H271" s="767" t="s">
        <v>283</v>
      </c>
      <c r="I271" s="495">
        <v>2491231</v>
      </c>
      <c r="J271" s="496">
        <v>1779810</v>
      </c>
      <c r="K271" s="496">
        <v>13368</v>
      </c>
      <c r="L271" s="496">
        <v>2368</v>
      </c>
      <c r="M271" s="496">
        <v>613945</v>
      </c>
      <c r="N271" s="496">
        <v>36108</v>
      </c>
      <c r="O271" s="496">
        <v>48000</v>
      </c>
      <c r="P271" s="497">
        <v>3.7515000000000001</v>
      </c>
      <c r="Q271" s="412">
        <v>2.6364000000000001</v>
      </c>
      <c r="R271" s="764">
        <v>1.1151</v>
      </c>
      <c r="S271" s="530">
        <f t="shared" si="475"/>
        <v>0</v>
      </c>
      <c r="T271" s="486">
        <v>0</v>
      </c>
      <c r="U271" s="486">
        <v>0</v>
      </c>
      <c r="V271" s="486">
        <f t="shared" si="476"/>
        <v>0</v>
      </c>
      <c r="W271" s="486">
        <v>0</v>
      </c>
      <c r="X271" s="486">
        <v>0</v>
      </c>
      <c r="Y271" s="486">
        <f t="shared" si="477"/>
        <v>0</v>
      </c>
      <c r="Z271" s="486">
        <f t="shared" si="478"/>
        <v>0</v>
      </c>
      <c r="AA271" s="319">
        <f t="shared" si="479"/>
        <v>0</v>
      </c>
      <c r="AB271" s="178">
        <f t="shared" si="480"/>
        <v>0</v>
      </c>
      <c r="AC271" s="486">
        <v>0</v>
      </c>
      <c r="AD271" s="486">
        <v>0</v>
      </c>
      <c r="AE271" s="486">
        <f t="shared" si="359"/>
        <v>0</v>
      </c>
      <c r="AF271" s="486">
        <f t="shared" si="360"/>
        <v>0</v>
      </c>
      <c r="AG271" s="501">
        <v>0</v>
      </c>
      <c r="AH271" s="501">
        <v>0</v>
      </c>
      <c r="AI271" s="501">
        <v>0</v>
      </c>
      <c r="AJ271" s="501">
        <v>0</v>
      </c>
      <c r="AK271" s="501">
        <v>0</v>
      </c>
      <c r="AL271" s="501">
        <f t="shared" si="481"/>
        <v>0</v>
      </c>
      <c r="AM271" s="501">
        <f t="shared" si="482"/>
        <v>0</v>
      </c>
      <c r="AN271" s="502">
        <f t="shared" si="361"/>
        <v>0</v>
      </c>
      <c r="AO271" s="499">
        <f t="shared" si="483"/>
        <v>2491231</v>
      </c>
      <c r="AP271" s="486">
        <f t="shared" si="484"/>
        <v>1779810</v>
      </c>
      <c r="AQ271" s="486">
        <f t="shared" si="485"/>
        <v>13368</v>
      </c>
      <c r="AR271" s="486">
        <f t="shared" si="486"/>
        <v>2368</v>
      </c>
      <c r="AS271" s="486">
        <f t="shared" si="487"/>
        <v>613945</v>
      </c>
      <c r="AT271" s="486">
        <f t="shared" si="487"/>
        <v>36108</v>
      </c>
      <c r="AU271" s="486">
        <f t="shared" si="488"/>
        <v>48000</v>
      </c>
      <c r="AV271" s="501">
        <f t="shared" si="489"/>
        <v>3.7515000000000001</v>
      </c>
      <c r="AW271" s="501">
        <f t="shared" si="490"/>
        <v>2.6364000000000001</v>
      </c>
      <c r="AX271" s="502">
        <f t="shared" si="490"/>
        <v>1.1151</v>
      </c>
    </row>
    <row r="272" spans="1:50" s="695" customFormat="1" ht="12.75" customHeight="1" x14ac:dyDescent="0.2">
      <c r="A272" s="720">
        <v>49</v>
      </c>
      <c r="B272" s="721">
        <v>4490</v>
      </c>
      <c r="C272" s="721">
        <v>600074692</v>
      </c>
      <c r="D272" s="721">
        <v>72745088</v>
      </c>
      <c r="E272" s="722" t="s">
        <v>246</v>
      </c>
      <c r="F272" s="721">
        <v>3117</v>
      </c>
      <c r="G272" s="531" t="s">
        <v>318</v>
      </c>
      <c r="H272" s="767" t="s">
        <v>284</v>
      </c>
      <c r="I272" s="495">
        <v>2567</v>
      </c>
      <c r="J272" s="496">
        <v>1890</v>
      </c>
      <c r="K272" s="475">
        <v>0</v>
      </c>
      <c r="L272" s="475">
        <v>0</v>
      </c>
      <c r="M272" s="319">
        <v>639</v>
      </c>
      <c r="N272" s="319">
        <v>38</v>
      </c>
      <c r="O272" s="496">
        <v>0</v>
      </c>
      <c r="P272" s="497">
        <v>0</v>
      </c>
      <c r="Q272" s="412">
        <v>0</v>
      </c>
      <c r="R272" s="764">
        <v>0</v>
      </c>
      <c r="S272" s="530">
        <f t="shared" si="475"/>
        <v>0</v>
      </c>
      <c r="T272" s="486">
        <v>0</v>
      </c>
      <c r="U272" s="486">
        <v>0</v>
      </c>
      <c r="V272" s="486">
        <f t="shared" si="476"/>
        <v>0</v>
      </c>
      <c r="W272" s="486">
        <v>0</v>
      </c>
      <c r="X272" s="486">
        <v>0</v>
      </c>
      <c r="Y272" s="486">
        <f t="shared" si="477"/>
        <v>0</v>
      </c>
      <c r="Z272" s="486">
        <f t="shared" si="478"/>
        <v>0</v>
      </c>
      <c r="AA272" s="319">
        <f t="shared" si="479"/>
        <v>0</v>
      </c>
      <c r="AB272" s="178">
        <f t="shared" si="480"/>
        <v>0</v>
      </c>
      <c r="AC272" s="486">
        <v>0</v>
      </c>
      <c r="AD272" s="486">
        <v>0</v>
      </c>
      <c r="AE272" s="486">
        <f t="shared" ref="AE272:AE298" si="491">SUM(AC272:AD272)</f>
        <v>0</v>
      </c>
      <c r="AF272" s="486">
        <f t="shared" ref="AF272:AF298" si="492">Z272+AA272+AB272+AE272</f>
        <v>0</v>
      </c>
      <c r="AG272" s="501">
        <v>0</v>
      </c>
      <c r="AH272" s="501">
        <v>0</v>
      </c>
      <c r="AI272" s="501">
        <v>0</v>
      </c>
      <c r="AJ272" s="501">
        <v>0</v>
      </c>
      <c r="AK272" s="501">
        <v>0</v>
      </c>
      <c r="AL272" s="501">
        <f t="shared" si="481"/>
        <v>0</v>
      </c>
      <c r="AM272" s="501">
        <f t="shared" si="482"/>
        <v>0</v>
      </c>
      <c r="AN272" s="502">
        <f t="shared" ref="AN272:AN298" si="493">SUM(AL272:AM272)</f>
        <v>0</v>
      </c>
      <c r="AO272" s="499">
        <f t="shared" si="483"/>
        <v>2567</v>
      </c>
      <c r="AP272" s="486">
        <f t="shared" si="484"/>
        <v>1890</v>
      </c>
      <c r="AQ272" s="486">
        <f t="shared" si="485"/>
        <v>0</v>
      </c>
      <c r="AR272" s="486">
        <f t="shared" si="486"/>
        <v>0</v>
      </c>
      <c r="AS272" s="486">
        <f t="shared" si="487"/>
        <v>639</v>
      </c>
      <c r="AT272" s="486">
        <f t="shared" si="487"/>
        <v>38</v>
      </c>
      <c r="AU272" s="486">
        <f t="shared" si="488"/>
        <v>0</v>
      </c>
      <c r="AV272" s="501">
        <f t="shared" si="489"/>
        <v>0</v>
      </c>
      <c r="AW272" s="501">
        <f t="shared" si="490"/>
        <v>0</v>
      </c>
      <c r="AX272" s="502">
        <f t="shared" si="490"/>
        <v>0</v>
      </c>
    </row>
    <row r="273" spans="1:50" s="695" customFormat="1" ht="12.75" customHeight="1" x14ac:dyDescent="0.2">
      <c r="A273" s="720">
        <v>49</v>
      </c>
      <c r="B273" s="721">
        <v>4490</v>
      </c>
      <c r="C273" s="721">
        <v>600074692</v>
      </c>
      <c r="D273" s="721">
        <v>72745088</v>
      </c>
      <c r="E273" s="722" t="s">
        <v>246</v>
      </c>
      <c r="F273" s="721">
        <v>3141</v>
      </c>
      <c r="G273" s="531" t="s">
        <v>321</v>
      </c>
      <c r="H273" s="767" t="s">
        <v>284</v>
      </c>
      <c r="I273" s="495">
        <v>440516</v>
      </c>
      <c r="J273" s="496">
        <v>323062</v>
      </c>
      <c r="K273" s="475">
        <v>0</v>
      </c>
      <c r="L273" s="475">
        <v>0</v>
      </c>
      <c r="M273" s="319">
        <v>109195</v>
      </c>
      <c r="N273" s="319">
        <v>6461</v>
      </c>
      <c r="O273" s="496">
        <v>1798</v>
      </c>
      <c r="P273" s="497">
        <v>1.1000000000000001</v>
      </c>
      <c r="Q273" s="412">
        <v>0</v>
      </c>
      <c r="R273" s="764">
        <v>1.1000000000000001</v>
      </c>
      <c r="S273" s="530">
        <f t="shared" si="475"/>
        <v>0</v>
      </c>
      <c r="T273" s="486">
        <v>0</v>
      </c>
      <c r="U273" s="486">
        <v>0</v>
      </c>
      <c r="V273" s="486">
        <f t="shared" si="476"/>
        <v>0</v>
      </c>
      <c r="W273" s="486">
        <v>0</v>
      </c>
      <c r="X273" s="486">
        <v>0</v>
      </c>
      <c r="Y273" s="486">
        <f t="shared" si="477"/>
        <v>0</v>
      </c>
      <c r="Z273" s="486">
        <f t="shared" si="478"/>
        <v>0</v>
      </c>
      <c r="AA273" s="319">
        <f t="shared" si="479"/>
        <v>0</v>
      </c>
      <c r="AB273" s="178">
        <f t="shared" si="480"/>
        <v>0</v>
      </c>
      <c r="AC273" s="486">
        <v>0</v>
      </c>
      <c r="AD273" s="486">
        <v>0</v>
      </c>
      <c r="AE273" s="486">
        <f t="shared" si="491"/>
        <v>0</v>
      </c>
      <c r="AF273" s="486">
        <f t="shared" si="492"/>
        <v>0</v>
      </c>
      <c r="AG273" s="501">
        <v>0</v>
      </c>
      <c r="AH273" s="501">
        <v>0</v>
      </c>
      <c r="AI273" s="501">
        <v>0</v>
      </c>
      <c r="AJ273" s="501">
        <v>0</v>
      </c>
      <c r="AK273" s="501">
        <v>0</v>
      </c>
      <c r="AL273" s="501">
        <f t="shared" si="481"/>
        <v>0</v>
      </c>
      <c r="AM273" s="501">
        <f t="shared" si="482"/>
        <v>0</v>
      </c>
      <c r="AN273" s="502">
        <f t="shared" si="493"/>
        <v>0</v>
      </c>
      <c r="AO273" s="499">
        <f t="shared" si="483"/>
        <v>440516</v>
      </c>
      <c r="AP273" s="486">
        <f t="shared" si="484"/>
        <v>323062</v>
      </c>
      <c r="AQ273" s="486">
        <f t="shared" si="485"/>
        <v>0</v>
      </c>
      <c r="AR273" s="486">
        <f t="shared" si="486"/>
        <v>0</v>
      </c>
      <c r="AS273" s="486">
        <f t="shared" si="487"/>
        <v>109195</v>
      </c>
      <c r="AT273" s="486">
        <f t="shared" si="487"/>
        <v>6461</v>
      </c>
      <c r="AU273" s="486">
        <f t="shared" si="488"/>
        <v>1798</v>
      </c>
      <c r="AV273" s="501">
        <f t="shared" si="489"/>
        <v>1.1000000000000001</v>
      </c>
      <c r="AW273" s="501">
        <f t="shared" si="490"/>
        <v>0</v>
      </c>
      <c r="AX273" s="502">
        <f t="shared" si="490"/>
        <v>1.1000000000000001</v>
      </c>
    </row>
    <row r="274" spans="1:50" s="695" customFormat="1" ht="12.75" customHeight="1" x14ac:dyDescent="0.2">
      <c r="A274" s="720">
        <v>49</v>
      </c>
      <c r="B274" s="721">
        <v>4490</v>
      </c>
      <c r="C274" s="721">
        <v>600074692</v>
      </c>
      <c r="D274" s="721">
        <v>72745088</v>
      </c>
      <c r="E274" s="722" t="s">
        <v>246</v>
      </c>
      <c r="F274" s="721">
        <v>3143</v>
      </c>
      <c r="G274" s="531" t="s">
        <v>634</v>
      </c>
      <c r="H274" s="701" t="s">
        <v>283</v>
      </c>
      <c r="I274" s="495">
        <v>692545</v>
      </c>
      <c r="J274" s="496">
        <v>459006</v>
      </c>
      <c r="K274" s="496">
        <v>0</v>
      </c>
      <c r="L274" s="496">
        <v>0</v>
      </c>
      <c r="M274" s="496">
        <v>220492</v>
      </c>
      <c r="N274" s="496">
        <v>13047</v>
      </c>
      <c r="O274" s="496">
        <v>0</v>
      </c>
      <c r="P274" s="497">
        <v>1</v>
      </c>
      <c r="Q274" s="412">
        <v>1</v>
      </c>
      <c r="R274" s="764">
        <v>0</v>
      </c>
      <c r="S274" s="530">
        <f t="shared" si="475"/>
        <v>0</v>
      </c>
      <c r="T274" s="486">
        <v>0</v>
      </c>
      <c r="U274" s="486">
        <v>0</v>
      </c>
      <c r="V274" s="486">
        <f t="shared" si="476"/>
        <v>0</v>
      </c>
      <c r="W274" s="486">
        <v>0</v>
      </c>
      <c r="X274" s="486">
        <v>0</v>
      </c>
      <c r="Y274" s="486">
        <f t="shared" si="477"/>
        <v>0</v>
      </c>
      <c r="Z274" s="486">
        <f t="shared" si="478"/>
        <v>0</v>
      </c>
      <c r="AA274" s="319">
        <f t="shared" si="479"/>
        <v>0</v>
      </c>
      <c r="AB274" s="178">
        <f t="shared" si="480"/>
        <v>0</v>
      </c>
      <c r="AC274" s="486">
        <v>0</v>
      </c>
      <c r="AD274" s="486">
        <v>0</v>
      </c>
      <c r="AE274" s="486">
        <f t="shared" si="491"/>
        <v>0</v>
      </c>
      <c r="AF274" s="486">
        <f t="shared" si="492"/>
        <v>0</v>
      </c>
      <c r="AG274" s="501">
        <v>0</v>
      </c>
      <c r="AH274" s="501">
        <v>0</v>
      </c>
      <c r="AI274" s="501">
        <v>0</v>
      </c>
      <c r="AJ274" s="501">
        <v>0</v>
      </c>
      <c r="AK274" s="501">
        <v>0</v>
      </c>
      <c r="AL274" s="501">
        <f t="shared" si="481"/>
        <v>0</v>
      </c>
      <c r="AM274" s="501">
        <f t="shared" si="482"/>
        <v>0</v>
      </c>
      <c r="AN274" s="502">
        <f t="shared" si="493"/>
        <v>0</v>
      </c>
      <c r="AO274" s="499">
        <f t="shared" si="483"/>
        <v>692545</v>
      </c>
      <c r="AP274" s="486">
        <f t="shared" si="484"/>
        <v>459006</v>
      </c>
      <c r="AQ274" s="486">
        <f t="shared" si="485"/>
        <v>0</v>
      </c>
      <c r="AR274" s="486">
        <f t="shared" si="486"/>
        <v>0</v>
      </c>
      <c r="AS274" s="486">
        <f t="shared" si="487"/>
        <v>220492</v>
      </c>
      <c r="AT274" s="486">
        <f t="shared" si="487"/>
        <v>13047</v>
      </c>
      <c r="AU274" s="486">
        <f t="shared" si="488"/>
        <v>0</v>
      </c>
      <c r="AV274" s="501">
        <f t="shared" si="489"/>
        <v>1</v>
      </c>
      <c r="AW274" s="501">
        <f t="shared" si="490"/>
        <v>1</v>
      </c>
      <c r="AX274" s="502">
        <f t="shared" si="490"/>
        <v>0</v>
      </c>
    </row>
    <row r="275" spans="1:50" s="695" customFormat="1" ht="12.75" customHeight="1" x14ac:dyDescent="0.2">
      <c r="A275" s="720">
        <v>49</v>
      </c>
      <c r="B275" s="721">
        <v>4490</v>
      </c>
      <c r="C275" s="721">
        <v>600074692</v>
      </c>
      <c r="D275" s="721">
        <v>72745088</v>
      </c>
      <c r="E275" s="722" t="s">
        <v>246</v>
      </c>
      <c r="F275" s="721">
        <v>3143</v>
      </c>
      <c r="G275" s="531" t="s">
        <v>635</v>
      </c>
      <c r="H275" s="701" t="s">
        <v>284</v>
      </c>
      <c r="I275" s="495">
        <v>11235</v>
      </c>
      <c r="J275" s="496">
        <v>7920</v>
      </c>
      <c r="K275" s="475">
        <v>0</v>
      </c>
      <c r="L275" s="475">
        <v>0</v>
      </c>
      <c r="M275" s="319">
        <v>2677</v>
      </c>
      <c r="N275" s="319">
        <v>158</v>
      </c>
      <c r="O275" s="496">
        <v>480</v>
      </c>
      <c r="P275" s="497">
        <v>0.03</v>
      </c>
      <c r="Q275" s="412">
        <v>0</v>
      </c>
      <c r="R275" s="764">
        <v>0.03</v>
      </c>
      <c r="S275" s="530">
        <f t="shared" si="475"/>
        <v>0</v>
      </c>
      <c r="T275" s="486">
        <v>0</v>
      </c>
      <c r="U275" s="486">
        <v>0</v>
      </c>
      <c r="V275" s="486">
        <f t="shared" si="476"/>
        <v>0</v>
      </c>
      <c r="W275" s="486">
        <v>0</v>
      </c>
      <c r="X275" s="486">
        <v>0</v>
      </c>
      <c r="Y275" s="486">
        <f t="shared" si="477"/>
        <v>0</v>
      </c>
      <c r="Z275" s="486">
        <f t="shared" si="478"/>
        <v>0</v>
      </c>
      <c r="AA275" s="319">
        <f t="shared" si="479"/>
        <v>0</v>
      </c>
      <c r="AB275" s="178">
        <f t="shared" si="480"/>
        <v>0</v>
      </c>
      <c r="AC275" s="486">
        <v>0</v>
      </c>
      <c r="AD275" s="486">
        <v>0</v>
      </c>
      <c r="AE275" s="486">
        <f t="shared" si="491"/>
        <v>0</v>
      </c>
      <c r="AF275" s="486">
        <f t="shared" si="492"/>
        <v>0</v>
      </c>
      <c r="AG275" s="501">
        <v>0</v>
      </c>
      <c r="AH275" s="501">
        <v>0</v>
      </c>
      <c r="AI275" s="501">
        <v>0</v>
      </c>
      <c r="AJ275" s="501">
        <v>0</v>
      </c>
      <c r="AK275" s="501">
        <v>0</v>
      </c>
      <c r="AL275" s="501">
        <f t="shared" si="481"/>
        <v>0</v>
      </c>
      <c r="AM275" s="501">
        <f t="shared" si="482"/>
        <v>0</v>
      </c>
      <c r="AN275" s="502">
        <f t="shared" si="493"/>
        <v>0</v>
      </c>
      <c r="AO275" s="499">
        <f t="shared" si="483"/>
        <v>11235</v>
      </c>
      <c r="AP275" s="486">
        <f t="shared" si="484"/>
        <v>7920</v>
      </c>
      <c r="AQ275" s="486">
        <f t="shared" si="485"/>
        <v>0</v>
      </c>
      <c r="AR275" s="486">
        <f t="shared" si="486"/>
        <v>0</v>
      </c>
      <c r="AS275" s="486">
        <f t="shared" si="487"/>
        <v>2677</v>
      </c>
      <c r="AT275" s="486">
        <f t="shared" si="487"/>
        <v>158</v>
      </c>
      <c r="AU275" s="486">
        <f t="shared" si="488"/>
        <v>480</v>
      </c>
      <c r="AV275" s="501">
        <f t="shared" si="489"/>
        <v>0.03</v>
      </c>
      <c r="AW275" s="501">
        <f t="shared" si="490"/>
        <v>0</v>
      </c>
      <c r="AX275" s="502">
        <f t="shared" si="490"/>
        <v>0.03</v>
      </c>
    </row>
    <row r="276" spans="1:50" s="695" customFormat="1" ht="12.75" customHeight="1" x14ac:dyDescent="0.2">
      <c r="A276" s="282">
        <v>49</v>
      </c>
      <c r="B276" s="27">
        <v>4490</v>
      </c>
      <c r="C276" s="27">
        <v>600074692</v>
      </c>
      <c r="D276" s="27">
        <v>72745088</v>
      </c>
      <c r="E276" s="292" t="s">
        <v>247</v>
      </c>
      <c r="F276" s="27"/>
      <c r="G276" s="281"/>
      <c r="H276" s="377"/>
      <c r="I276" s="6">
        <v>4753408</v>
      </c>
      <c r="J276" s="10">
        <v>3442963</v>
      </c>
      <c r="K276" s="10">
        <v>13368</v>
      </c>
      <c r="L276" s="10">
        <v>2368</v>
      </c>
      <c r="M276" s="10">
        <v>1167440</v>
      </c>
      <c r="N276" s="10">
        <v>68859</v>
      </c>
      <c r="O276" s="10">
        <v>60778</v>
      </c>
      <c r="P276" s="11">
        <v>8.1488999999999994</v>
      </c>
      <c r="Q276" s="11">
        <v>5.4428999999999998</v>
      </c>
      <c r="R276" s="32">
        <v>2.706</v>
      </c>
      <c r="S276" s="6">
        <f t="shared" ref="S276:AX276" si="494">SUM(S270:S275)</f>
        <v>0</v>
      </c>
      <c r="T276" s="10">
        <f t="shared" si="494"/>
        <v>0</v>
      </c>
      <c r="U276" s="10">
        <f t="shared" si="494"/>
        <v>0</v>
      </c>
      <c r="V276" s="10">
        <f t="shared" si="494"/>
        <v>0</v>
      </c>
      <c r="W276" s="10">
        <f t="shared" si="494"/>
        <v>0</v>
      </c>
      <c r="X276" s="10">
        <f t="shared" si="494"/>
        <v>0</v>
      </c>
      <c r="Y276" s="10">
        <f t="shared" si="494"/>
        <v>0</v>
      </c>
      <c r="Z276" s="10">
        <f t="shared" si="494"/>
        <v>0</v>
      </c>
      <c r="AA276" s="10">
        <f t="shared" si="494"/>
        <v>0</v>
      </c>
      <c r="AB276" s="10">
        <f t="shared" si="494"/>
        <v>0</v>
      </c>
      <c r="AC276" s="10">
        <f t="shared" si="494"/>
        <v>0</v>
      </c>
      <c r="AD276" s="10">
        <f t="shared" si="494"/>
        <v>0</v>
      </c>
      <c r="AE276" s="10">
        <f t="shared" si="494"/>
        <v>0</v>
      </c>
      <c r="AF276" s="10">
        <f t="shared" si="494"/>
        <v>0</v>
      </c>
      <c r="AG276" s="11">
        <f t="shared" si="494"/>
        <v>0</v>
      </c>
      <c r="AH276" s="11">
        <f t="shared" si="494"/>
        <v>0</v>
      </c>
      <c r="AI276" s="11">
        <f t="shared" si="494"/>
        <v>0</v>
      </c>
      <c r="AJ276" s="11">
        <f t="shared" si="494"/>
        <v>0</v>
      </c>
      <c r="AK276" s="11">
        <f t="shared" si="494"/>
        <v>0</v>
      </c>
      <c r="AL276" s="11">
        <f t="shared" si="494"/>
        <v>0</v>
      </c>
      <c r="AM276" s="11">
        <f t="shared" si="494"/>
        <v>0</v>
      </c>
      <c r="AN276" s="75">
        <f t="shared" si="494"/>
        <v>0</v>
      </c>
      <c r="AO276" s="271">
        <f t="shared" si="494"/>
        <v>4753408</v>
      </c>
      <c r="AP276" s="10">
        <f t="shared" si="494"/>
        <v>3442963</v>
      </c>
      <c r="AQ276" s="71">
        <f t="shared" si="494"/>
        <v>13368</v>
      </c>
      <c r="AR276" s="71">
        <f t="shared" si="494"/>
        <v>2368</v>
      </c>
      <c r="AS276" s="10">
        <f t="shared" si="494"/>
        <v>1167440</v>
      </c>
      <c r="AT276" s="10">
        <f t="shared" si="494"/>
        <v>68859</v>
      </c>
      <c r="AU276" s="10">
        <f t="shared" si="494"/>
        <v>60778</v>
      </c>
      <c r="AV276" s="11">
        <f t="shared" si="494"/>
        <v>8.1488999999999994</v>
      </c>
      <c r="AW276" s="11">
        <f t="shared" si="494"/>
        <v>5.4428999999999998</v>
      </c>
      <c r="AX276" s="75">
        <f t="shared" si="494"/>
        <v>2.706</v>
      </c>
    </row>
    <row r="277" spans="1:50" s="695" customFormat="1" ht="12.75" customHeight="1" x14ac:dyDescent="0.2">
      <c r="A277" s="720">
        <v>50</v>
      </c>
      <c r="B277" s="721">
        <v>4491</v>
      </c>
      <c r="C277" s="721">
        <v>650050517</v>
      </c>
      <c r="D277" s="721">
        <v>72742437</v>
      </c>
      <c r="E277" s="722" t="s">
        <v>248</v>
      </c>
      <c r="F277" s="721">
        <v>3111</v>
      </c>
      <c r="G277" s="531" t="s">
        <v>317</v>
      </c>
      <c r="H277" s="767" t="s">
        <v>283</v>
      </c>
      <c r="I277" s="495">
        <v>1403253</v>
      </c>
      <c r="J277" s="496">
        <v>1149554</v>
      </c>
      <c r="K277" s="496">
        <v>2000</v>
      </c>
      <c r="L277" s="496">
        <v>0</v>
      </c>
      <c r="M277" s="496">
        <v>220492</v>
      </c>
      <c r="N277" s="496">
        <v>13007</v>
      </c>
      <c r="O277" s="496">
        <v>18200</v>
      </c>
      <c r="P277" s="497">
        <v>2.5108999999999999</v>
      </c>
      <c r="Q277" s="412">
        <v>2</v>
      </c>
      <c r="R277" s="764">
        <v>0.51090000000000002</v>
      </c>
      <c r="S277" s="530">
        <f t="shared" ref="S277:S282" si="495">W277*-1</f>
        <v>0</v>
      </c>
      <c r="T277" s="486">
        <v>0</v>
      </c>
      <c r="U277" s="486">
        <v>0</v>
      </c>
      <c r="V277" s="486">
        <f t="shared" ref="V277:V282" si="496">SUM(S277:U277)</f>
        <v>0</v>
      </c>
      <c r="W277" s="486">
        <v>0</v>
      </c>
      <c r="X277" s="486">
        <v>0</v>
      </c>
      <c r="Y277" s="486">
        <f t="shared" ref="Y277:Y282" si="497">SUM(W277:X277)</f>
        <v>0</v>
      </c>
      <c r="Z277" s="486">
        <f t="shared" ref="Z277:Z282" si="498">V277+Y277</f>
        <v>0</v>
      </c>
      <c r="AA277" s="319">
        <f t="shared" ref="AA277:AA282" si="499">ROUND((V277+W277)*33.8%,0)</f>
        <v>0</v>
      </c>
      <c r="AB277" s="178">
        <f t="shared" ref="AB277:AB282" si="500">ROUND(V277*2%,0)</f>
        <v>0</v>
      </c>
      <c r="AC277" s="486">
        <v>0</v>
      </c>
      <c r="AD277" s="486">
        <v>0</v>
      </c>
      <c r="AE277" s="486">
        <f t="shared" si="491"/>
        <v>0</v>
      </c>
      <c r="AF277" s="486">
        <f t="shared" si="492"/>
        <v>0</v>
      </c>
      <c r="AG277" s="501">
        <v>0</v>
      </c>
      <c r="AH277" s="501">
        <v>0</v>
      </c>
      <c r="AI277" s="501">
        <v>0</v>
      </c>
      <c r="AJ277" s="501">
        <v>0</v>
      </c>
      <c r="AK277" s="501">
        <v>0</v>
      </c>
      <c r="AL277" s="501">
        <f t="shared" ref="AL277:AL282" si="501">AG277+AI277+AJ277</f>
        <v>0</v>
      </c>
      <c r="AM277" s="501">
        <f t="shared" ref="AM277:AM282" si="502">AH277+AK277</f>
        <v>0</v>
      </c>
      <c r="AN277" s="502">
        <f t="shared" si="493"/>
        <v>0</v>
      </c>
      <c r="AO277" s="499">
        <f t="shared" ref="AO277:AO282" si="503">I277+AF277</f>
        <v>1403253</v>
      </c>
      <c r="AP277" s="486">
        <f t="shared" ref="AP277:AP282" si="504">J277+V277</f>
        <v>1149554</v>
      </c>
      <c r="AQ277" s="486">
        <f t="shared" ref="AQ277:AQ282" si="505">K277+Y277</f>
        <v>2000</v>
      </c>
      <c r="AR277" s="486">
        <f t="shared" ref="AR277:AR282" si="506">L277</f>
        <v>0</v>
      </c>
      <c r="AS277" s="486">
        <f t="shared" ref="AS277:AT282" si="507">M277+AA277</f>
        <v>220492</v>
      </c>
      <c r="AT277" s="486">
        <f t="shared" si="507"/>
        <v>13007</v>
      </c>
      <c r="AU277" s="486">
        <f t="shared" ref="AU277:AU282" si="508">O277+AE277</f>
        <v>18200</v>
      </c>
      <c r="AV277" s="501">
        <f t="shared" ref="AV277:AV282" si="509">P277+AN277</f>
        <v>2.5108999999999999</v>
      </c>
      <c r="AW277" s="501">
        <f t="shared" ref="AW277:AX282" si="510">Q277+AL277</f>
        <v>2</v>
      </c>
      <c r="AX277" s="502">
        <f t="shared" si="510"/>
        <v>0.51090000000000002</v>
      </c>
    </row>
    <row r="278" spans="1:50" s="695" customFormat="1" ht="12.75" customHeight="1" x14ac:dyDescent="0.2">
      <c r="A278" s="720">
        <v>50</v>
      </c>
      <c r="B278" s="721">
        <v>4491</v>
      </c>
      <c r="C278" s="721">
        <v>650050517</v>
      </c>
      <c r="D278" s="721">
        <v>72742437</v>
      </c>
      <c r="E278" s="722" t="s">
        <v>248</v>
      </c>
      <c r="F278" s="721">
        <v>3117</v>
      </c>
      <c r="G278" s="531" t="s">
        <v>320</v>
      </c>
      <c r="H278" s="767" t="s">
        <v>283</v>
      </c>
      <c r="I278" s="495">
        <v>3596498</v>
      </c>
      <c r="J278" s="496">
        <v>2474170</v>
      </c>
      <c r="K278" s="496">
        <v>7624</v>
      </c>
      <c r="L278" s="496">
        <v>5624</v>
      </c>
      <c r="M278" s="496">
        <v>944837</v>
      </c>
      <c r="N278" s="496">
        <v>55867</v>
      </c>
      <c r="O278" s="496">
        <v>114000</v>
      </c>
      <c r="P278" s="497">
        <v>4.6707999999999998</v>
      </c>
      <c r="Q278" s="412">
        <v>3.05</v>
      </c>
      <c r="R278" s="764">
        <v>1.6208</v>
      </c>
      <c r="S278" s="530">
        <f t="shared" si="495"/>
        <v>0</v>
      </c>
      <c r="T278" s="486">
        <v>0</v>
      </c>
      <c r="U278" s="486">
        <v>0</v>
      </c>
      <c r="V278" s="486">
        <f t="shared" si="496"/>
        <v>0</v>
      </c>
      <c r="W278" s="486">
        <v>0</v>
      </c>
      <c r="X278" s="486">
        <v>0</v>
      </c>
      <c r="Y278" s="486">
        <f t="shared" si="497"/>
        <v>0</v>
      </c>
      <c r="Z278" s="486">
        <f t="shared" si="498"/>
        <v>0</v>
      </c>
      <c r="AA278" s="319">
        <f t="shared" si="499"/>
        <v>0</v>
      </c>
      <c r="AB278" s="178">
        <f t="shared" si="500"/>
        <v>0</v>
      </c>
      <c r="AC278" s="486">
        <v>0</v>
      </c>
      <c r="AD278" s="486">
        <v>0</v>
      </c>
      <c r="AE278" s="486">
        <f t="shared" si="491"/>
        <v>0</v>
      </c>
      <c r="AF278" s="486">
        <f t="shared" si="492"/>
        <v>0</v>
      </c>
      <c r="AG278" s="501">
        <v>0</v>
      </c>
      <c r="AH278" s="501">
        <v>0</v>
      </c>
      <c r="AI278" s="501">
        <v>0</v>
      </c>
      <c r="AJ278" s="501">
        <v>0</v>
      </c>
      <c r="AK278" s="501">
        <v>0</v>
      </c>
      <c r="AL278" s="501">
        <f t="shared" si="501"/>
        <v>0</v>
      </c>
      <c r="AM278" s="501">
        <f t="shared" si="502"/>
        <v>0</v>
      </c>
      <c r="AN278" s="502">
        <f t="shared" si="493"/>
        <v>0</v>
      </c>
      <c r="AO278" s="499">
        <f t="shared" si="503"/>
        <v>3596498</v>
      </c>
      <c r="AP278" s="486">
        <f t="shared" si="504"/>
        <v>2474170</v>
      </c>
      <c r="AQ278" s="486">
        <f t="shared" si="505"/>
        <v>7624</v>
      </c>
      <c r="AR278" s="486">
        <f t="shared" si="506"/>
        <v>5624</v>
      </c>
      <c r="AS278" s="486">
        <f t="shared" si="507"/>
        <v>944837</v>
      </c>
      <c r="AT278" s="486">
        <f t="shared" si="507"/>
        <v>55867</v>
      </c>
      <c r="AU278" s="486">
        <f t="shared" si="508"/>
        <v>114000</v>
      </c>
      <c r="AV278" s="501">
        <f t="shared" si="509"/>
        <v>4.6707999999999998</v>
      </c>
      <c r="AW278" s="501">
        <f t="shared" si="510"/>
        <v>3.05</v>
      </c>
      <c r="AX278" s="502">
        <f t="shared" si="510"/>
        <v>1.6208</v>
      </c>
    </row>
    <row r="279" spans="1:50" s="695" customFormat="1" ht="12.75" customHeight="1" x14ac:dyDescent="0.2">
      <c r="A279" s="720">
        <v>50</v>
      </c>
      <c r="B279" s="721">
        <v>4491</v>
      </c>
      <c r="C279" s="721">
        <v>650050517</v>
      </c>
      <c r="D279" s="721">
        <v>72742437</v>
      </c>
      <c r="E279" s="722" t="s">
        <v>248</v>
      </c>
      <c r="F279" s="721">
        <v>3117</v>
      </c>
      <c r="G279" s="531" t="s">
        <v>318</v>
      </c>
      <c r="H279" s="767" t="s">
        <v>284</v>
      </c>
      <c r="I279" s="495">
        <v>768632</v>
      </c>
      <c r="J279" s="496">
        <v>566003</v>
      </c>
      <c r="K279" s="475">
        <v>0</v>
      </c>
      <c r="L279" s="475">
        <v>0</v>
      </c>
      <c r="M279" s="319">
        <v>191309</v>
      </c>
      <c r="N279" s="319">
        <v>11320</v>
      </c>
      <c r="O279" s="496">
        <v>0</v>
      </c>
      <c r="P279" s="497">
        <v>1.67</v>
      </c>
      <c r="Q279" s="412">
        <v>1.67</v>
      </c>
      <c r="R279" s="764">
        <v>0</v>
      </c>
      <c r="S279" s="530">
        <f t="shared" si="495"/>
        <v>0</v>
      </c>
      <c r="T279" s="486">
        <v>0</v>
      </c>
      <c r="U279" s="486">
        <v>0</v>
      </c>
      <c r="V279" s="486">
        <f t="shared" si="496"/>
        <v>0</v>
      </c>
      <c r="W279" s="486">
        <v>0</v>
      </c>
      <c r="X279" s="486">
        <v>0</v>
      </c>
      <c r="Y279" s="486">
        <f t="shared" si="497"/>
        <v>0</v>
      </c>
      <c r="Z279" s="486">
        <f t="shared" si="498"/>
        <v>0</v>
      </c>
      <c r="AA279" s="319">
        <f t="shared" si="499"/>
        <v>0</v>
      </c>
      <c r="AB279" s="178">
        <f t="shared" si="500"/>
        <v>0</v>
      </c>
      <c r="AC279" s="486">
        <v>0</v>
      </c>
      <c r="AD279" s="486">
        <v>0</v>
      </c>
      <c r="AE279" s="486">
        <f t="shared" si="491"/>
        <v>0</v>
      </c>
      <c r="AF279" s="486">
        <f t="shared" si="492"/>
        <v>0</v>
      </c>
      <c r="AG279" s="501">
        <v>0</v>
      </c>
      <c r="AH279" s="501">
        <v>0</v>
      </c>
      <c r="AI279" s="501">
        <v>0</v>
      </c>
      <c r="AJ279" s="501">
        <v>0</v>
      </c>
      <c r="AK279" s="501">
        <v>0</v>
      </c>
      <c r="AL279" s="501">
        <f t="shared" si="501"/>
        <v>0</v>
      </c>
      <c r="AM279" s="501">
        <f t="shared" si="502"/>
        <v>0</v>
      </c>
      <c r="AN279" s="502">
        <f t="shared" si="493"/>
        <v>0</v>
      </c>
      <c r="AO279" s="499">
        <f t="shared" si="503"/>
        <v>768632</v>
      </c>
      <c r="AP279" s="486">
        <f t="shared" si="504"/>
        <v>566003</v>
      </c>
      <c r="AQ279" s="486">
        <f t="shared" si="505"/>
        <v>0</v>
      </c>
      <c r="AR279" s="486">
        <f t="shared" si="506"/>
        <v>0</v>
      </c>
      <c r="AS279" s="486">
        <f t="shared" si="507"/>
        <v>191309</v>
      </c>
      <c r="AT279" s="486">
        <f t="shared" si="507"/>
        <v>11320</v>
      </c>
      <c r="AU279" s="486">
        <f t="shared" si="508"/>
        <v>0</v>
      </c>
      <c r="AV279" s="501">
        <f t="shared" si="509"/>
        <v>1.67</v>
      </c>
      <c r="AW279" s="501">
        <f t="shared" si="510"/>
        <v>1.67</v>
      </c>
      <c r="AX279" s="502">
        <f t="shared" si="510"/>
        <v>0</v>
      </c>
    </row>
    <row r="280" spans="1:50" s="695" customFormat="1" ht="12.75" customHeight="1" x14ac:dyDescent="0.2">
      <c r="A280" s="720">
        <v>50</v>
      </c>
      <c r="B280" s="721">
        <v>4491</v>
      </c>
      <c r="C280" s="721">
        <v>650050517</v>
      </c>
      <c r="D280" s="721">
        <v>72742437</v>
      </c>
      <c r="E280" s="722" t="s">
        <v>248</v>
      </c>
      <c r="F280" s="721">
        <v>3141</v>
      </c>
      <c r="G280" s="531" t="s">
        <v>321</v>
      </c>
      <c r="H280" s="767" t="s">
        <v>284</v>
      </c>
      <c r="I280" s="495">
        <v>761137</v>
      </c>
      <c r="J280" s="496">
        <v>555212</v>
      </c>
      <c r="K280" s="475">
        <v>2000</v>
      </c>
      <c r="L280" s="475">
        <v>0</v>
      </c>
      <c r="M280" s="319">
        <v>188337</v>
      </c>
      <c r="N280" s="319">
        <v>11104</v>
      </c>
      <c r="O280" s="496">
        <v>4484</v>
      </c>
      <c r="P280" s="497">
        <v>1.9</v>
      </c>
      <c r="Q280" s="412">
        <v>0</v>
      </c>
      <c r="R280" s="764">
        <v>1.9</v>
      </c>
      <c r="S280" s="530">
        <f t="shared" si="495"/>
        <v>0</v>
      </c>
      <c r="T280" s="486">
        <v>0</v>
      </c>
      <c r="U280" s="486">
        <v>0</v>
      </c>
      <c r="V280" s="486">
        <f t="shared" si="496"/>
        <v>0</v>
      </c>
      <c r="W280" s="486">
        <v>0</v>
      </c>
      <c r="X280" s="486">
        <v>0</v>
      </c>
      <c r="Y280" s="486">
        <f t="shared" si="497"/>
        <v>0</v>
      </c>
      <c r="Z280" s="486">
        <f t="shared" si="498"/>
        <v>0</v>
      </c>
      <c r="AA280" s="319">
        <f t="shared" si="499"/>
        <v>0</v>
      </c>
      <c r="AB280" s="178">
        <f t="shared" si="500"/>
        <v>0</v>
      </c>
      <c r="AC280" s="486">
        <v>0</v>
      </c>
      <c r="AD280" s="486">
        <v>0</v>
      </c>
      <c r="AE280" s="486">
        <f t="shared" si="491"/>
        <v>0</v>
      </c>
      <c r="AF280" s="486">
        <f t="shared" si="492"/>
        <v>0</v>
      </c>
      <c r="AG280" s="501">
        <v>0</v>
      </c>
      <c r="AH280" s="501">
        <v>0</v>
      </c>
      <c r="AI280" s="501">
        <v>0</v>
      </c>
      <c r="AJ280" s="501">
        <v>0</v>
      </c>
      <c r="AK280" s="501">
        <v>0</v>
      </c>
      <c r="AL280" s="501">
        <f t="shared" si="501"/>
        <v>0</v>
      </c>
      <c r="AM280" s="501">
        <f t="shared" si="502"/>
        <v>0</v>
      </c>
      <c r="AN280" s="502">
        <f t="shared" si="493"/>
        <v>0</v>
      </c>
      <c r="AO280" s="499">
        <f t="shared" si="503"/>
        <v>761137</v>
      </c>
      <c r="AP280" s="486">
        <f t="shared" si="504"/>
        <v>555212</v>
      </c>
      <c r="AQ280" s="486">
        <f t="shared" si="505"/>
        <v>2000</v>
      </c>
      <c r="AR280" s="486">
        <f t="shared" si="506"/>
        <v>0</v>
      </c>
      <c r="AS280" s="486">
        <f t="shared" si="507"/>
        <v>188337</v>
      </c>
      <c r="AT280" s="486">
        <f t="shared" si="507"/>
        <v>11104</v>
      </c>
      <c r="AU280" s="486">
        <f t="shared" si="508"/>
        <v>4484</v>
      </c>
      <c r="AV280" s="501">
        <f t="shared" si="509"/>
        <v>1.9</v>
      </c>
      <c r="AW280" s="501">
        <f t="shared" si="510"/>
        <v>0</v>
      </c>
      <c r="AX280" s="502">
        <f t="shared" si="510"/>
        <v>1.9</v>
      </c>
    </row>
    <row r="281" spans="1:50" s="695" customFormat="1" ht="12.75" customHeight="1" x14ac:dyDescent="0.2">
      <c r="A281" s="720">
        <v>50</v>
      </c>
      <c r="B281" s="721">
        <v>4491</v>
      </c>
      <c r="C281" s="721">
        <v>650050517</v>
      </c>
      <c r="D281" s="721">
        <v>72742437</v>
      </c>
      <c r="E281" s="722" t="s">
        <v>248</v>
      </c>
      <c r="F281" s="721">
        <v>3143</v>
      </c>
      <c r="G281" s="531" t="s">
        <v>634</v>
      </c>
      <c r="H281" s="701" t="s">
        <v>283</v>
      </c>
      <c r="I281" s="495">
        <v>705879</v>
      </c>
      <c r="J281" s="496">
        <v>472340</v>
      </c>
      <c r="K281" s="496">
        <v>0</v>
      </c>
      <c r="L281" s="496">
        <v>0</v>
      </c>
      <c r="M281" s="496">
        <v>220492</v>
      </c>
      <c r="N281" s="496">
        <v>13047</v>
      </c>
      <c r="O281" s="496">
        <v>0</v>
      </c>
      <c r="P281" s="497">
        <v>1.0179</v>
      </c>
      <c r="Q281" s="412">
        <v>1.0179</v>
      </c>
      <c r="R281" s="764">
        <v>0</v>
      </c>
      <c r="S281" s="530">
        <f t="shared" si="495"/>
        <v>0</v>
      </c>
      <c r="T281" s="486">
        <v>0</v>
      </c>
      <c r="U281" s="486">
        <v>0</v>
      </c>
      <c r="V281" s="486">
        <f t="shared" si="496"/>
        <v>0</v>
      </c>
      <c r="W281" s="486">
        <v>0</v>
      </c>
      <c r="X281" s="486">
        <v>0</v>
      </c>
      <c r="Y281" s="486">
        <f t="shared" si="497"/>
        <v>0</v>
      </c>
      <c r="Z281" s="486">
        <f t="shared" si="498"/>
        <v>0</v>
      </c>
      <c r="AA281" s="319">
        <f t="shared" si="499"/>
        <v>0</v>
      </c>
      <c r="AB281" s="178">
        <f t="shared" si="500"/>
        <v>0</v>
      </c>
      <c r="AC281" s="486">
        <v>0</v>
      </c>
      <c r="AD281" s="486">
        <v>0</v>
      </c>
      <c r="AE281" s="486">
        <f t="shared" si="491"/>
        <v>0</v>
      </c>
      <c r="AF281" s="486">
        <f t="shared" si="492"/>
        <v>0</v>
      </c>
      <c r="AG281" s="501">
        <v>0</v>
      </c>
      <c r="AH281" s="501">
        <v>0</v>
      </c>
      <c r="AI281" s="501">
        <v>0</v>
      </c>
      <c r="AJ281" s="501">
        <v>0</v>
      </c>
      <c r="AK281" s="501">
        <v>0</v>
      </c>
      <c r="AL281" s="501">
        <f t="shared" si="501"/>
        <v>0</v>
      </c>
      <c r="AM281" s="501">
        <f t="shared" si="502"/>
        <v>0</v>
      </c>
      <c r="AN281" s="502">
        <f t="shared" si="493"/>
        <v>0</v>
      </c>
      <c r="AO281" s="499">
        <f t="shared" si="503"/>
        <v>705879</v>
      </c>
      <c r="AP281" s="486">
        <f t="shared" si="504"/>
        <v>472340</v>
      </c>
      <c r="AQ281" s="486">
        <f t="shared" si="505"/>
        <v>0</v>
      </c>
      <c r="AR281" s="486">
        <f t="shared" si="506"/>
        <v>0</v>
      </c>
      <c r="AS281" s="486">
        <f t="shared" si="507"/>
        <v>220492</v>
      </c>
      <c r="AT281" s="486">
        <f t="shared" si="507"/>
        <v>13047</v>
      </c>
      <c r="AU281" s="486">
        <f t="shared" si="508"/>
        <v>0</v>
      </c>
      <c r="AV281" s="501">
        <f t="shared" si="509"/>
        <v>1.0179</v>
      </c>
      <c r="AW281" s="501">
        <f t="shared" si="510"/>
        <v>1.0179</v>
      </c>
      <c r="AX281" s="502">
        <f t="shared" si="510"/>
        <v>0</v>
      </c>
    </row>
    <row r="282" spans="1:50" s="695" customFormat="1" ht="12.75" customHeight="1" x14ac:dyDescent="0.2">
      <c r="A282" s="720">
        <v>50</v>
      </c>
      <c r="B282" s="721">
        <v>4491</v>
      </c>
      <c r="C282" s="721">
        <v>650050517</v>
      </c>
      <c r="D282" s="721">
        <v>72742437</v>
      </c>
      <c r="E282" s="722" t="s">
        <v>248</v>
      </c>
      <c r="F282" s="721">
        <v>3143</v>
      </c>
      <c r="G282" s="531" t="s">
        <v>635</v>
      </c>
      <c r="H282" s="701" t="s">
        <v>284</v>
      </c>
      <c r="I282" s="495">
        <v>20364</v>
      </c>
      <c r="J282" s="496">
        <v>14355</v>
      </c>
      <c r="K282" s="475">
        <v>0</v>
      </c>
      <c r="L282" s="475">
        <v>0</v>
      </c>
      <c r="M282" s="319">
        <v>4852</v>
      </c>
      <c r="N282" s="319">
        <v>287</v>
      </c>
      <c r="O282" s="496">
        <v>870</v>
      </c>
      <c r="P282" s="497">
        <v>0.06</v>
      </c>
      <c r="Q282" s="412">
        <v>0</v>
      </c>
      <c r="R282" s="764">
        <v>0.06</v>
      </c>
      <c r="S282" s="530">
        <f t="shared" si="495"/>
        <v>0</v>
      </c>
      <c r="T282" s="486">
        <v>0</v>
      </c>
      <c r="U282" s="486">
        <v>0</v>
      </c>
      <c r="V282" s="486">
        <f t="shared" si="496"/>
        <v>0</v>
      </c>
      <c r="W282" s="486">
        <v>0</v>
      </c>
      <c r="X282" s="486">
        <v>0</v>
      </c>
      <c r="Y282" s="486">
        <f t="shared" si="497"/>
        <v>0</v>
      </c>
      <c r="Z282" s="486">
        <f t="shared" si="498"/>
        <v>0</v>
      </c>
      <c r="AA282" s="319">
        <f t="shared" si="499"/>
        <v>0</v>
      </c>
      <c r="AB282" s="178">
        <f t="shared" si="500"/>
        <v>0</v>
      </c>
      <c r="AC282" s="486">
        <v>0</v>
      </c>
      <c r="AD282" s="486">
        <v>0</v>
      </c>
      <c r="AE282" s="486">
        <f t="shared" si="491"/>
        <v>0</v>
      </c>
      <c r="AF282" s="486">
        <f t="shared" si="492"/>
        <v>0</v>
      </c>
      <c r="AG282" s="501">
        <v>0</v>
      </c>
      <c r="AH282" s="501">
        <v>0</v>
      </c>
      <c r="AI282" s="501">
        <v>0</v>
      </c>
      <c r="AJ282" s="501">
        <v>0</v>
      </c>
      <c r="AK282" s="501">
        <v>0</v>
      </c>
      <c r="AL282" s="501">
        <f t="shared" si="501"/>
        <v>0</v>
      </c>
      <c r="AM282" s="501">
        <f t="shared" si="502"/>
        <v>0</v>
      </c>
      <c r="AN282" s="502">
        <f t="shared" si="493"/>
        <v>0</v>
      </c>
      <c r="AO282" s="499">
        <f t="shared" si="503"/>
        <v>20364</v>
      </c>
      <c r="AP282" s="486">
        <f t="shared" si="504"/>
        <v>14355</v>
      </c>
      <c r="AQ282" s="486">
        <f t="shared" si="505"/>
        <v>0</v>
      </c>
      <c r="AR282" s="486">
        <f t="shared" si="506"/>
        <v>0</v>
      </c>
      <c r="AS282" s="486">
        <f t="shared" si="507"/>
        <v>4852</v>
      </c>
      <c r="AT282" s="486">
        <f t="shared" si="507"/>
        <v>287</v>
      </c>
      <c r="AU282" s="486">
        <f t="shared" si="508"/>
        <v>870</v>
      </c>
      <c r="AV282" s="501">
        <f t="shared" si="509"/>
        <v>0.06</v>
      </c>
      <c r="AW282" s="501">
        <f t="shared" si="510"/>
        <v>0</v>
      </c>
      <c r="AX282" s="502">
        <f t="shared" si="510"/>
        <v>0.06</v>
      </c>
    </row>
    <row r="283" spans="1:50" s="695" customFormat="1" ht="12.75" customHeight="1" x14ac:dyDescent="0.2">
      <c r="A283" s="282">
        <v>50</v>
      </c>
      <c r="B283" s="27">
        <v>4491</v>
      </c>
      <c r="C283" s="27">
        <v>650050517</v>
      </c>
      <c r="D283" s="27">
        <v>72742437</v>
      </c>
      <c r="E283" s="292" t="s">
        <v>249</v>
      </c>
      <c r="F283" s="27"/>
      <c r="G283" s="281"/>
      <c r="H283" s="377"/>
      <c r="I283" s="5">
        <v>7255763</v>
      </c>
      <c r="J283" s="8">
        <v>5231634</v>
      </c>
      <c r="K283" s="8">
        <v>11624</v>
      </c>
      <c r="L283" s="8">
        <v>5624</v>
      </c>
      <c r="M283" s="8">
        <v>1770319</v>
      </c>
      <c r="N283" s="8">
        <v>104632</v>
      </c>
      <c r="O283" s="8">
        <v>137554</v>
      </c>
      <c r="P283" s="9">
        <v>11.829600000000001</v>
      </c>
      <c r="Q283" s="9">
        <v>7.7378999999999998</v>
      </c>
      <c r="R283" s="33">
        <v>4.0916999999999994</v>
      </c>
      <c r="S283" s="5">
        <f t="shared" ref="S283:AX283" si="511">SUM(S277:S282)</f>
        <v>0</v>
      </c>
      <c r="T283" s="8">
        <f t="shared" si="511"/>
        <v>0</v>
      </c>
      <c r="U283" s="8">
        <f t="shared" si="511"/>
        <v>0</v>
      </c>
      <c r="V283" s="8">
        <f t="shared" si="511"/>
        <v>0</v>
      </c>
      <c r="W283" s="8">
        <f t="shared" si="511"/>
        <v>0</v>
      </c>
      <c r="X283" s="8">
        <f t="shared" si="511"/>
        <v>0</v>
      </c>
      <c r="Y283" s="8">
        <f t="shared" si="511"/>
        <v>0</v>
      </c>
      <c r="Z283" s="8">
        <f t="shared" si="511"/>
        <v>0</v>
      </c>
      <c r="AA283" s="8">
        <f t="shared" si="511"/>
        <v>0</v>
      </c>
      <c r="AB283" s="8">
        <f t="shared" si="511"/>
        <v>0</v>
      </c>
      <c r="AC283" s="8">
        <f t="shared" si="511"/>
        <v>0</v>
      </c>
      <c r="AD283" s="8">
        <f t="shared" si="511"/>
        <v>0</v>
      </c>
      <c r="AE283" s="8">
        <f t="shared" si="511"/>
        <v>0</v>
      </c>
      <c r="AF283" s="8">
        <f t="shared" si="511"/>
        <v>0</v>
      </c>
      <c r="AG283" s="9">
        <f t="shared" si="511"/>
        <v>0</v>
      </c>
      <c r="AH283" s="9">
        <f t="shared" si="511"/>
        <v>0</v>
      </c>
      <c r="AI283" s="9">
        <f t="shared" si="511"/>
        <v>0</v>
      </c>
      <c r="AJ283" s="9">
        <f t="shared" si="511"/>
        <v>0</v>
      </c>
      <c r="AK283" s="9">
        <f t="shared" si="511"/>
        <v>0</v>
      </c>
      <c r="AL283" s="9">
        <f t="shared" si="511"/>
        <v>0</v>
      </c>
      <c r="AM283" s="9">
        <f t="shared" si="511"/>
        <v>0</v>
      </c>
      <c r="AN283" s="74">
        <f t="shared" si="511"/>
        <v>0</v>
      </c>
      <c r="AO283" s="270">
        <f t="shared" si="511"/>
        <v>7255763</v>
      </c>
      <c r="AP283" s="8">
        <f t="shared" si="511"/>
        <v>5231634</v>
      </c>
      <c r="AQ283" s="38">
        <f t="shared" si="511"/>
        <v>11624</v>
      </c>
      <c r="AR283" s="38">
        <f t="shared" si="511"/>
        <v>5624</v>
      </c>
      <c r="AS283" s="8">
        <f t="shared" si="511"/>
        <v>1770319</v>
      </c>
      <c r="AT283" s="8">
        <f t="shared" si="511"/>
        <v>104632</v>
      </c>
      <c r="AU283" s="8">
        <f t="shared" si="511"/>
        <v>137554</v>
      </c>
      <c r="AV283" s="9">
        <f t="shared" si="511"/>
        <v>11.829600000000001</v>
      </c>
      <c r="AW283" s="9">
        <f t="shared" si="511"/>
        <v>7.7378999999999998</v>
      </c>
      <c r="AX283" s="74">
        <f t="shared" si="511"/>
        <v>4.0916999999999994</v>
      </c>
    </row>
    <row r="284" spans="1:50" s="695" customFormat="1" ht="12.75" customHeight="1" x14ac:dyDescent="0.2">
      <c r="A284" s="720">
        <v>51</v>
      </c>
      <c r="B284" s="721">
        <v>4465</v>
      </c>
      <c r="C284" s="721">
        <v>600074757</v>
      </c>
      <c r="D284" s="721">
        <v>46750428</v>
      </c>
      <c r="E284" s="722" t="s">
        <v>250</v>
      </c>
      <c r="F284" s="721">
        <v>3111</v>
      </c>
      <c r="G284" s="531" t="s">
        <v>317</v>
      </c>
      <c r="H284" s="767" t="s">
        <v>283</v>
      </c>
      <c r="I284" s="495">
        <v>4365487</v>
      </c>
      <c r="J284" s="496">
        <v>4034440</v>
      </c>
      <c r="K284" s="496">
        <v>37355</v>
      </c>
      <c r="L284" s="496">
        <v>0</v>
      </c>
      <c r="M284" s="496">
        <v>220492</v>
      </c>
      <c r="N284" s="496">
        <v>12300</v>
      </c>
      <c r="O284" s="496">
        <v>60900</v>
      </c>
      <c r="P284" s="497">
        <v>9.4468999999999994</v>
      </c>
      <c r="Q284" s="412">
        <v>7.4032</v>
      </c>
      <c r="R284" s="764">
        <v>2.0436999999999999</v>
      </c>
      <c r="S284" s="530">
        <f t="shared" ref="S284:S289" si="512">W284*-1</f>
        <v>0</v>
      </c>
      <c r="T284" s="486">
        <v>0</v>
      </c>
      <c r="U284" s="486">
        <v>0</v>
      </c>
      <c r="V284" s="486">
        <f t="shared" ref="V284:V289" si="513">SUM(S284:U284)</f>
        <v>0</v>
      </c>
      <c r="W284" s="486">
        <v>0</v>
      </c>
      <c r="X284" s="486">
        <v>0</v>
      </c>
      <c r="Y284" s="486">
        <f t="shared" ref="Y284:Y289" si="514">SUM(W284:X284)</f>
        <v>0</v>
      </c>
      <c r="Z284" s="486">
        <f t="shared" ref="Z284:Z289" si="515">V284+Y284</f>
        <v>0</v>
      </c>
      <c r="AA284" s="319">
        <f t="shared" ref="AA284:AA289" si="516">ROUND((V284+W284)*33.8%,0)</f>
        <v>0</v>
      </c>
      <c r="AB284" s="178">
        <f t="shared" ref="AB284:AB289" si="517">ROUND(V284*2%,0)</f>
        <v>0</v>
      </c>
      <c r="AC284" s="486">
        <v>0</v>
      </c>
      <c r="AD284" s="486">
        <v>0</v>
      </c>
      <c r="AE284" s="486">
        <f t="shared" si="491"/>
        <v>0</v>
      </c>
      <c r="AF284" s="486">
        <f t="shared" si="492"/>
        <v>0</v>
      </c>
      <c r="AG284" s="501">
        <v>0</v>
      </c>
      <c r="AH284" s="501">
        <v>0</v>
      </c>
      <c r="AI284" s="501">
        <v>0</v>
      </c>
      <c r="AJ284" s="501">
        <v>0</v>
      </c>
      <c r="AK284" s="501">
        <v>0</v>
      </c>
      <c r="AL284" s="501">
        <f t="shared" ref="AL284:AL289" si="518">AG284+AI284+AJ284</f>
        <v>0</v>
      </c>
      <c r="AM284" s="501">
        <f t="shared" ref="AM284:AM289" si="519">AH284+AK284</f>
        <v>0</v>
      </c>
      <c r="AN284" s="502">
        <f t="shared" si="493"/>
        <v>0</v>
      </c>
      <c r="AO284" s="499">
        <f t="shared" ref="AO284:AO289" si="520">I284+AF284</f>
        <v>4365487</v>
      </c>
      <c r="AP284" s="486">
        <f t="shared" ref="AP284:AP289" si="521">J284+V284</f>
        <v>4034440</v>
      </c>
      <c r="AQ284" s="486">
        <f t="shared" ref="AQ284:AQ289" si="522">K284+Y284</f>
        <v>37355</v>
      </c>
      <c r="AR284" s="486">
        <f t="shared" ref="AR284:AR289" si="523">L284</f>
        <v>0</v>
      </c>
      <c r="AS284" s="486">
        <f t="shared" ref="AS284:AT289" si="524">M284+AA284</f>
        <v>220492</v>
      </c>
      <c r="AT284" s="486">
        <f t="shared" si="524"/>
        <v>12300</v>
      </c>
      <c r="AU284" s="486">
        <f t="shared" ref="AU284:AU289" si="525">O284+AE284</f>
        <v>60900</v>
      </c>
      <c r="AV284" s="501">
        <f t="shared" ref="AV284:AV289" si="526">P284+AN284</f>
        <v>9.4468999999999994</v>
      </c>
      <c r="AW284" s="501">
        <f t="shared" ref="AW284:AX289" si="527">Q284+AL284</f>
        <v>7.4032</v>
      </c>
      <c r="AX284" s="502">
        <f t="shared" si="527"/>
        <v>2.0436999999999999</v>
      </c>
    </row>
    <row r="285" spans="1:50" s="695" customFormat="1" ht="12.75" customHeight="1" x14ac:dyDescent="0.2">
      <c r="A285" s="720">
        <v>51</v>
      </c>
      <c r="B285" s="721">
        <v>4465</v>
      </c>
      <c r="C285" s="721">
        <v>600074757</v>
      </c>
      <c r="D285" s="721">
        <v>46750428</v>
      </c>
      <c r="E285" s="722" t="s">
        <v>250</v>
      </c>
      <c r="F285" s="721">
        <v>3113</v>
      </c>
      <c r="G285" s="531" t="s">
        <v>320</v>
      </c>
      <c r="H285" s="767" t="s">
        <v>283</v>
      </c>
      <c r="I285" s="495">
        <v>24611723</v>
      </c>
      <c r="J285" s="496">
        <v>16465490</v>
      </c>
      <c r="K285" s="496">
        <v>85924</v>
      </c>
      <c r="L285" s="496">
        <v>49284</v>
      </c>
      <c r="M285" s="496">
        <v>6898072</v>
      </c>
      <c r="N285" s="496">
        <v>407437</v>
      </c>
      <c r="O285" s="496">
        <v>754800</v>
      </c>
      <c r="P285" s="497">
        <v>31.852200000000003</v>
      </c>
      <c r="Q285" s="412">
        <v>23.863900000000001</v>
      </c>
      <c r="R285" s="764">
        <v>7.9883000000000006</v>
      </c>
      <c r="S285" s="530">
        <f t="shared" si="512"/>
        <v>0</v>
      </c>
      <c r="T285" s="486">
        <v>0</v>
      </c>
      <c r="U285" s="486">
        <v>0</v>
      </c>
      <c r="V285" s="486">
        <f t="shared" si="513"/>
        <v>0</v>
      </c>
      <c r="W285" s="486">
        <v>0</v>
      </c>
      <c r="X285" s="486">
        <v>0</v>
      </c>
      <c r="Y285" s="486">
        <f t="shared" si="514"/>
        <v>0</v>
      </c>
      <c r="Z285" s="486">
        <f t="shared" si="515"/>
        <v>0</v>
      </c>
      <c r="AA285" s="319">
        <f t="shared" si="516"/>
        <v>0</v>
      </c>
      <c r="AB285" s="178">
        <f t="shared" si="517"/>
        <v>0</v>
      </c>
      <c r="AC285" s="486">
        <v>0</v>
      </c>
      <c r="AD285" s="486">
        <v>0</v>
      </c>
      <c r="AE285" s="486">
        <f t="shared" si="491"/>
        <v>0</v>
      </c>
      <c r="AF285" s="486">
        <f t="shared" si="492"/>
        <v>0</v>
      </c>
      <c r="AG285" s="501">
        <v>0</v>
      </c>
      <c r="AH285" s="501">
        <v>0</v>
      </c>
      <c r="AI285" s="501">
        <v>0</v>
      </c>
      <c r="AJ285" s="501">
        <v>0</v>
      </c>
      <c r="AK285" s="501">
        <v>0</v>
      </c>
      <c r="AL285" s="501">
        <f t="shared" si="518"/>
        <v>0</v>
      </c>
      <c r="AM285" s="501">
        <f t="shared" si="519"/>
        <v>0</v>
      </c>
      <c r="AN285" s="502">
        <f t="shared" si="493"/>
        <v>0</v>
      </c>
      <c r="AO285" s="499">
        <f t="shared" si="520"/>
        <v>24611723</v>
      </c>
      <c r="AP285" s="486">
        <f t="shared" si="521"/>
        <v>16465490</v>
      </c>
      <c r="AQ285" s="486">
        <f t="shared" si="522"/>
        <v>85924</v>
      </c>
      <c r="AR285" s="486">
        <f t="shared" si="523"/>
        <v>49284</v>
      </c>
      <c r="AS285" s="486">
        <f t="shared" si="524"/>
        <v>6898072</v>
      </c>
      <c r="AT285" s="486">
        <f t="shared" si="524"/>
        <v>407437</v>
      </c>
      <c r="AU285" s="486">
        <f t="shared" si="525"/>
        <v>754800</v>
      </c>
      <c r="AV285" s="501">
        <f t="shared" si="526"/>
        <v>31.852200000000003</v>
      </c>
      <c r="AW285" s="501">
        <f t="shared" si="527"/>
        <v>23.863900000000001</v>
      </c>
      <c r="AX285" s="502">
        <f t="shared" si="527"/>
        <v>7.9883000000000006</v>
      </c>
    </row>
    <row r="286" spans="1:50" s="695" customFormat="1" ht="12.75" customHeight="1" x14ac:dyDescent="0.2">
      <c r="A286" s="720">
        <v>51</v>
      </c>
      <c r="B286" s="721">
        <v>4465</v>
      </c>
      <c r="C286" s="721">
        <v>600074757</v>
      </c>
      <c r="D286" s="721">
        <v>46750428</v>
      </c>
      <c r="E286" s="722" t="s">
        <v>250</v>
      </c>
      <c r="F286" s="721">
        <v>3113</v>
      </c>
      <c r="G286" s="531" t="s">
        <v>318</v>
      </c>
      <c r="H286" s="767" t="s">
        <v>284</v>
      </c>
      <c r="I286" s="495">
        <v>2349601</v>
      </c>
      <c r="J286" s="496">
        <v>1710863</v>
      </c>
      <c r="K286" s="475">
        <v>0</v>
      </c>
      <c r="L286" s="475">
        <v>0</v>
      </c>
      <c r="M286" s="319">
        <v>578271</v>
      </c>
      <c r="N286" s="319">
        <v>34217</v>
      </c>
      <c r="O286" s="496">
        <v>26250</v>
      </c>
      <c r="P286" s="497">
        <v>4.9799999999999995</v>
      </c>
      <c r="Q286" s="412">
        <v>4.9799999999999995</v>
      </c>
      <c r="R286" s="764">
        <v>0</v>
      </c>
      <c r="S286" s="530">
        <f t="shared" si="512"/>
        <v>0</v>
      </c>
      <c r="T286" s="486">
        <v>14150</v>
      </c>
      <c r="U286" s="486">
        <v>0</v>
      </c>
      <c r="V286" s="486">
        <f t="shared" si="513"/>
        <v>14150</v>
      </c>
      <c r="W286" s="486">
        <v>0</v>
      </c>
      <c r="X286" s="486">
        <v>0</v>
      </c>
      <c r="Y286" s="486">
        <f t="shared" si="514"/>
        <v>0</v>
      </c>
      <c r="Z286" s="486">
        <f t="shared" si="515"/>
        <v>14150</v>
      </c>
      <c r="AA286" s="319">
        <f t="shared" si="516"/>
        <v>4783</v>
      </c>
      <c r="AB286" s="178">
        <f t="shared" si="517"/>
        <v>283</v>
      </c>
      <c r="AC286" s="486">
        <v>0</v>
      </c>
      <c r="AD286" s="486">
        <v>0</v>
      </c>
      <c r="AE286" s="486">
        <f t="shared" si="491"/>
        <v>0</v>
      </c>
      <c r="AF286" s="486">
        <f t="shared" si="492"/>
        <v>19216</v>
      </c>
      <c r="AG286" s="501">
        <v>0</v>
      </c>
      <c r="AH286" s="501">
        <v>0</v>
      </c>
      <c r="AI286" s="501">
        <v>0.04</v>
      </c>
      <c r="AJ286" s="501">
        <v>0</v>
      </c>
      <c r="AK286" s="501">
        <v>0</v>
      </c>
      <c r="AL286" s="501">
        <f t="shared" si="518"/>
        <v>0.04</v>
      </c>
      <c r="AM286" s="501">
        <f t="shared" si="519"/>
        <v>0</v>
      </c>
      <c r="AN286" s="502">
        <f t="shared" si="493"/>
        <v>0.04</v>
      </c>
      <c r="AO286" s="499">
        <f t="shared" si="520"/>
        <v>2368817</v>
      </c>
      <c r="AP286" s="486">
        <f t="shared" si="521"/>
        <v>1725013</v>
      </c>
      <c r="AQ286" s="486">
        <f t="shared" si="522"/>
        <v>0</v>
      </c>
      <c r="AR286" s="486">
        <f t="shared" si="523"/>
        <v>0</v>
      </c>
      <c r="AS286" s="486">
        <f t="shared" si="524"/>
        <v>583054</v>
      </c>
      <c r="AT286" s="486">
        <f t="shared" si="524"/>
        <v>34500</v>
      </c>
      <c r="AU286" s="486">
        <f t="shared" si="525"/>
        <v>26250</v>
      </c>
      <c r="AV286" s="501">
        <f t="shared" si="526"/>
        <v>5.0199999999999996</v>
      </c>
      <c r="AW286" s="501">
        <f t="shared" si="527"/>
        <v>5.0199999999999996</v>
      </c>
      <c r="AX286" s="502">
        <f t="shared" si="527"/>
        <v>0</v>
      </c>
    </row>
    <row r="287" spans="1:50" s="695" customFormat="1" ht="12.75" customHeight="1" x14ac:dyDescent="0.2">
      <c r="A287" s="720">
        <v>51</v>
      </c>
      <c r="B287" s="721">
        <v>4465</v>
      </c>
      <c r="C287" s="721">
        <v>600074757</v>
      </c>
      <c r="D287" s="721">
        <v>46750428</v>
      </c>
      <c r="E287" s="722" t="s">
        <v>250</v>
      </c>
      <c r="F287" s="721">
        <v>3141</v>
      </c>
      <c r="G287" s="531" t="s">
        <v>321</v>
      </c>
      <c r="H287" s="767" t="s">
        <v>284</v>
      </c>
      <c r="I287" s="495">
        <v>2798576</v>
      </c>
      <c r="J287" s="496">
        <v>2045479</v>
      </c>
      <c r="K287" s="475">
        <v>0</v>
      </c>
      <c r="L287" s="475">
        <v>0</v>
      </c>
      <c r="M287" s="319">
        <v>691372</v>
      </c>
      <c r="N287" s="319">
        <v>40909</v>
      </c>
      <c r="O287" s="496">
        <v>20816</v>
      </c>
      <c r="P287" s="497">
        <v>6.96</v>
      </c>
      <c r="Q287" s="412">
        <v>0</v>
      </c>
      <c r="R287" s="764">
        <v>6.96</v>
      </c>
      <c r="S287" s="530">
        <f t="shared" si="512"/>
        <v>0</v>
      </c>
      <c r="T287" s="486">
        <v>0</v>
      </c>
      <c r="U287" s="486">
        <v>0</v>
      </c>
      <c r="V287" s="486">
        <f t="shared" si="513"/>
        <v>0</v>
      </c>
      <c r="W287" s="486">
        <v>0</v>
      </c>
      <c r="X287" s="486">
        <v>0</v>
      </c>
      <c r="Y287" s="486">
        <f t="shared" si="514"/>
        <v>0</v>
      </c>
      <c r="Z287" s="486">
        <f t="shared" si="515"/>
        <v>0</v>
      </c>
      <c r="AA287" s="319">
        <f t="shared" si="516"/>
        <v>0</v>
      </c>
      <c r="AB287" s="178">
        <f t="shared" si="517"/>
        <v>0</v>
      </c>
      <c r="AC287" s="486">
        <v>0</v>
      </c>
      <c r="AD287" s="486">
        <v>0</v>
      </c>
      <c r="AE287" s="486">
        <f t="shared" si="491"/>
        <v>0</v>
      </c>
      <c r="AF287" s="486">
        <f t="shared" si="492"/>
        <v>0</v>
      </c>
      <c r="AG287" s="501">
        <v>0</v>
      </c>
      <c r="AH287" s="501">
        <v>0</v>
      </c>
      <c r="AI287" s="501">
        <v>0</v>
      </c>
      <c r="AJ287" s="501">
        <v>0</v>
      </c>
      <c r="AK287" s="501">
        <v>0</v>
      </c>
      <c r="AL287" s="501">
        <f t="shared" si="518"/>
        <v>0</v>
      </c>
      <c r="AM287" s="501">
        <f t="shared" si="519"/>
        <v>0</v>
      </c>
      <c r="AN287" s="502">
        <f t="shared" si="493"/>
        <v>0</v>
      </c>
      <c r="AO287" s="499">
        <f t="shared" si="520"/>
        <v>2798576</v>
      </c>
      <c r="AP287" s="486">
        <f t="shared" si="521"/>
        <v>2045479</v>
      </c>
      <c r="AQ287" s="486">
        <f t="shared" si="522"/>
        <v>0</v>
      </c>
      <c r="AR287" s="486">
        <f t="shared" si="523"/>
        <v>0</v>
      </c>
      <c r="AS287" s="486">
        <f t="shared" si="524"/>
        <v>691372</v>
      </c>
      <c r="AT287" s="486">
        <f t="shared" si="524"/>
        <v>40909</v>
      </c>
      <c r="AU287" s="486">
        <f t="shared" si="525"/>
        <v>20816</v>
      </c>
      <c r="AV287" s="501">
        <f t="shared" si="526"/>
        <v>6.96</v>
      </c>
      <c r="AW287" s="501">
        <f t="shared" si="527"/>
        <v>0</v>
      </c>
      <c r="AX287" s="502">
        <f t="shared" si="527"/>
        <v>6.96</v>
      </c>
    </row>
    <row r="288" spans="1:50" s="695" customFormat="1" ht="12.75" customHeight="1" x14ac:dyDescent="0.2">
      <c r="A288" s="720">
        <v>51</v>
      </c>
      <c r="B288" s="721">
        <v>4465</v>
      </c>
      <c r="C288" s="721">
        <v>600074757</v>
      </c>
      <c r="D288" s="721">
        <v>46750428</v>
      </c>
      <c r="E288" s="722" t="s">
        <v>250</v>
      </c>
      <c r="F288" s="721">
        <v>3143</v>
      </c>
      <c r="G288" s="531" t="s">
        <v>634</v>
      </c>
      <c r="H288" s="701" t="s">
        <v>283</v>
      </c>
      <c r="I288" s="495">
        <v>1415778</v>
      </c>
      <c r="J288" s="496">
        <v>1104762</v>
      </c>
      <c r="K288" s="496">
        <v>67135</v>
      </c>
      <c r="L288" s="496">
        <v>0</v>
      </c>
      <c r="M288" s="496">
        <v>231524</v>
      </c>
      <c r="N288" s="496">
        <v>12357</v>
      </c>
      <c r="O288" s="496">
        <v>0</v>
      </c>
      <c r="P288" s="497">
        <v>2.6253000000000002</v>
      </c>
      <c r="Q288" s="412">
        <v>2.6253000000000002</v>
      </c>
      <c r="R288" s="764">
        <v>0</v>
      </c>
      <c r="S288" s="530">
        <f t="shared" si="512"/>
        <v>0</v>
      </c>
      <c r="T288" s="486">
        <v>0</v>
      </c>
      <c r="U288" s="486">
        <v>0</v>
      </c>
      <c r="V288" s="486">
        <f t="shared" si="513"/>
        <v>0</v>
      </c>
      <c r="W288" s="486">
        <v>0</v>
      </c>
      <c r="X288" s="486">
        <v>0</v>
      </c>
      <c r="Y288" s="486">
        <f t="shared" si="514"/>
        <v>0</v>
      </c>
      <c r="Z288" s="486">
        <f t="shared" si="515"/>
        <v>0</v>
      </c>
      <c r="AA288" s="319">
        <f t="shared" si="516"/>
        <v>0</v>
      </c>
      <c r="AB288" s="178">
        <f t="shared" si="517"/>
        <v>0</v>
      </c>
      <c r="AC288" s="486">
        <v>0</v>
      </c>
      <c r="AD288" s="486">
        <v>0</v>
      </c>
      <c r="AE288" s="486">
        <f t="shared" si="491"/>
        <v>0</v>
      </c>
      <c r="AF288" s="486">
        <f t="shared" si="492"/>
        <v>0</v>
      </c>
      <c r="AG288" s="501">
        <v>0</v>
      </c>
      <c r="AH288" s="501">
        <v>0</v>
      </c>
      <c r="AI288" s="501">
        <v>0</v>
      </c>
      <c r="AJ288" s="501">
        <v>0</v>
      </c>
      <c r="AK288" s="501">
        <v>0</v>
      </c>
      <c r="AL288" s="501">
        <f t="shared" si="518"/>
        <v>0</v>
      </c>
      <c r="AM288" s="501">
        <f t="shared" si="519"/>
        <v>0</v>
      </c>
      <c r="AN288" s="502">
        <f t="shared" si="493"/>
        <v>0</v>
      </c>
      <c r="AO288" s="499">
        <f t="shared" si="520"/>
        <v>1415778</v>
      </c>
      <c r="AP288" s="486">
        <f t="shared" si="521"/>
        <v>1104762</v>
      </c>
      <c r="AQ288" s="486">
        <f t="shared" si="522"/>
        <v>67135</v>
      </c>
      <c r="AR288" s="486">
        <f t="shared" si="523"/>
        <v>0</v>
      </c>
      <c r="AS288" s="486">
        <f t="shared" si="524"/>
        <v>231524</v>
      </c>
      <c r="AT288" s="486">
        <f t="shared" si="524"/>
        <v>12357</v>
      </c>
      <c r="AU288" s="486">
        <f t="shared" si="525"/>
        <v>0</v>
      </c>
      <c r="AV288" s="501">
        <f t="shared" si="526"/>
        <v>2.6253000000000002</v>
      </c>
      <c r="AW288" s="501">
        <f t="shared" si="527"/>
        <v>2.6253000000000002</v>
      </c>
      <c r="AX288" s="502">
        <f t="shared" si="527"/>
        <v>0</v>
      </c>
    </row>
    <row r="289" spans="1:50" s="695" customFormat="1" ht="12.75" customHeight="1" x14ac:dyDescent="0.2">
      <c r="A289" s="720">
        <v>51</v>
      </c>
      <c r="B289" s="721">
        <v>4465</v>
      </c>
      <c r="C289" s="721">
        <v>600074757</v>
      </c>
      <c r="D289" s="721">
        <v>46750428</v>
      </c>
      <c r="E289" s="722" t="s">
        <v>250</v>
      </c>
      <c r="F289" s="721">
        <v>3143</v>
      </c>
      <c r="G289" s="531" t="s">
        <v>635</v>
      </c>
      <c r="H289" s="701" t="s">
        <v>284</v>
      </c>
      <c r="I289" s="495">
        <v>61092</v>
      </c>
      <c r="J289" s="496">
        <v>43065</v>
      </c>
      <c r="K289" s="475">
        <v>0</v>
      </c>
      <c r="L289" s="475">
        <v>0</v>
      </c>
      <c r="M289" s="319">
        <v>14556</v>
      </c>
      <c r="N289" s="319">
        <v>861</v>
      </c>
      <c r="O289" s="496">
        <v>2610</v>
      </c>
      <c r="P289" s="497">
        <v>0.18</v>
      </c>
      <c r="Q289" s="412">
        <v>0</v>
      </c>
      <c r="R289" s="764">
        <v>0.18</v>
      </c>
      <c r="S289" s="530">
        <f t="shared" si="512"/>
        <v>0</v>
      </c>
      <c r="T289" s="486">
        <v>0</v>
      </c>
      <c r="U289" s="486">
        <v>0</v>
      </c>
      <c r="V289" s="486">
        <f t="shared" si="513"/>
        <v>0</v>
      </c>
      <c r="W289" s="486">
        <v>0</v>
      </c>
      <c r="X289" s="486">
        <v>0</v>
      </c>
      <c r="Y289" s="486">
        <f t="shared" si="514"/>
        <v>0</v>
      </c>
      <c r="Z289" s="486">
        <f t="shared" si="515"/>
        <v>0</v>
      </c>
      <c r="AA289" s="319">
        <f t="shared" si="516"/>
        <v>0</v>
      </c>
      <c r="AB289" s="178">
        <f t="shared" si="517"/>
        <v>0</v>
      </c>
      <c r="AC289" s="486">
        <v>0</v>
      </c>
      <c r="AD289" s="486">
        <v>0</v>
      </c>
      <c r="AE289" s="486">
        <f t="shared" si="491"/>
        <v>0</v>
      </c>
      <c r="AF289" s="486">
        <f t="shared" si="492"/>
        <v>0</v>
      </c>
      <c r="AG289" s="501">
        <v>0</v>
      </c>
      <c r="AH289" s="501">
        <v>0</v>
      </c>
      <c r="AI289" s="501">
        <v>0</v>
      </c>
      <c r="AJ289" s="501">
        <v>0</v>
      </c>
      <c r="AK289" s="501">
        <v>0</v>
      </c>
      <c r="AL289" s="501">
        <f t="shared" si="518"/>
        <v>0</v>
      </c>
      <c r="AM289" s="501">
        <f t="shared" si="519"/>
        <v>0</v>
      </c>
      <c r="AN289" s="502">
        <f t="shared" si="493"/>
        <v>0</v>
      </c>
      <c r="AO289" s="499">
        <f t="shared" si="520"/>
        <v>61092</v>
      </c>
      <c r="AP289" s="486">
        <f t="shared" si="521"/>
        <v>43065</v>
      </c>
      <c r="AQ289" s="486">
        <f t="shared" si="522"/>
        <v>0</v>
      </c>
      <c r="AR289" s="486">
        <f t="shared" si="523"/>
        <v>0</v>
      </c>
      <c r="AS289" s="486">
        <f t="shared" si="524"/>
        <v>14556</v>
      </c>
      <c r="AT289" s="486">
        <f t="shared" si="524"/>
        <v>861</v>
      </c>
      <c r="AU289" s="486">
        <f t="shared" si="525"/>
        <v>2610</v>
      </c>
      <c r="AV289" s="501">
        <f t="shared" si="526"/>
        <v>0.18</v>
      </c>
      <c r="AW289" s="501">
        <f t="shared" si="527"/>
        <v>0</v>
      </c>
      <c r="AX289" s="502">
        <f t="shared" si="527"/>
        <v>0.18</v>
      </c>
    </row>
    <row r="290" spans="1:50" s="695" customFormat="1" ht="12.75" customHeight="1" x14ac:dyDescent="0.2">
      <c r="A290" s="282">
        <v>51</v>
      </c>
      <c r="B290" s="27">
        <v>4465</v>
      </c>
      <c r="C290" s="27">
        <v>600074757</v>
      </c>
      <c r="D290" s="27">
        <v>46750428</v>
      </c>
      <c r="E290" s="292" t="s">
        <v>251</v>
      </c>
      <c r="F290" s="27"/>
      <c r="G290" s="281"/>
      <c r="H290" s="377"/>
      <c r="I290" s="5">
        <v>35602257</v>
      </c>
      <c r="J290" s="8">
        <v>25404099</v>
      </c>
      <c r="K290" s="8">
        <v>190414</v>
      </c>
      <c r="L290" s="8">
        <v>49284</v>
      </c>
      <c r="M290" s="8">
        <v>8634287</v>
      </c>
      <c r="N290" s="8">
        <v>508081</v>
      </c>
      <c r="O290" s="8">
        <v>865376</v>
      </c>
      <c r="P290" s="9">
        <v>56.044400000000003</v>
      </c>
      <c r="Q290" s="9">
        <v>38.872399999999999</v>
      </c>
      <c r="R290" s="33">
        <v>17.172000000000001</v>
      </c>
      <c r="S290" s="5">
        <f t="shared" ref="S290:AX290" si="528">SUM(S284:S289)</f>
        <v>0</v>
      </c>
      <c r="T290" s="8">
        <f t="shared" si="528"/>
        <v>14150</v>
      </c>
      <c r="U290" s="8">
        <f t="shared" si="528"/>
        <v>0</v>
      </c>
      <c r="V290" s="8">
        <f t="shared" si="528"/>
        <v>14150</v>
      </c>
      <c r="W290" s="8">
        <f t="shared" si="528"/>
        <v>0</v>
      </c>
      <c r="X290" s="8">
        <f t="shared" si="528"/>
        <v>0</v>
      </c>
      <c r="Y290" s="8">
        <f t="shared" si="528"/>
        <v>0</v>
      </c>
      <c r="Z290" s="8">
        <f t="shared" si="528"/>
        <v>14150</v>
      </c>
      <c r="AA290" s="8">
        <f t="shared" si="528"/>
        <v>4783</v>
      </c>
      <c r="AB290" s="8">
        <f t="shared" si="528"/>
        <v>283</v>
      </c>
      <c r="AC290" s="8">
        <f t="shared" si="528"/>
        <v>0</v>
      </c>
      <c r="AD290" s="8">
        <f t="shared" si="528"/>
        <v>0</v>
      </c>
      <c r="AE290" s="8">
        <f t="shared" si="528"/>
        <v>0</v>
      </c>
      <c r="AF290" s="8">
        <f t="shared" si="528"/>
        <v>19216</v>
      </c>
      <c r="AG290" s="9">
        <f t="shared" si="528"/>
        <v>0</v>
      </c>
      <c r="AH290" s="9">
        <f t="shared" si="528"/>
        <v>0</v>
      </c>
      <c r="AI290" s="9">
        <f t="shared" si="528"/>
        <v>0.04</v>
      </c>
      <c r="AJ290" s="9">
        <f t="shared" si="528"/>
        <v>0</v>
      </c>
      <c r="AK290" s="9">
        <f t="shared" si="528"/>
        <v>0</v>
      </c>
      <c r="AL290" s="9">
        <f t="shared" si="528"/>
        <v>0.04</v>
      </c>
      <c r="AM290" s="9">
        <f t="shared" si="528"/>
        <v>0</v>
      </c>
      <c r="AN290" s="74">
        <f t="shared" si="528"/>
        <v>0.04</v>
      </c>
      <c r="AO290" s="270">
        <f t="shared" si="528"/>
        <v>35621473</v>
      </c>
      <c r="AP290" s="8">
        <f t="shared" si="528"/>
        <v>25418249</v>
      </c>
      <c r="AQ290" s="38">
        <f t="shared" si="528"/>
        <v>190414</v>
      </c>
      <c r="AR290" s="38">
        <f t="shared" si="528"/>
        <v>49284</v>
      </c>
      <c r="AS290" s="8">
        <f t="shared" si="528"/>
        <v>8639070</v>
      </c>
      <c r="AT290" s="8">
        <f t="shared" si="528"/>
        <v>508364</v>
      </c>
      <c r="AU290" s="8">
        <f t="shared" si="528"/>
        <v>865376</v>
      </c>
      <c r="AV290" s="9">
        <f t="shared" si="528"/>
        <v>56.084400000000009</v>
      </c>
      <c r="AW290" s="9">
        <f t="shared" si="528"/>
        <v>38.912399999999998</v>
      </c>
      <c r="AX290" s="74">
        <f t="shared" si="528"/>
        <v>17.172000000000001</v>
      </c>
    </row>
    <row r="291" spans="1:50" s="695" customFormat="1" ht="12.75" customHeight="1" x14ac:dyDescent="0.2">
      <c r="A291" s="720">
        <v>52</v>
      </c>
      <c r="B291" s="721">
        <v>4466</v>
      </c>
      <c r="C291" s="721">
        <v>650039017</v>
      </c>
      <c r="D291" s="721">
        <v>70982074</v>
      </c>
      <c r="E291" s="722" t="s">
        <v>252</v>
      </c>
      <c r="F291" s="721">
        <v>3111</v>
      </c>
      <c r="G291" s="531" t="s">
        <v>317</v>
      </c>
      <c r="H291" s="767" t="s">
        <v>283</v>
      </c>
      <c r="I291" s="495">
        <v>3683530</v>
      </c>
      <c r="J291" s="496">
        <v>3275841</v>
      </c>
      <c r="K291" s="496">
        <v>20000</v>
      </c>
      <c r="L291" s="496">
        <v>0</v>
      </c>
      <c r="M291" s="496">
        <v>324772</v>
      </c>
      <c r="N291" s="496">
        <v>18817</v>
      </c>
      <c r="O291" s="496">
        <v>44100</v>
      </c>
      <c r="P291" s="497">
        <v>8.1493000000000002</v>
      </c>
      <c r="Q291" s="412">
        <v>6.6165000000000003</v>
      </c>
      <c r="R291" s="764">
        <v>1.5327999999999999</v>
      </c>
      <c r="S291" s="530">
        <f t="shared" ref="S291:S296" si="529">W291*-1</f>
        <v>0</v>
      </c>
      <c r="T291" s="486">
        <v>0</v>
      </c>
      <c r="U291" s="486">
        <v>0</v>
      </c>
      <c r="V291" s="486">
        <f t="shared" ref="V291:V296" si="530">SUM(S291:U291)</f>
        <v>0</v>
      </c>
      <c r="W291" s="486">
        <v>0</v>
      </c>
      <c r="X291" s="486">
        <v>0</v>
      </c>
      <c r="Y291" s="486">
        <f t="shared" ref="Y291:Y296" si="531">SUM(W291:X291)</f>
        <v>0</v>
      </c>
      <c r="Z291" s="486">
        <f t="shared" ref="Z291:Z296" si="532">V291+Y291</f>
        <v>0</v>
      </c>
      <c r="AA291" s="319">
        <f t="shared" ref="AA291:AA296" si="533">ROUND((V291+W291)*33.8%,0)</f>
        <v>0</v>
      </c>
      <c r="AB291" s="178">
        <f t="shared" ref="AB291:AB296" si="534">ROUND(V291*2%,0)</f>
        <v>0</v>
      </c>
      <c r="AC291" s="486">
        <v>0</v>
      </c>
      <c r="AD291" s="486">
        <v>0</v>
      </c>
      <c r="AE291" s="486">
        <f t="shared" si="491"/>
        <v>0</v>
      </c>
      <c r="AF291" s="486">
        <f t="shared" si="492"/>
        <v>0</v>
      </c>
      <c r="AG291" s="501">
        <v>0</v>
      </c>
      <c r="AH291" s="501">
        <v>0</v>
      </c>
      <c r="AI291" s="501">
        <v>0</v>
      </c>
      <c r="AJ291" s="501">
        <v>0</v>
      </c>
      <c r="AK291" s="501">
        <v>0</v>
      </c>
      <c r="AL291" s="501">
        <f t="shared" ref="AL291:AL296" si="535">AG291+AI291+AJ291</f>
        <v>0</v>
      </c>
      <c r="AM291" s="501">
        <f t="shared" ref="AM291:AM296" si="536">AH291+AK291</f>
        <v>0</v>
      </c>
      <c r="AN291" s="502">
        <f t="shared" si="493"/>
        <v>0</v>
      </c>
      <c r="AO291" s="499">
        <f t="shared" ref="AO291:AO296" si="537">I291+AF291</f>
        <v>3683530</v>
      </c>
      <c r="AP291" s="486">
        <f t="shared" ref="AP291:AP296" si="538">J291+V291</f>
        <v>3275841</v>
      </c>
      <c r="AQ291" s="486">
        <f t="shared" ref="AQ291:AQ296" si="539">K291+Y291</f>
        <v>20000</v>
      </c>
      <c r="AR291" s="486">
        <f t="shared" ref="AR291:AR296" si="540">L291</f>
        <v>0</v>
      </c>
      <c r="AS291" s="486">
        <f t="shared" ref="AS291:AT296" si="541">M291+AA291</f>
        <v>324772</v>
      </c>
      <c r="AT291" s="486">
        <f t="shared" si="541"/>
        <v>18817</v>
      </c>
      <c r="AU291" s="486">
        <f t="shared" ref="AU291:AU296" si="542">O291+AE291</f>
        <v>44100</v>
      </c>
      <c r="AV291" s="501">
        <f t="shared" ref="AV291:AV296" si="543">P291+AN291</f>
        <v>8.1493000000000002</v>
      </c>
      <c r="AW291" s="501">
        <f t="shared" ref="AW291:AX296" si="544">Q291+AL291</f>
        <v>6.6165000000000003</v>
      </c>
      <c r="AX291" s="502">
        <f t="shared" si="544"/>
        <v>1.5327999999999999</v>
      </c>
    </row>
    <row r="292" spans="1:50" s="695" customFormat="1" ht="12.75" customHeight="1" x14ac:dyDescent="0.2">
      <c r="A292" s="720">
        <v>52</v>
      </c>
      <c r="B292" s="721">
        <v>4466</v>
      </c>
      <c r="C292" s="721">
        <v>650039017</v>
      </c>
      <c r="D292" s="721">
        <v>70982074</v>
      </c>
      <c r="E292" s="712" t="s">
        <v>252</v>
      </c>
      <c r="F292" s="721">
        <v>3117</v>
      </c>
      <c r="G292" s="531" t="s">
        <v>320</v>
      </c>
      <c r="H292" s="767" t="s">
        <v>283</v>
      </c>
      <c r="I292" s="495">
        <v>7807239</v>
      </c>
      <c r="J292" s="496">
        <v>4844085</v>
      </c>
      <c r="K292" s="496">
        <v>112525</v>
      </c>
      <c r="L292" s="496">
        <v>52525</v>
      </c>
      <c r="M292" s="496">
        <v>2434761</v>
      </c>
      <c r="N292" s="496">
        <v>142868</v>
      </c>
      <c r="O292" s="496">
        <v>273000</v>
      </c>
      <c r="P292" s="497">
        <v>9.9576999999999973</v>
      </c>
      <c r="Q292" s="412">
        <v>6.4653999999999998</v>
      </c>
      <c r="R292" s="764">
        <v>3.4922999999999993</v>
      </c>
      <c r="S292" s="530">
        <f t="shared" si="529"/>
        <v>0</v>
      </c>
      <c r="T292" s="486">
        <v>0</v>
      </c>
      <c r="U292" s="486">
        <v>0</v>
      </c>
      <c r="V292" s="486">
        <f t="shared" si="530"/>
        <v>0</v>
      </c>
      <c r="W292" s="486">
        <v>0</v>
      </c>
      <c r="X292" s="486">
        <v>0</v>
      </c>
      <c r="Y292" s="486">
        <f t="shared" si="531"/>
        <v>0</v>
      </c>
      <c r="Z292" s="486">
        <f t="shared" si="532"/>
        <v>0</v>
      </c>
      <c r="AA292" s="319">
        <f t="shared" si="533"/>
        <v>0</v>
      </c>
      <c r="AB292" s="178">
        <f t="shared" si="534"/>
        <v>0</v>
      </c>
      <c r="AC292" s="486">
        <v>0</v>
      </c>
      <c r="AD292" s="486">
        <v>0</v>
      </c>
      <c r="AE292" s="486">
        <f t="shared" si="491"/>
        <v>0</v>
      </c>
      <c r="AF292" s="486">
        <f t="shared" si="492"/>
        <v>0</v>
      </c>
      <c r="AG292" s="501">
        <v>0</v>
      </c>
      <c r="AH292" s="501">
        <v>0</v>
      </c>
      <c r="AI292" s="501">
        <v>0</v>
      </c>
      <c r="AJ292" s="501">
        <v>0</v>
      </c>
      <c r="AK292" s="501">
        <v>0</v>
      </c>
      <c r="AL292" s="501">
        <f t="shared" si="535"/>
        <v>0</v>
      </c>
      <c r="AM292" s="501">
        <f t="shared" si="536"/>
        <v>0</v>
      </c>
      <c r="AN292" s="502">
        <f t="shared" si="493"/>
        <v>0</v>
      </c>
      <c r="AO292" s="499">
        <f t="shared" si="537"/>
        <v>7807239</v>
      </c>
      <c r="AP292" s="486">
        <f t="shared" si="538"/>
        <v>4844085</v>
      </c>
      <c r="AQ292" s="486">
        <f t="shared" si="539"/>
        <v>112525</v>
      </c>
      <c r="AR292" s="486">
        <f t="shared" si="540"/>
        <v>52525</v>
      </c>
      <c r="AS292" s="486">
        <f t="shared" si="541"/>
        <v>2434761</v>
      </c>
      <c r="AT292" s="486">
        <f t="shared" si="541"/>
        <v>142868</v>
      </c>
      <c r="AU292" s="486">
        <f t="shared" si="542"/>
        <v>273000</v>
      </c>
      <c r="AV292" s="501">
        <f t="shared" si="543"/>
        <v>9.9576999999999973</v>
      </c>
      <c r="AW292" s="501">
        <f t="shared" si="544"/>
        <v>6.4653999999999998</v>
      </c>
      <c r="AX292" s="502">
        <f t="shared" si="544"/>
        <v>3.4922999999999993</v>
      </c>
    </row>
    <row r="293" spans="1:50" s="695" customFormat="1" ht="12.75" customHeight="1" x14ac:dyDescent="0.2">
      <c r="A293" s="720">
        <v>52</v>
      </c>
      <c r="B293" s="721">
        <v>4466</v>
      </c>
      <c r="C293" s="721">
        <v>650039017</v>
      </c>
      <c r="D293" s="721">
        <v>70982074</v>
      </c>
      <c r="E293" s="712" t="s">
        <v>252</v>
      </c>
      <c r="F293" s="721">
        <v>3117</v>
      </c>
      <c r="G293" s="531" t="s">
        <v>318</v>
      </c>
      <c r="H293" s="767" t="s">
        <v>284</v>
      </c>
      <c r="I293" s="495">
        <v>1179013</v>
      </c>
      <c r="J293" s="496">
        <v>868198</v>
      </c>
      <c r="K293" s="475">
        <v>0</v>
      </c>
      <c r="L293" s="475">
        <v>0</v>
      </c>
      <c r="M293" s="319">
        <v>293451</v>
      </c>
      <c r="N293" s="319">
        <v>17364</v>
      </c>
      <c r="O293" s="496">
        <v>0</v>
      </c>
      <c r="P293" s="497">
        <v>2.6399999999999997</v>
      </c>
      <c r="Q293" s="412">
        <v>2.6399999999999997</v>
      </c>
      <c r="R293" s="764">
        <v>0</v>
      </c>
      <c r="S293" s="530">
        <f t="shared" si="529"/>
        <v>0</v>
      </c>
      <c r="T293" s="486">
        <v>0</v>
      </c>
      <c r="U293" s="486">
        <v>0</v>
      </c>
      <c r="V293" s="486">
        <f t="shared" si="530"/>
        <v>0</v>
      </c>
      <c r="W293" s="486">
        <v>0</v>
      </c>
      <c r="X293" s="486">
        <v>0</v>
      </c>
      <c r="Y293" s="486">
        <f t="shared" si="531"/>
        <v>0</v>
      </c>
      <c r="Z293" s="486">
        <f t="shared" si="532"/>
        <v>0</v>
      </c>
      <c r="AA293" s="319">
        <f t="shared" si="533"/>
        <v>0</v>
      </c>
      <c r="AB293" s="178">
        <f t="shared" si="534"/>
        <v>0</v>
      </c>
      <c r="AC293" s="486">
        <v>0</v>
      </c>
      <c r="AD293" s="486">
        <v>0</v>
      </c>
      <c r="AE293" s="486">
        <f t="shared" si="491"/>
        <v>0</v>
      </c>
      <c r="AF293" s="486">
        <f t="shared" si="492"/>
        <v>0</v>
      </c>
      <c r="AG293" s="501">
        <v>0</v>
      </c>
      <c r="AH293" s="501">
        <v>0</v>
      </c>
      <c r="AI293" s="501">
        <v>0</v>
      </c>
      <c r="AJ293" s="501">
        <v>0</v>
      </c>
      <c r="AK293" s="501">
        <v>0</v>
      </c>
      <c r="AL293" s="501">
        <f t="shared" si="535"/>
        <v>0</v>
      </c>
      <c r="AM293" s="501">
        <f t="shared" si="536"/>
        <v>0</v>
      </c>
      <c r="AN293" s="502">
        <f t="shared" si="493"/>
        <v>0</v>
      </c>
      <c r="AO293" s="499">
        <f t="shared" si="537"/>
        <v>1179013</v>
      </c>
      <c r="AP293" s="486">
        <f t="shared" si="538"/>
        <v>868198</v>
      </c>
      <c r="AQ293" s="486">
        <f t="shared" si="539"/>
        <v>0</v>
      </c>
      <c r="AR293" s="486">
        <f t="shared" si="540"/>
        <v>0</v>
      </c>
      <c r="AS293" s="486">
        <f t="shared" si="541"/>
        <v>293451</v>
      </c>
      <c r="AT293" s="486">
        <f t="shared" si="541"/>
        <v>17364</v>
      </c>
      <c r="AU293" s="486">
        <f t="shared" si="542"/>
        <v>0</v>
      </c>
      <c r="AV293" s="501">
        <f t="shared" si="543"/>
        <v>2.6399999999999997</v>
      </c>
      <c r="AW293" s="501">
        <f t="shared" si="544"/>
        <v>2.6399999999999997</v>
      </c>
      <c r="AX293" s="502">
        <f t="shared" si="544"/>
        <v>0</v>
      </c>
    </row>
    <row r="294" spans="1:50" s="695" customFormat="1" ht="12.75" customHeight="1" x14ac:dyDescent="0.2">
      <c r="A294" s="720">
        <v>52</v>
      </c>
      <c r="B294" s="721">
        <v>4466</v>
      </c>
      <c r="C294" s="721">
        <v>650039017</v>
      </c>
      <c r="D294" s="721">
        <v>70982074</v>
      </c>
      <c r="E294" s="722" t="s">
        <v>252</v>
      </c>
      <c r="F294" s="721">
        <v>3141</v>
      </c>
      <c r="G294" s="531" t="s">
        <v>321</v>
      </c>
      <c r="H294" s="767" t="s">
        <v>284</v>
      </c>
      <c r="I294" s="495">
        <v>1473209</v>
      </c>
      <c r="J294" s="496">
        <v>1068663</v>
      </c>
      <c r="K294" s="475">
        <v>10000</v>
      </c>
      <c r="L294" s="475">
        <v>0</v>
      </c>
      <c r="M294" s="319">
        <v>364588</v>
      </c>
      <c r="N294" s="319">
        <v>21374</v>
      </c>
      <c r="O294" s="496">
        <v>8584</v>
      </c>
      <c r="P294" s="497">
        <v>3.67</v>
      </c>
      <c r="Q294" s="412">
        <v>0</v>
      </c>
      <c r="R294" s="764">
        <v>3.67</v>
      </c>
      <c r="S294" s="530">
        <f t="shared" si="529"/>
        <v>0</v>
      </c>
      <c r="T294" s="486">
        <v>0</v>
      </c>
      <c r="U294" s="486">
        <v>0</v>
      </c>
      <c r="V294" s="486">
        <f t="shared" si="530"/>
        <v>0</v>
      </c>
      <c r="W294" s="486">
        <v>0</v>
      </c>
      <c r="X294" s="486">
        <v>0</v>
      </c>
      <c r="Y294" s="486">
        <f t="shared" si="531"/>
        <v>0</v>
      </c>
      <c r="Z294" s="486">
        <f t="shared" si="532"/>
        <v>0</v>
      </c>
      <c r="AA294" s="319">
        <f t="shared" si="533"/>
        <v>0</v>
      </c>
      <c r="AB294" s="178">
        <f t="shared" si="534"/>
        <v>0</v>
      </c>
      <c r="AC294" s="486">
        <v>0</v>
      </c>
      <c r="AD294" s="486">
        <v>0</v>
      </c>
      <c r="AE294" s="486">
        <f t="shared" si="491"/>
        <v>0</v>
      </c>
      <c r="AF294" s="486">
        <f t="shared" si="492"/>
        <v>0</v>
      </c>
      <c r="AG294" s="501">
        <v>0</v>
      </c>
      <c r="AH294" s="501">
        <v>0</v>
      </c>
      <c r="AI294" s="501">
        <v>0</v>
      </c>
      <c r="AJ294" s="501">
        <v>0</v>
      </c>
      <c r="AK294" s="501">
        <v>0</v>
      </c>
      <c r="AL294" s="501">
        <f t="shared" si="535"/>
        <v>0</v>
      </c>
      <c r="AM294" s="501">
        <f t="shared" si="536"/>
        <v>0</v>
      </c>
      <c r="AN294" s="502">
        <f t="shared" si="493"/>
        <v>0</v>
      </c>
      <c r="AO294" s="499">
        <f t="shared" si="537"/>
        <v>1473209</v>
      </c>
      <c r="AP294" s="486">
        <f t="shared" si="538"/>
        <v>1068663</v>
      </c>
      <c r="AQ294" s="486">
        <f t="shared" si="539"/>
        <v>10000</v>
      </c>
      <c r="AR294" s="486">
        <f t="shared" si="540"/>
        <v>0</v>
      </c>
      <c r="AS294" s="486">
        <f t="shared" si="541"/>
        <v>364588</v>
      </c>
      <c r="AT294" s="486">
        <f t="shared" si="541"/>
        <v>21374</v>
      </c>
      <c r="AU294" s="486">
        <f t="shared" si="542"/>
        <v>8584</v>
      </c>
      <c r="AV294" s="501">
        <f t="shared" si="543"/>
        <v>3.67</v>
      </c>
      <c r="AW294" s="501">
        <f t="shared" si="544"/>
        <v>0</v>
      </c>
      <c r="AX294" s="502">
        <f t="shared" si="544"/>
        <v>3.67</v>
      </c>
    </row>
    <row r="295" spans="1:50" s="695" customFormat="1" ht="12.75" customHeight="1" x14ac:dyDescent="0.2">
      <c r="A295" s="720">
        <v>52</v>
      </c>
      <c r="B295" s="721">
        <v>4466</v>
      </c>
      <c r="C295" s="721">
        <v>650039017</v>
      </c>
      <c r="D295" s="721">
        <v>70982074</v>
      </c>
      <c r="E295" s="722" t="s">
        <v>252</v>
      </c>
      <c r="F295" s="721">
        <v>3143</v>
      </c>
      <c r="G295" s="531" t="s">
        <v>634</v>
      </c>
      <c r="H295" s="701" t="s">
        <v>283</v>
      </c>
      <c r="I295" s="495">
        <v>850054</v>
      </c>
      <c r="J295" s="496">
        <v>606715</v>
      </c>
      <c r="K295" s="496">
        <v>10000</v>
      </c>
      <c r="L295" s="496">
        <v>0</v>
      </c>
      <c r="M295" s="496">
        <v>220492</v>
      </c>
      <c r="N295" s="496">
        <v>12847</v>
      </c>
      <c r="O295" s="496">
        <v>0</v>
      </c>
      <c r="P295" s="497">
        <v>1.4</v>
      </c>
      <c r="Q295" s="412">
        <v>1.4</v>
      </c>
      <c r="R295" s="764">
        <v>0</v>
      </c>
      <c r="S295" s="530">
        <f t="shared" si="529"/>
        <v>0</v>
      </c>
      <c r="T295" s="486">
        <v>0</v>
      </c>
      <c r="U295" s="486">
        <v>0</v>
      </c>
      <c r="V295" s="486">
        <f t="shared" si="530"/>
        <v>0</v>
      </c>
      <c r="W295" s="486">
        <v>0</v>
      </c>
      <c r="X295" s="486">
        <v>0</v>
      </c>
      <c r="Y295" s="486">
        <f t="shared" si="531"/>
        <v>0</v>
      </c>
      <c r="Z295" s="486">
        <f t="shared" si="532"/>
        <v>0</v>
      </c>
      <c r="AA295" s="319">
        <f t="shared" si="533"/>
        <v>0</v>
      </c>
      <c r="AB295" s="178">
        <f t="shared" si="534"/>
        <v>0</v>
      </c>
      <c r="AC295" s="486">
        <v>0</v>
      </c>
      <c r="AD295" s="486">
        <v>0</v>
      </c>
      <c r="AE295" s="486">
        <f t="shared" si="491"/>
        <v>0</v>
      </c>
      <c r="AF295" s="486">
        <f t="shared" si="492"/>
        <v>0</v>
      </c>
      <c r="AG295" s="501">
        <v>0</v>
      </c>
      <c r="AH295" s="501">
        <v>0</v>
      </c>
      <c r="AI295" s="501">
        <v>0</v>
      </c>
      <c r="AJ295" s="501">
        <v>0</v>
      </c>
      <c r="AK295" s="501">
        <v>0</v>
      </c>
      <c r="AL295" s="501">
        <f t="shared" si="535"/>
        <v>0</v>
      </c>
      <c r="AM295" s="501">
        <f t="shared" si="536"/>
        <v>0</v>
      </c>
      <c r="AN295" s="502">
        <f t="shared" si="493"/>
        <v>0</v>
      </c>
      <c r="AO295" s="499">
        <f t="shared" si="537"/>
        <v>850054</v>
      </c>
      <c r="AP295" s="486">
        <f t="shared" si="538"/>
        <v>606715</v>
      </c>
      <c r="AQ295" s="486">
        <f t="shared" si="539"/>
        <v>10000</v>
      </c>
      <c r="AR295" s="486">
        <f t="shared" si="540"/>
        <v>0</v>
      </c>
      <c r="AS295" s="486">
        <f t="shared" si="541"/>
        <v>220492</v>
      </c>
      <c r="AT295" s="486">
        <f t="shared" si="541"/>
        <v>12847</v>
      </c>
      <c r="AU295" s="486">
        <f t="shared" si="542"/>
        <v>0</v>
      </c>
      <c r="AV295" s="501">
        <f t="shared" si="543"/>
        <v>1.4</v>
      </c>
      <c r="AW295" s="501">
        <f t="shared" si="544"/>
        <v>1.4</v>
      </c>
      <c r="AX295" s="502">
        <f t="shared" si="544"/>
        <v>0</v>
      </c>
    </row>
    <row r="296" spans="1:50" s="695" customFormat="1" ht="12.75" customHeight="1" x14ac:dyDescent="0.2">
      <c r="A296" s="720">
        <v>52</v>
      </c>
      <c r="B296" s="721">
        <v>4466</v>
      </c>
      <c r="C296" s="721">
        <v>650039017</v>
      </c>
      <c r="D296" s="721">
        <v>70982074</v>
      </c>
      <c r="E296" s="722" t="s">
        <v>252</v>
      </c>
      <c r="F296" s="721">
        <v>3143</v>
      </c>
      <c r="G296" s="531" t="s">
        <v>635</v>
      </c>
      <c r="H296" s="701" t="s">
        <v>284</v>
      </c>
      <c r="I296" s="495">
        <v>35111</v>
      </c>
      <c r="J296" s="496">
        <v>24750</v>
      </c>
      <c r="K296" s="475">
        <v>0</v>
      </c>
      <c r="L296" s="475">
        <v>0</v>
      </c>
      <c r="M296" s="319">
        <v>8366</v>
      </c>
      <c r="N296" s="319">
        <v>495</v>
      </c>
      <c r="O296" s="496">
        <v>1500</v>
      </c>
      <c r="P296" s="497">
        <v>0.1</v>
      </c>
      <c r="Q296" s="412">
        <v>0</v>
      </c>
      <c r="R296" s="764">
        <v>0.1</v>
      </c>
      <c r="S296" s="530">
        <f t="shared" si="529"/>
        <v>0</v>
      </c>
      <c r="T296" s="486">
        <v>0</v>
      </c>
      <c r="U296" s="486">
        <v>0</v>
      </c>
      <c r="V296" s="486">
        <f t="shared" si="530"/>
        <v>0</v>
      </c>
      <c r="W296" s="486">
        <v>0</v>
      </c>
      <c r="X296" s="486">
        <v>0</v>
      </c>
      <c r="Y296" s="486">
        <f t="shared" si="531"/>
        <v>0</v>
      </c>
      <c r="Z296" s="486">
        <f t="shared" si="532"/>
        <v>0</v>
      </c>
      <c r="AA296" s="319">
        <f t="shared" si="533"/>
        <v>0</v>
      </c>
      <c r="AB296" s="178">
        <f t="shared" si="534"/>
        <v>0</v>
      </c>
      <c r="AC296" s="486">
        <v>0</v>
      </c>
      <c r="AD296" s="486">
        <v>0</v>
      </c>
      <c r="AE296" s="486">
        <f t="shared" si="491"/>
        <v>0</v>
      </c>
      <c r="AF296" s="486">
        <f t="shared" si="492"/>
        <v>0</v>
      </c>
      <c r="AG296" s="501">
        <v>0</v>
      </c>
      <c r="AH296" s="501">
        <v>0</v>
      </c>
      <c r="AI296" s="501">
        <v>0</v>
      </c>
      <c r="AJ296" s="501">
        <v>0</v>
      </c>
      <c r="AK296" s="501">
        <v>0</v>
      </c>
      <c r="AL296" s="501">
        <f t="shared" si="535"/>
        <v>0</v>
      </c>
      <c r="AM296" s="501">
        <f t="shared" si="536"/>
        <v>0</v>
      </c>
      <c r="AN296" s="502">
        <f t="shared" si="493"/>
        <v>0</v>
      </c>
      <c r="AO296" s="499">
        <f t="shared" si="537"/>
        <v>35111</v>
      </c>
      <c r="AP296" s="486">
        <f t="shared" si="538"/>
        <v>24750</v>
      </c>
      <c r="AQ296" s="486">
        <f t="shared" si="539"/>
        <v>0</v>
      </c>
      <c r="AR296" s="486">
        <f t="shared" si="540"/>
        <v>0</v>
      </c>
      <c r="AS296" s="486">
        <f t="shared" si="541"/>
        <v>8366</v>
      </c>
      <c r="AT296" s="486">
        <f t="shared" si="541"/>
        <v>495</v>
      </c>
      <c r="AU296" s="486">
        <f t="shared" si="542"/>
        <v>1500</v>
      </c>
      <c r="AV296" s="501">
        <f t="shared" si="543"/>
        <v>0.1</v>
      </c>
      <c r="AW296" s="501">
        <f t="shared" si="544"/>
        <v>0</v>
      </c>
      <c r="AX296" s="502">
        <f t="shared" si="544"/>
        <v>0.1</v>
      </c>
    </row>
    <row r="297" spans="1:50" s="695" customFormat="1" x14ac:dyDescent="0.2">
      <c r="A297" s="282">
        <v>52</v>
      </c>
      <c r="B297" s="27">
        <v>4466</v>
      </c>
      <c r="C297" s="27">
        <v>650039017</v>
      </c>
      <c r="D297" s="27">
        <v>70982074</v>
      </c>
      <c r="E297" s="292" t="s">
        <v>253</v>
      </c>
      <c r="F297" s="27"/>
      <c r="G297" s="281"/>
      <c r="H297" s="377"/>
      <c r="I297" s="5">
        <v>15028156</v>
      </c>
      <c r="J297" s="8">
        <v>10688252</v>
      </c>
      <c r="K297" s="8">
        <v>152525</v>
      </c>
      <c r="L297" s="8">
        <v>52525</v>
      </c>
      <c r="M297" s="8">
        <v>3646430</v>
      </c>
      <c r="N297" s="8">
        <v>213765</v>
      </c>
      <c r="O297" s="8">
        <v>327184</v>
      </c>
      <c r="P297" s="9">
        <v>25.917000000000002</v>
      </c>
      <c r="Q297" s="9">
        <v>17.1219</v>
      </c>
      <c r="R297" s="33">
        <v>8.7950999999999997</v>
      </c>
      <c r="S297" s="5">
        <f t="shared" ref="S297:AX297" si="545">SUM(S291:S296)</f>
        <v>0</v>
      </c>
      <c r="T297" s="8">
        <f t="shared" si="545"/>
        <v>0</v>
      </c>
      <c r="U297" s="8">
        <f t="shared" si="545"/>
        <v>0</v>
      </c>
      <c r="V297" s="8">
        <f t="shared" si="545"/>
        <v>0</v>
      </c>
      <c r="W297" s="8">
        <f t="shared" si="545"/>
        <v>0</v>
      </c>
      <c r="X297" s="8">
        <f t="shared" si="545"/>
        <v>0</v>
      </c>
      <c r="Y297" s="8">
        <f t="shared" si="545"/>
        <v>0</v>
      </c>
      <c r="Z297" s="8">
        <f t="shared" si="545"/>
        <v>0</v>
      </c>
      <c r="AA297" s="8">
        <f t="shared" si="545"/>
        <v>0</v>
      </c>
      <c r="AB297" s="8">
        <f t="shared" si="545"/>
        <v>0</v>
      </c>
      <c r="AC297" s="8">
        <f t="shared" si="545"/>
        <v>0</v>
      </c>
      <c r="AD297" s="8">
        <f t="shared" si="545"/>
        <v>0</v>
      </c>
      <c r="AE297" s="8">
        <f t="shared" si="545"/>
        <v>0</v>
      </c>
      <c r="AF297" s="8">
        <f t="shared" si="545"/>
        <v>0</v>
      </c>
      <c r="AG297" s="9">
        <f t="shared" si="545"/>
        <v>0</v>
      </c>
      <c r="AH297" s="9">
        <f t="shared" si="545"/>
        <v>0</v>
      </c>
      <c r="AI297" s="9">
        <f t="shared" si="545"/>
        <v>0</v>
      </c>
      <c r="AJ297" s="9">
        <f t="shared" si="545"/>
        <v>0</v>
      </c>
      <c r="AK297" s="9">
        <f t="shared" si="545"/>
        <v>0</v>
      </c>
      <c r="AL297" s="9">
        <f t="shared" si="545"/>
        <v>0</v>
      </c>
      <c r="AM297" s="9">
        <f t="shared" si="545"/>
        <v>0</v>
      </c>
      <c r="AN297" s="74">
        <f t="shared" si="545"/>
        <v>0</v>
      </c>
      <c r="AO297" s="270">
        <f t="shared" si="545"/>
        <v>15028156</v>
      </c>
      <c r="AP297" s="8">
        <f t="shared" si="545"/>
        <v>10688252</v>
      </c>
      <c r="AQ297" s="38">
        <f t="shared" si="545"/>
        <v>152525</v>
      </c>
      <c r="AR297" s="38">
        <f t="shared" si="545"/>
        <v>52525</v>
      </c>
      <c r="AS297" s="8">
        <f t="shared" si="545"/>
        <v>3646430</v>
      </c>
      <c r="AT297" s="8">
        <f t="shared" si="545"/>
        <v>213765</v>
      </c>
      <c r="AU297" s="8">
        <f t="shared" si="545"/>
        <v>327184</v>
      </c>
      <c r="AV297" s="9">
        <f t="shared" si="545"/>
        <v>25.917000000000002</v>
      </c>
      <c r="AW297" s="9">
        <f t="shared" si="545"/>
        <v>17.1219</v>
      </c>
      <c r="AX297" s="74">
        <f t="shared" si="545"/>
        <v>8.7950999999999997</v>
      </c>
    </row>
    <row r="298" spans="1:50" s="695" customFormat="1" x14ac:dyDescent="0.2">
      <c r="A298" s="720">
        <v>53</v>
      </c>
      <c r="B298" s="721">
        <v>4470</v>
      </c>
      <c r="C298" s="721">
        <v>600075109</v>
      </c>
      <c r="D298" s="721">
        <v>70982112</v>
      </c>
      <c r="E298" s="722" t="s">
        <v>254</v>
      </c>
      <c r="F298" s="721">
        <v>3231</v>
      </c>
      <c r="G298" s="531" t="s">
        <v>322</v>
      </c>
      <c r="H298" s="767" t="s">
        <v>283</v>
      </c>
      <c r="I298" s="495">
        <v>8281854</v>
      </c>
      <c r="J298" s="496">
        <v>5890754</v>
      </c>
      <c r="K298" s="496">
        <v>190000</v>
      </c>
      <c r="L298" s="496">
        <v>0</v>
      </c>
      <c r="M298" s="496">
        <v>2055295</v>
      </c>
      <c r="N298" s="496">
        <v>117815</v>
      </c>
      <c r="O298" s="496">
        <v>27990</v>
      </c>
      <c r="P298" s="497">
        <v>11.5198</v>
      </c>
      <c r="Q298" s="412">
        <v>10.1934</v>
      </c>
      <c r="R298" s="764">
        <v>1.3263999999999996</v>
      </c>
      <c r="S298" s="530">
        <f>W298*-1</f>
        <v>0</v>
      </c>
      <c r="T298" s="486">
        <v>0</v>
      </c>
      <c r="U298" s="486">
        <v>0</v>
      </c>
      <c r="V298" s="486">
        <f>SUM(S298:U298)</f>
        <v>0</v>
      </c>
      <c r="W298" s="486">
        <v>0</v>
      </c>
      <c r="X298" s="486">
        <v>0</v>
      </c>
      <c r="Y298" s="486">
        <f>SUM(W298:X298)</f>
        <v>0</v>
      </c>
      <c r="Z298" s="486">
        <f>V298+Y298</f>
        <v>0</v>
      </c>
      <c r="AA298" s="319">
        <f>ROUND((V298+W298)*33.8%,0)</f>
        <v>0</v>
      </c>
      <c r="AB298" s="178">
        <f>ROUND(V298*2%,0)</f>
        <v>0</v>
      </c>
      <c r="AC298" s="486">
        <v>0</v>
      </c>
      <c r="AD298" s="486">
        <v>0</v>
      </c>
      <c r="AE298" s="486">
        <f t="shared" si="491"/>
        <v>0</v>
      </c>
      <c r="AF298" s="486">
        <f t="shared" si="492"/>
        <v>0</v>
      </c>
      <c r="AG298" s="501">
        <v>0</v>
      </c>
      <c r="AH298" s="501">
        <v>0</v>
      </c>
      <c r="AI298" s="501">
        <v>0</v>
      </c>
      <c r="AJ298" s="501">
        <v>0</v>
      </c>
      <c r="AK298" s="501">
        <v>0</v>
      </c>
      <c r="AL298" s="501">
        <f>AG298+AI298+AJ298</f>
        <v>0</v>
      </c>
      <c r="AM298" s="501">
        <f>AH298+AK298</f>
        <v>0</v>
      </c>
      <c r="AN298" s="502">
        <f t="shared" si="493"/>
        <v>0</v>
      </c>
      <c r="AO298" s="499">
        <f>I298+AF298</f>
        <v>8281854</v>
      </c>
      <c r="AP298" s="486">
        <f>J298+V298</f>
        <v>5890754</v>
      </c>
      <c r="AQ298" s="486">
        <f>K298+Y298</f>
        <v>190000</v>
      </c>
      <c r="AR298" s="486">
        <f>L298</f>
        <v>0</v>
      </c>
      <c r="AS298" s="486">
        <f>M298+AA298</f>
        <v>2055295</v>
      </c>
      <c r="AT298" s="486">
        <f>N298+AB298</f>
        <v>117815</v>
      </c>
      <c r="AU298" s="486">
        <f>O298+AE298</f>
        <v>27990</v>
      </c>
      <c r="AV298" s="501">
        <f>P298+AN298</f>
        <v>11.5198</v>
      </c>
      <c r="AW298" s="501">
        <f>Q298+AL298</f>
        <v>10.1934</v>
      </c>
      <c r="AX298" s="502">
        <f>R298+AM298</f>
        <v>1.3263999999999996</v>
      </c>
    </row>
    <row r="299" spans="1:50" s="695" customFormat="1" ht="13.5" thickBot="1" x14ac:dyDescent="0.25">
      <c r="A299" s="287">
        <v>53</v>
      </c>
      <c r="B299" s="45">
        <v>4470</v>
      </c>
      <c r="C299" s="45">
        <v>600075109</v>
      </c>
      <c r="D299" s="45">
        <v>70982112</v>
      </c>
      <c r="E299" s="715" t="s">
        <v>255</v>
      </c>
      <c r="F299" s="45"/>
      <c r="G299" s="288"/>
      <c r="H299" s="716"/>
      <c r="I299" s="765">
        <v>8281854</v>
      </c>
      <c r="J299" s="38">
        <v>5890754</v>
      </c>
      <c r="K299" s="38">
        <v>190000</v>
      </c>
      <c r="L299" s="38">
        <v>0</v>
      </c>
      <c r="M299" s="38">
        <v>2055295</v>
      </c>
      <c r="N299" s="38">
        <v>117815</v>
      </c>
      <c r="O299" s="38">
        <v>27990</v>
      </c>
      <c r="P299" s="40">
        <v>11.5198</v>
      </c>
      <c r="Q299" s="40">
        <v>10.1934</v>
      </c>
      <c r="R299" s="51">
        <v>1.3263999999999996</v>
      </c>
      <c r="S299" s="765">
        <f t="shared" ref="S299:AX299" si="546">SUM(S298)</f>
        <v>0</v>
      </c>
      <c r="T299" s="38">
        <f t="shared" si="546"/>
        <v>0</v>
      </c>
      <c r="U299" s="38">
        <f t="shared" si="546"/>
        <v>0</v>
      </c>
      <c r="V299" s="38">
        <f t="shared" si="546"/>
        <v>0</v>
      </c>
      <c r="W299" s="38">
        <f t="shared" si="546"/>
        <v>0</v>
      </c>
      <c r="X299" s="38">
        <f t="shared" si="546"/>
        <v>0</v>
      </c>
      <c r="Y299" s="38">
        <f t="shared" si="546"/>
        <v>0</v>
      </c>
      <c r="Z299" s="38">
        <f t="shared" si="546"/>
        <v>0</v>
      </c>
      <c r="AA299" s="38">
        <f t="shared" si="546"/>
        <v>0</v>
      </c>
      <c r="AB299" s="38">
        <f t="shared" si="546"/>
        <v>0</v>
      </c>
      <c r="AC299" s="38">
        <f t="shared" si="546"/>
        <v>0</v>
      </c>
      <c r="AD299" s="38">
        <f t="shared" si="546"/>
        <v>0</v>
      </c>
      <c r="AE299" s="38">
        <f t="shared" si="546"/>
        <v>0</v>
      </c>
      <c r="AF299" s="38">
        <f t="shared" si="546"/>
        <v>0</v>
      </c>
      <c r="AG299" s="40">
        <f t="shared" si="546"/>
        <v>0</v>
      </c>
      <c r="AH299" s="40">
        <f t="shared" si="546"/>
        <v>0</v>
      </c>
      <c r="AI299" s="40">
        <f t="shared" si="546"/>
        <v>0</v>
      </c>
      <c r="AJ299" s="40">
        <f t="shared" si="546"/>
        <v>0</v>
      </c>
      <c r="AK299" s="40">
        <f t="shared" si="546"/>
        <v>0</v>
      </c>
      <c r="AL299" s="40">
        <f t="shared" si="546"/>
        <v>0</v>
      </c>
      <c r="AM299" s="40">
        <f t="shared" si="546"/>
        <v>0</v>
      </c>
      <c r="AN299" s="76">
        <f t="shared" si="546"/>
        <v>0</v>
      </c>
      <c r="AO299" s="272">
        <f t="shared" si="546"/>
        <v>8281854</v>
      </c>
      <c r="AP299" s="38">
        <f t="shared" si="546"/>
        <v>5890754</v>
      </c>
      <c r="AQ299" s="38">
        <f t="shared" si="546"/>
        <v>190000</v>
      </c>
      <c r="AR299" s="38">
        <f t="shared" si="546"/>
        <v>0</v>
      </c>
      <c r="AS299" s="38">
        <f t="shared" si="546"/>
        <v>2055295</v>
      </c>
      <c r="AT299" s="38">
        <f t="shared" si="546"/>
        <v>117815</v>
      </c>
      <c r="AU299" s="38">
        <f t="shared" si="546"/>
        <v>27990</v>
      </c>
      <c r="AV299" s="40">
        <f t="shared" si="546"/>
        <v>11.5198</v>
      </c>
      <c r="AW299" s="40">
        <f t="shared" si="546"/>
        <v>10.1934</v>
      </c>
      <c r="AX299" s="76">
        <f t="shared" si="546"/>
        <v>1.3263999999999996</v>
      </c>
    </row>
    <row r="300" spans="1:50" s="695" customFormat="1" ht="13.5" thickBot="1" x14ac:dyDescent="0.25">
      <c r="A300" s="289"/>
      <c r="B300" s="42"/>
      <c r="C300" s="42"/>
      <c r="D300" s="42"/>
      <c r="E300" s="189" t="s">
        <v>798</v>
      </c>
      <c r="F300" s="42"/>
      <c r="G300" s="290"/>
      <c r="H300" s="762"/>
      <c r="I300" s="768">
        <f t="shared" ref="I300:AX300" si="547">I13+I17+I22+I27+I31+I34+I37+I41+I43+I50+I56+I63+I70+I76+I83+I89+I95+I105+I107+I111+I118+I122+I128+I135+I142+I144+I148+I155+I162+I169+I176+I182+I186+I193+I197+I203+I212+I219+I221+I225+I232+I239+I243+I250+I253+I260+I263+I269+I276+I283+I290+I297+I299</f>
        <v>938402853</v>
      </c>
      <c r="J300" s="49">
        <f t="shared" si="547"/>
        <v>670804147</v>
      </c>
      <c r="K300" s="49">
        <f t="shared" si="547"/>
        <v>5748888</v>
      </c>
      <c r="L300" s="49">
        <f t="shared" si="547"/>
        <v>2473006</v>
      </c>
      <c r="M300" s="49">
        <f t="shared" si="547"/>
        <v>227839044</v>
      </c>
      <c r="N300" s="49">
        <f t="shared" si="547"/>
        <v>13416086</v>
      </c>
      <c r="O300" s="49">
        <f t="shared" si="547"/>
        <v>20594688</v>
      </c>
      <c r="P300" s="50">
        <f t="shared" si="547"/>
        <v>1483.6801</v>
      </c>
      <c r="Q300" s="50">
        <f t="shared" si="547"/>
        <v>1054.5968000000005</v>
      </c>
      <c r="R300" s="52">
        <f t="shared" si="547"/>
        <v>429.08330000000029</v>
      </c>
      <c r="S300" s="768">
        <f t="shared" si="547"/>
        <v>104000</v>
      </c>
      <c r="T300" s="49">
        <f t="shared" si="547"/>
        <v>72608</v>
      </c>
      <c r="U300" s="49">
        <f t="shared" si="547"/>
        <v>-99411</v>
      </c>
      <c r="V300" s="49">
        <f t="shared" si="547"/>
        <v>77197</v>
      </c>
      <c r="W300" s="49">
        <f t="shared" si="547"/>
        <v>-104000</v>
      </c>
      <c r="X300" s="49">
        <f t="shared" si="547"/>
        <v>0</v>
      </c>
      <c r="Y300" s="49">
        <f t="shared" si="547"/>
        <v>-104000</v>
      </c>
      <c r="Z300" s="49">
        <f t="shared" si="547"/>
        <v>-26803</v>
      </c>
      <c r="AA300" s="49">
        <f t="shared" si="547"/>
        <v>-9059</v>
      </c>
      <c r="AB300" s="49">
        <f t="shared" si="547"/>
        <v>1543</v>
      </c>
      <c r="AC300" s="49">
        <f t="shared" si="547"/>
        <v>20250</v>
      </c>
      <c r="AD300" s="49">
        <f t="shared" si="547"/>
        <v>135001</v>
      </c>
      <c r="AE300" s="49">
        <f t="shared" si="547"/>
        <v>155251</v>
      </c>
      <c r="AF300" s="49">
        <f t="shared" si="547"/>
        <v>120932</v>
      </c>
      <c r="AG300" s="50">
        <f t="shared" si="547"/>
        <v>0.2</v>
      </c>
      <c r="AH300" s="50">
        <f t="shared" si="547"/>
        <v>0</v>
      </c>
      <c r="AI300" s="50">
        <f t="shared" si="547"/>
        <v>7.0000000000000007E-2</v>
      </c>
      <c r="AJ300" s="50">
        <f t="shared" si="547"/>
        <v>0</v>
      </c>
      <c r="AK300" s="50">
        <f t="shared" si="547"/>
        <v>0</v>
      </c>
      <c r="AL300" s="50">
        <f t="shared" si="547"/>
        <v>0.27</v>
      </c>
      <c r="AM300" s="50">
        <f t="shared" si="547"/>
        <v>0</v>
      </c>
      <c r="AN300" s="77">
        <f t="shared" si="547"/>
        <v>0.27</v>
      </c>
      <c r="AO300" s="293">
        <f t="shared" si="547"/>
        <v>938523785</v>
      </c>
      <c r="AP300" s="49">
        <f t="shared" si="547"/>
        <v>670881344</v>
      </c>
      <c r="AQ300" s="49">
        <f t="shared" si="547"/>
        <v>5644888</v>
      </c>
      <c r="AR300" s="49">
        <f t="shared" si="547"/>
        <v>2473006</v>
      </c>
      <c r="AS300" s="49">
        <f t="shared" si="547"/>
        <v>227829985</v>
      </c>
      <c r="AT300" s="49">
        <f t="shared" si="547"/>
        <v>13417629</v>
      </c>
      <c r="AU300" s="49">
        <f t="shared" si="547"/>
        <v>20749939</v>
      </c>
      <c r="AV300" s="50">
        <f t="shared" si="547"/>
        <v>1483.9501</v>
      </c>
      <c r="AW300" s="50">
        <f t="shared" si="547"/>
        <v>1054.8668000000005</v>
      </c>
      <c r="AX300" s="77">
        <f t="shared" si="547"/>
        <v>429.08330000000029</v>
      </c>
    </row>
    <row r="301" spans="1:50" s="695" customFormat="1" x14ac:dyDescent="0.2">
      <c r="D301" s="16"/>
      <c r="E301" s="12"/>
      <c r="F301" s="16"/>
      <c r="G301" s="36"/>
      <c r="H301" s="12"/>
      <c r="I301" s="509">
        <f>J300+K300+M300+N300+O300</f>
        <v>938402853</v>
      </c>
      <c r="J301" s="509"/>
      <c r="K301" s="509"/>
      <c r="L301" s="509"/>
      <c r="M301" s="509"/>
      <c r="N301" s="509"/>
      <c r="O301" s="509"/>
      <c r="P301" s="510">
        <f>SUM(Q300:R300)</f>
        <v>1483.6801000000007</v>
      </c>
      <c r="Q301" s="510"/>
      <c r="R301" s="510"/>
      <c r="S301" s="509">
        <f>W300</f>
        <v>-104000</v>
      </c>
      <c r="T301" s="510"/>
      <c r="U301" s="510"/>
      <c r="V301" s="739">
        <f>SUM(S300:U300)</f>
        <v>77197</v>
      </c>
      <c r="W301" s="607"/>
      <c r="X301" s="607"/>
      <c r="Y301" s="606">
        <f>SUM(W300:X300)</f>
        <v>-104000</v>
      </c>
      <c r="Z301" s="739">
        <f>V300+Y300</f>
        <v>-26803</v>
      </c>
      <c r="AA301" s="741"/>
      <c r="AB301" s="741"/>
      <c r="AC301" s="740"/>
      <c r="AD301" s="740"/>
      <c r="AE301" s="739">
        <f>SUM(AC300:AD300)</f>
        <v>155251</v>
      </c>
      <c r="AF301" s="739">
        <f>Z300+AA300+AB300+AE300</f>
        <v>120932</v>
      </c>
      <c r="AG301" s="742"/>
      <c r="AH301" s="742"/>
      <c r="AI301" s="742"/>
      <c r="AJ301" s="742"/>
      <c r="AK301" s="742"/>
      <c r="AL301" s="743">
        <f>AG300+AI300+AJ300</f>
        <v>0.27</v>
      </c>
      <c r="AM301" s="743">
        <f>AH300+AK300</f>
        <v>0</v>
      </c>
      <c r="AN301" s="743">
        <f>SUM(AL300:AM300)</f>
        <v>0.27</v>
      </c>
      <c r="AO301" s="509">
        <f>AP300+AQ300+AS300+AT300+AU300</f>
        <v>938523785</v>
      </c>
      <c r="AP301" s="177"/>
      <c r="AQ301" s="177"/>
      <c r="AR301" s="509"/>
      <c r="AS301" s="177"/>
      <c r="AT301" s="177"/>
      <c r="AU301" s="177"/>
      <c r="AV301" s="510">
        <f>SUM(AW300:AX300)</f>
        <v>1483.9501000000007</v>
      </c>
      <c r="AW301" s="177"/>
      <c r="AX301" s="177"/>
    </row>
    <row r="302" spans="1:50" ht="13.5" thickBot="1" x14ac:dyDescent="0.25">
      <c r="D302" s="16"/>
      <c r="E302" s="12"/>
      <c r="F302" s="723"/>
      <c r="G302" s="36"/>
      <c r="H302" s="12"/>
      <c r="I302" s="192">
        <f ca="1">J303+K303+M303+N303+O303</f>
        <v>938402853</v>
      </c>
      <c r="J302" s="193"/>
      <c r="K302" s="193"/>
      <c r="L302" s="193"/>
      <c r="M302" s="193"/>
      <c r="N302" s="193"/>
      <c r="O302" s="193"/>
      <c r="P302" s="194">
        <f ca="1">SUM(Q303:R303)</f>
        <v>1483.6801</v>
      </c>
      <c r="Q302" s="339"/>
      <c r="R302" s="339"/>
      <c r="S302" s="355"/>
      <c r="T302" s="355"/>
      <c r="U302" s="355"/>
      <c r="V302" s="511">
        <f ca="1">SUM(S303:U303)</f>
        <v>77197</v>
      </c>
      <c r="W302" s="512"/>
      <c r="X302" s="512"/>
      <c r="Y302" s="511">
        <f ca="1">SUM(W303:X303)</f>
        <v>-104000</v>
      </c>
      <c r="Z302" s="511">
        <f ca="1">V303+Y303</f>
        <v>-26803</v>
      </c>
      <c r="AA302" s="354"/>
      <c r="AB302" s="354"/>
      <c r="AC302" s="512"/>
      <c r="AD302" s="512"/>
      <c r="AE302" s="511">
        <f ca="1">SUM(AC303:AD303)</f>
        <v>155251</v>
      </c>
      <c r="AF302" s="511">
        <f ca="1">Z303+AA303+AB303+AE303</f>
        <v>120932</v>
      </c>
      <c r="AG302" s="513"/>
      <c r="AH302" s="513"/>
      <c r="AI302" s="513"/>
      <c r="AJ302" s="513"/>
      <c r="AK302" s="513"/>
      <c r="AL302" s="514">
        <f ca="1">AG303+AI303+AJ303</f>
        <v>0.27</v>
      </c>
      <c r="AM302" s="514">
        <f ca="1">AH303+AK303</f>
        <v>0</v>
      </c>
      <c r="AN302" s="514">
        <f ca="1">SUM(AL303:AM303)</f>
        <v>0.27</v>
      </c>
      <c r="AO302" s="362">
        <f ca="1">AP303+AQ303+AS303+AT303+AU303</f>
        <v>938523785</v>
      </c>
      <c r="AP302" s="363"/>
      <c r="AQ302" s="363"/>
      <c r="AR302" s="683"/>
      <c r="AS302" s="363"/>
      <c r="AT302" s="363"/>
      <c r="AU302" s="363"/>
      <c r="AV302" s="355">
        <f ca="1">SUM(AW303:AX303)</f>
        <v>1483.9501</v>
      </c>
      <c r="AW302" s="363"/>
      <c r="AX302" s="363"/>
    </row>
    <row r="303" spans="1:50" ht="13.5" thickBot="1" x14ac:dyDescent="0.25">
      <c r="D303" s="16"/>
      <c r="E303" s="12"/>
      <c r="F303" s="16"/>
      <c r="G303" s="36"/>
      <c r="H303" s="39" t="s">
        <v>0</v>
      </c>
      <c r="I303" s="255">
        <f t="shared" ref="I303:AX303" ca="1" si="548">SUM(I304:I313)</f>
        <v>938402853</v>
      </c>
      <c r="J303" s="46">
        <f t="shared" ca="1" si="548"/>
        <v>670804147</v>
      </c>
      <c r="K303" s="46">
        <f t="shared" ca="1" si="548"/>
        <v>5748888</v>
      </c>
      <c r="L303" s="46">
        <f t="shared" ca="1" si="548"/>
        <v>2473006</v>
      </c>
      <c r="M303" s="46">
        <f t="shared" ca="1" si="548"/>
        <v>227839044</v>
      </c>
      <c r="N303" s="46">
        <f t="shared" ca="1" si="548"/>
        <v>13416086</v>
      </c>
      <c r="O303" s="46">
        <f t="shared" ca="1" si="548"/>
        <v>20594688</v>
      </c>
      <c r="P303" s="47">
        <f t="shared" ca="1" si="548"/>
        <v>1483.6800999999998</v>
      </c>
      <c r="Q303" s="47">
        <f t="shared" ca="1" si="548"/>
        <v>1054.5968</v>
      </c>
      <c r="R303" s="263">
        <f t="shared" ca="1" si="548"/>
        <v>429.08330000000001</v>
      </c>
      <c r="S303" s="255">
        <f t="shared" ca="1" si="548"/>
        <v>104000</v>
      </c>
      <c r="T303" s="46">
        <f t="shared" ca="1" si="548"/>
        <v>72608</v>
      </c>
      <c r="U303" s="46">
        <f t="shared" ca="1" si="548"/>
        <v>-99411</v>
      </c>
      <c r="V303" s="46">
        <f t="shared" ca="1" si="548"/>
        <v>77197</v>
      </c>
      <c r="W303" s="46">
        <f t="shared" ca="1" si="548"/>
        <v>-104000</v>
      </c>
      <c r="X303" s="46">
        <f t="shared" ca="1" si="548"/>
        <v>0</v>
      </c>
      <c r="Y303" s="46">
        <f t="shared" ca="1" si="548"/>
        <v>-104000</v>
      </c>
      <c r="Z303" s="46">
        <f t="shared" ca="1" si="548"/>
        <v>-26803</v>
      </c>
      <c r="AA303" s="46">
        <f t="shared" ca="1" si="548"/>
        <v>-9059</v>
      </c>
      <c r="AB303" s="46">
        <f t="shared" ca="1" si="548"/>
        <v>1543</v>
      </c>
      <c r="AC303" s="46">
        <f t="shared" ca="1" si="548"/>
        <v>20250</v>
      </c>
      <c r="AD303" s="46">
        <f t="shared" ca="1" si="548"/>
        <v>135001</v>
      </c>
      <c r="AE303" s="46">
        <f t="shared" ca="1" si="548"/>
        <v>155251</v>
      </c>
      <c r="AF303" s="46">
        <f t="shared" ca="1" si="548"/>
        <v>120932</v>
      </c>
      <c r="AG303" s="47">
        <f t="shared" ca="1" si="548"/>
        <v>0.2</v>
      </c>
      <c r="AH303" s="47">
        <f t="shared" ca="1" si="548"/>
        <v>0</v>
      </c>
      <c r="AI303" s="47">
        <f t="shared" ca="1" si="548"/>
        <v>7.0000000000000021E-2</v>
      </c>
      <c r="AJ303" s="47">
        <f t="shared" ca="1" si="548"/>
        <v>0</v>
      </c>
      <c r="AK303" s="47">
        <f t="shared" ca="1" si="548"/>
        <v>0</v>
      </c>
      <c r="AL303" s="47">
        <f t="shared" ca="1" si="548"/>
        <v>0.27</v>
      </c>
      <c r="AM303" s="47">
        <f t="shared" ca="1" si="548"/>
        <v>0</v>
      </c>
      <c r="AN303" s="48">
        <f t="shared" ca="1" si="548"/>
        <v>0.27</v>
      </c>
      <c r="AO303" s="264">
        <f t="shared" ca="1" si="548"/>
        <v>938523785</v>
      </c>
      <c r="AP303" s="46">
        <f t="shared" ca="1" si="548"/>
        <v>670881344</v>
      </c>
      <c r="AQ303" s="46">
        <f t="shared" ca="1" si="548"/>
        <v>5644888</v>
      </c>
      <c r="AR303" s="46">
        <f t="shared" ca="1" si="548"/>
        <v>2473006</v>
      </c>
      <c r="AS303" s="46">
        <f t="shared" ca="1" si="548"/>
        <v>227829985</v>
      </c>
      <c r="AT303" s="46">
        <f t="shared" ca="1" si="548"/>
        <v>13417629</v>
      </c>
      <c r="AU303" s="46">
        <f t="shared" ca="1" si="548"/>
        <v>20749939</v>
      </c>
      <c r="AV303" s="47">
        <f t="shared" ca="1" si="548"/>
        <v>1483.9500999999998</v>
      </c>
      <c r="AW303" s="47">
        <f t="shared" ca="1" si="548"/>
        <v>1054.8668</v>
      </c>
      <c r="AX303" s="48">
        <f t="shared" ca="1" si="548"/>
        <v>429.08330000000001</v>
      </c>
    </row>
    <row r="304" spans="1:50" x14ac:dyDescent="0.2">
      <c r="D304" s="16"/>
      <c r="E304" s="12"/>
      <c r="F304" s="16"/>
      <c r="G304" s="36"/>
      <c r="H304" s="1">
        <v>3111</v>
      </c>
      <c r="I304" s="321">
        <f t="shared" ref="I304:AX304" ca="1" si="549">SUMIF($F$12:$F$429,"=3111",I$12:I$385)</f>
        <v>175466225</v>
      </c>
      <c r="J304" s="322">
        <f t="shared" ca="1" si="549"/>
        <v>134029057</v>
      </c>
      <c r="K304" s="322">
        <f t="shared" ca="1" si="549"/>
        <v>487575</v>
      </c>
      <c r="L304" s="322">
        <f t="shared" ca="1" si="549"/>
        <v>0</v>
      </c>
      <c r="M304" s="322">
        <f t="shared" ca="1" si="549"/>
        <v>36547532</v>
      </c>
      <c r="N304" s="322">
        <f t="shared" ca="1" si="549"/>
        <v>2152825</v>
      </c>
      <c r="O304" s="322">
        <f t="shared" ca="1" si="549"/>
        <v>2249236</v>
      </c>
      <c r="P304" s="323">
        <f t="shared" ca="1" si="549"/>
        <v>318.85119999999989</v>
      </c>
      <c r="Q304" s="323">
        <f t="shared" ca="1" si="549"/>
        <v>247.43800000000002</v>
      </c>
      <c r="R304" s="326">
        <f t="shared" ca="1" si="549"/>
        <v>71.413200000000018</v>
      </c>
      <c r="S304" s="321">
        <f t="shared" ca="1" si="549"/>
        <v>0</v>
      </c>
      <c r="T304" s="322">
        <f t="shared" ca="1" si="549"/>
        <v>-9006</v>
      </c>
      <c r="U304" s="322">
        <f t="shared" ca="1" si="549"/>
        <v>-14728</v>
      </c>
      <c r="V304" s="322">
        <f t="shared" ca="1" si="549"/>
        <v>-23734</v>
      </c>
      <c r="W304" s="322">
        <f t="shared" ca="1" si="549"/>
        <v>0</v>
      </c>
      <c r="X304" s="322">
        <f t="shared" ca="1" si="549"/>
        <v>0</v>
      </c>
      <c r="Y304" s="322">
        <f t="shared" ca="1" si="549"/>
        <v>0</v>
      </c>
      <c r="Z304" s="322">
        <f t="shared" ca="1" si="549"/>
        <v>-23734</v>
      </c>
      <c r="AA304" s="322">
        <f t="shared" ca="1" si="549"/>
        <v>-8022</v>
      </c>
      <c r="AB304" s="322">
        <f t="shared" ca="1" si="549"/>
        <v>-475</v>
      </c>
      <c r="AC304" s="322">
        <f t="shared" ca="1" si="549"/>
        <v>0</v>
      </c>
      <c r="AD304" s="322">
        <f t="shared" ca="1" si="549"/>
        <v>20001</v>
      </c>
      <c r="AE304" s="322">
        <f t="shared" ca="1" si="549"/>
        <v>20001</v>
      </c>
      <c r="AF304" s="322">
        <f t="shared" ca="1" si="549"/>
        <v>-12230</v>
      </c>
      <c r="AG304" s="323">
        <f t="shared" ca="1" si="549"/>
        <v>0</v>
      </c>
      <c r="AH304" s="323">
        <f t="shared" ca="1" si="549"/>
        <v>0</v>
      </c>
      <c r="AI304" s="323">
        <f t="shared" ca="1" si="549"/>
        <v>-0.08</v>
      </c>
      <c r="AJ304" s="323">
        <f t="shared" ca="1" si="549"/>
        <v>0</v>
      </c>
      <c r="AK304" s="323">
        <f t="shared" ca="1" si="549"/>
        <v>0</v>
      </c>
      <c r="AL304" s="323">
        <f t="shared" ca="1" si="549"/>
        <v>-0.08</v>
      </c>
      <c r="AM304" s="323">
        <f t="shared" ca="1" si="549"/>
        <v>0</v>
      </c>
      <c r="AN304" s="324">
        <f t="shared" ca="1" si="549"/>
        <v>-0.08</v>
      </c>
      <c r="AO304" s="325">
        <f t="shared" ca="1" si="549"/>
        <v>175453995</v>
      </c>
      <c r="AP304" s="322">
        <f t="shared" ca="1" si="549"/>
        <v>134005323</v>
      </c>
      <c r="AQ304" s="322">
        <f t="shared" ca="1" si="549"/>
        <v>487575</v>
      </c>
      <c r="AR304" s="322">
        <f t="shared" ca="1" si="549"/>
        <v>0</v>
      </c>
      <c r="AS304" s="322">
        <f t="shared" ca="1" si="549"/>
        <v>36539510</v>
      </c>
      <c r="AT304" s="322">
        <f t="shared" ca="1" si="549"/>
        <v>2152350</v>
      </c>
      <c r="AU304" s="322">
        <f t="shared" ca="1" si="549"/>
        <v>2269237</v>
      </c>
      <c r="AV304" s="323">
        <f t="shared" ca="1" si="549"/>
        <v>318.77119999999985</v>
      </c>
      <c r="AW304" s="323">
        <f t="shared" ca="1" si="549"/>
        <v>247.35800000000003</v>
      </c>
      <c r="AX304" s="324">
        <f t="shared" ca="1" si="549"/>
        <v>71.413200000000018</v>
      </c>
    </row>
    <row r="305" spans="4:50" x14ac:dyDescent="0.2">
      <c r="D305" s="16"/>
      <c r="E305" s="12"/>
      <c r="F305" s="16"/>
      <c r="G305" s="36"/>
      <c r="H305" s="2">
        <v>3113</v>
      </c>
      <c r="I305" s="327">
        <f t="shared" ref="I305:AX305" si="550">SUMIF($F$12:$F$429,"=3113",I$12:I$429)</f>
        <v>484389414</v>
      </c>
      <c r="J305" s="328">
        <f t="shared" si="550"/>
        <v>336311885</v>
      </c>
      <c r="K305" s="328">
        <f t="shared" si="550"/>
        <v>3389298</v>
      </c>
      <c r="L305" s="328">
        <f t="shared" si="550"/>
        <v>2258332</v>
      </c>
      <c r="M305" s="328">
        <f t="shared" si="550"/>
        <v>122161796</v>
      </c>
      <c r="N305" s="328">
        <f t="shared" si="550"/>
        <v>7205885</v>
      </c>
      <c r="O305" s="328">
        <f t="shared" si="550"/>
        <v>15320550</v>
      </c>
      <c r="P305" s="329">
        <f t="shared" si="550"/>
        <v>672.41629999999998</v>
      </c>
      <c r="Q305" s="329">
        <f t="shared" si="550"/>
        <v>535.38259999999991</v>
      </c>
      <c r="R305" s="332">
        <f t="shared" si="550"/>
        <v>137.03370000000001</v>
      </c>
      <c r="S305" s="327">
        <f t="shared" si="550"/>
        <v>0</v>
      </c>
      <c r="T305" s="328">
        <f t="shared" si="550"/>
        <v>51415</v>
      </c>
      <c r="U305" s="328">
        <f t="shared" si="550"/>
        <v>-51546</v>
      </c>
      <c r="V305" s="328">
        <f t="shared" si="550"/>
        <v>-131</v>
      </c>
      <c r="W305" s="328">
        <f t="shared" si="550"/>
        <v>0</v>
      </c>
      <c r="X305" s="328">
        <f t="shared" si="550"/>
        <v>0</v>
      </c>
      <c r="Y305" s="328">
        <f t="shared" si="550"/>
        <v>0</v>
      </c>
      <c r="Z305" s="328">
        <f t="shared" si="550"/>
        <v>-131</v>
      </c>
      <c r="AA305" s="328">
        <f t="shared" si="550"/>
        <v>-44</v>
      </c>
      <c r="AB305" s="328">
        <f t="shared" si="550"/>
        <v>-3</v>
      </c>
      <c r="AC305" s="328">
        <f t="shared" si="550"/>
        <v>20250</v>
      </c>
      <c r="AD305" s="328">
        <f t="shared" si="550"/>
        <v>70000</v>
      </c>
      <c r="AE305" s="328">
        <f t="shared" si="550"/>
        <v>90250</v>
      </c>
      <c r="AF305" s="328">
        <f t="shared" si="550"/>
        <v>90072</v>
      </c>
      <c r="AG305" s="329">
        <f t="shared" si="550"/>
        <v>0</v>
      </c>
      <c r="AH305" s="329">
        <f t="shared" si="550"/>
        <v>0</v>
      </c>
      <c r="AI305" s="329">
        <f t="shared" si="550"/>
        <v>0.15000000000000002</v>
      </c>
      <c r="AJ305" s="329">
        <f t="shared" si="550"/>
        <v>0</v>
      </c>
      <c r="AK305" s="329">
        <f t="shared" si="550"/>
        <v>0</v>
      </c>
      <c r="AL305" s="329">
        <f t="shared" si="550"/>
        <v>0.15000000000000002</v>
      </c>
      <c r="AM305" s="329">
        <f t="shared" si="550"/>
        <v>0</v>
      </c>
      <c r="AN305" s="330">
        <f t="shared" si="550"/>
        <v>0.15000000000000002</v>
      </c>
      <c r="AO305" s="331">
        <f t="shared" si="550"/>
        <v>484479486</v>
      </c>
      <c r="AP305" s="328">
        <f t="shared" si="550"/>
        <v>336311754</v>
      </c>
      <c r="AQ305" s="328">
        <f t="shared" si="550"/>
        <v>3389298</v>
      </c>
      <c r="AR305" s="328">
        <f t="shared" si="550"/>
        <v>2258332</v>
      </c>
      <c r="AS305" s="328">
        <f t="shared" si="550"/>
        <v>122161752</v>
      </c>
      <c r="AT305" s="328">
        <f t="shared" si="550"/>
        <v>7205882</v>
      </c>
      <c r="AU305" s="328">
        <f t="shared" si="550"/>
        <v>15410800</v>
      </c>
      <c r="AV305" s="329">
        <f t="shared" si="550"/>
        <v>672.56629999999996</v>
      </c>
      <c r="AW305" s="329">
        <f t="shared" si="550"/>
        <v>535.53259999999977</v>
      </c>
      <c r="AX305" s="330">
        <f t="shared" si="550"/>
        <v>137.03370000000001</v>
      </c>
    </row>
    <row r="306" spans="4:50" x14ac:dyDescent="0.2">
      <c r="D306" s="16"/>
      <c r="E306" s="12"/>
      <c r="F306" s="16"/>
      <c r="G306" s="36"/>
      <c r="H306" s="2">
        <v>3114</v>
      </c>
      <c r="I306" s="327">
        <f t="shared" ref="I306:AX306" si="551">SUMIF($F$12:$F$429,"=3114",I$12:I$429)</f>
        <v>43032651</v>
      </c>
      <c r="J306" s="328">
        <f t="shared" si="551"/>
        <v>31083444</v>
      </c>
      <c r="K306" s="328">
        <f t="shared" si="551"/>
        <v>71632</v>
      </c>
      <c r="L306" s="328">
        <f t="shared" si="551"/>
        <v>71632</v>
      </c>
      <c r="M306" s="328">
        <f t="shared" si="551"/>
        <v>10506204</v>
      </c>
      <c r="N306" s="328">
        <f t="shared" si="551"/>
        <v>621670</v>
      </c>
      <c r="O306" s="328">
        <f t="shared" si="551"/>
        <v>749701</v>
      </c>
      <c r="P306" s="329">
        <f t="shared" si="551"/>
        <v>64.240299999999991</v>
      </c>
      <c r="Q306" s="329">
        <f t="shared" si="551"/>
        <v>53.180100000000003</v>
      </c>
      <c r="R306" s="332">
        <f t="shared" si="551"/>
        <v>11.060199999999995</v>
      </c>
      <c r="S306" s="327">
        <f t="shared" si="551"/>
        <v>0</v>
      </c>
      <c r="T306" s="328">
        <f t="shared" si="551"/>
        <v>0</v>
      </c>
      <c r="U306" s="328">
        <f t="shared" si="551"/>
        <v>0</v>
      </c>
      <c r="V306" s="328">
        <f t="shared" si="551"/>
        <v>0</v>
      </c>
      <c r="W306" s="328">
        <f t="shared" si="551"/>
        <v>0</v>
      </c>
      <c r="X306" s="328">
        <f t="shared" si="551"/>
        <v>0</v>
      </c>
      <c r="Y306" s="328">
        <f t="shared" si="551"/>
        <v>0</v>
      </c>
      <c r="Z306" s="328">
        <f t="shared" si="551"/>
        <v>0</v>
      </c>
      <c r="AA306" s="328">
        <f t="shared" si="551"/>
        <v>0</v>
      </c>
      <c r="AB306" s="328">
        <f t="shared" si="551"/>
        <v>0</v>
      </c>
      <c r="AC306" s="328">
        <f t="shared" si="551"/>
        <v>0</v>
      </c>
      <c r="AD306" s="328">
        <f t="shared" si="551"/>
        <v>0</v>
      </c>
      <c r="AE306" s="328">
        <f t="shared" si="551"/>
        <v>0</v>
      </c>
      <c r="AF306" s="328">
        <f t="shared" si="551"/>
        <v>0</v>
      </c>
      <c r="AG306" s="329">
        <f t="shared" si="551"/>
        <v>0</v>
      </c>
      <c r="AH306" s="329">
        <f t="shared" si="551"/>
        <v>0</v>
      </c>
      <c r="AI306" s="329">
        <f t="shared" si="551"/>
        <v>0</v>
      </c>
      <c r="AJ306" s="329">
        <f t="shared" si="551"/>
        <v>0</v>
      </c>
      <c r="AK306" s="329">
        <f t="shared" si="551"/>
        <v>0</v>
      </c>
      <c r="AL306" s="329">
        <f t="shared" si="551"/>
        <v>0</v>
      </c>
      <c r="AM306" s="329">
        <f t="shared" si="551"/>
        <v>0</v>
      </c>
      <c r="AN306" s="330">
        <f t="shared" si="551"/>
        <v>0</v>
      </c>
      <c r="AO306" s="331">
        <f t="shared" si="551"/>
        <v>43032651</v>
      </c>
      <c r="AP306" s="328">
        <f t="shared" si="551"/>
        <v>31083444</v>
      </c>
      <c r="AQ306" s="328">
        <f t="shared" si="551"/>
        <v>71632</v>
      </c>
      <c r="AR306" s="328">
        <f t="shared" si="551"/>
        <v>71632</v>
      </c>
      <c r="AS306" s="328">
        <f t="shared" si="551"/>
        <v>10506204</v>
      </c>
      <c r="AT306" s="328">
        <f t="shared" si="551"/>
        <v>621670</v>
      </c>
      <c r="AU306" s="328">
        <f t="shared" si="551"/>
        <v>749701</v>
      </c>
      <c r="AV306" s="329">
        <f t="shared" si="551"/>
        <v>64.240299999999991</v>
      </c>
      <c r="AW306" s="329">
        <f t="shared" si="551"/>
        <v>53.180100000000003</v>
      </c>
      <c r="AX306" s="330">
        <f t="shared" si="551"/>
        <v>11.060199999999995</v>
      </c>
    </row>
    <row r="307" spans="4:50" x14ac:dyDescent="0.2">
      <c r="D307" s="16"/>
      <c r="E307" s="12"/>
      <c r="F307" s="16"/>
      <c r="G307" s="36"/>
      <c r="H307" s="2">
        <v>3117</v>
      </c>
      <c r="I307" s="327">
        <f t="shared" ref="I307:AX307" si="552">SUMIF($F$12:$F$429,"=3117",I$12:I$429)</f>
        <v>52140146</v>
      </c>
      <c r="J307" s="328">
        <f t="shared" si="552"/>
        <v>35973929</v>
      </c>
      <c r="K307" s="328">
        <f t="shared" si="552"/>
        <v>322454</v>
      </c>
      <c r="L307" s="328">
        <f t="shared" si="552"/>
        <v>142598</v>
      </c>
      <c r="M307" s="328">
        <f t="shared" si="552"/>
        <v>13651573</v>
      </c>
      <c r="N307" s="328">
        <f t="shared" si="552"/>
        <v>804189</v>
      </c>
      <c r="O307" s="328">
        <f t="shared" si="552"/>
        <v>1388001</v>
      </c>
      <c r="P307" s="329">
        <f t="shared" si="552"/>
        <v>80.257999999999996</v>
      </c>
      <c r="Q307" s="329">
        <f t="shared" si="552"/>
        <v>59.420300000000005</v>
      </c>
      <c r="R307" s="332">
        <f t="shared" si="552"/>
        <v>20.837700000000002</v>
      </c>
      <c r="S307" s="327">
        <f t="shared" si="552"/>
        <v>14000</v>
      </c>
      <c r="T307" s="328">
        <f t="shared" si="552"/>
        <v>30199</v>
      </c>
      <c r="U307" s="328">
        <f t="shared" si="552"/>
        <v>-14728</v>
      </c>
      <c r="V307" s="328">
        <f t="shared" si="552"/>
        <v>29471</v>
      </c>
      <c r="W307" s="328">
        <f t="shared" si="552"/>
        <v>-14000</v>
      </c>
      <c r="X307" s="328">
        <f t="shared" si="552"/>
        <v>0</v>
      </c>
      <c r="Y307" s="328">
        <f t="shared" si="552"/>
        <v>-14000</v>
      </c>
      <c r="Z307" s="328">
        <f t="shared" si="552"/>
        <v>15471</v>
      </c>
      <c r="AA307" s="328">
        <f t="shared" si="552"/>
        <v>5229</v>
      </c>
      <c r="AB307" s="328">
        <f t="shared" si="552"/>
        <v>589</v>
      </c>
      <c r="AC307" s="328">
        <f t="shared" si="552"/>
        <v>0</v>
      </c>
      <c r="AD307" s="328">
        <f t="shared" si="552"/>
        <v>20001</v>
      </c>
      <c r="AE307" s="328">
        <f t="shared" si="552"/>
        <v>20001</v>
      </c>
      <c r="AF307" s="328">
        <f t="shared" si="552"/>
        <v>41290</v>
      </c>
      <c r="AG307" s="329">
        <f t="shared" si="552"/>
        <v>0.03</v>
      </c>
      <c r="AH307" s="329">
        <f t="shared" si="552"/>
        <v>0</v>
      </c>
      <c r="AI307" s="329">
        <f t="shared" si="552"/>
        <v>0</v>
      </c>
      <c r="AJ307" s="329">
        <f t="shared" si="552"/>
        <v>0</v>
      </c>
      <c r="AK307" s="329">
        <f t="shared" si="552"/>
        <v>0</v>
      </c>
      <c r="AL307" s="329">
        <f t="shared" si="552"/>
        <v>0.03</v>
      </c>
      <c r="AM307" s="329">
        <f t="shared" si="552"/>
        <v>0</v>
      </c>
      <c r="AN307" s="330">
        <f t="shared" si="552"/>
        <v>0.03</v>
      </c>
      <c r="AO307" s="331">
        <f t="shared" si="552"/>
        <v>52181436</v>
      </c>
      <c r="AP307" s="328">
        <f t="shared" si="552"/>
        <v>36003400</v>
      </c>
      <c r="AQ307" s="328">
        <f t="shared" si="552"/>
        <v>308454</v>
      </c>
      <c r="AR307" s="328">
        <f t="shared" si="552"/>
        <v>142598</v>
      </c>
      <c r="AS307" s="328">
        <f t="shared" si="552"/>
        <v>13656802</v>
      </c>
      <c r="AT307" s="328">
        <f t="shared" si="552"/>
        <v>804778</v>
      </c>
      <c r="AU307" s="328">
        <f t="shared" si="552"/>
        <v>1408002</v>
      </c>
      <c r="AV307" s="329">
        <f t="shared" si="552"/>
        <v>80.287999999999997</v>
      </c>
      <c r="AW307" s="329">
        <f t="shared" si="552"/>
        <v>59.450300000000006</v>
      </c>
      <c r="AX307" s="330">
        <f t="shared" si="552"/>
        <v>20.837700000000002</v>
      </c>
    </row>
    <row r="308" spans="4:50" x14ac:dyDescent="0.2">
      <c r="D308" s="16"/>
      <c r="E308" s="12"/>
      <c r="F308" s="16"/>
      <c r="G308" s="36"/>
      <c r="H308" s="2">
        <v>3122</v>
      </c>
      <c r="I308" s="327">
        <f t="shared" ref="I308:AX308" si="553">SUMIF($F$12:$F$385,"=3122",I$12:I$385)</f>
        <v>0</v>
      </c>
      <c r="J308" s="328">
        <f t="shared" si="553"/>
        <v>0</v>
      </c>
      <c r="K308" s="328">
        <f t="shared" si="553"/>
        <v>0</v>
      </c>
      <c r="L308" s="328">
        <f t="shared" si="553"/>
        <v>0</v>
      </c>
      <c r="M308" s="328">
        <f t="shared" si="553"/>
        <v>0</v>
      </c>
      <c r="N308" s="328">
        <f t="shared" si="553"/>
        <v>0</v>
      </c>
      <c r="O308" s="328">
        <f t="shared" si="553"/>
        <v>0</v>
      </c>
      <c r="P308" s="329">
        <f t="shared" si="553"/>
        <v>0</v>
      </c>
      <c r="Q308" s="329">
        <f t="shared" si="553"/>
        <v>0</v>
      </c>
      <c r="R308" s="332">
        <f t="shared" si="553"/>
        <v>0</v>
      </c>
      <c r="S308" s="327">
        <f t="shared" si="553"/>
        <v>0</v>
      </c>
      <c r="T308" s="328">
        <f t="shared" si="553"/>
        <v>0</v>
      </c>
      <c r="U308" s="328">
        <f t="shared" si="553"/>
        <v>0</v>
      </c>
      <c r="V308" s="328">
        <f t="shared" si="553"/>
        <v>0</v>
      </c>
      <c r="W308" s="328">
        <f t="shared" si="553"/>
        <v>0</v>
      </c>
      <c r="X308" s="328">
        <f t="shared" si="553"/>
        <v>0</v>
      </c>
      <c r="Y308" s="328">
        <f t="shared" si="553"/>
        <v>0</v>
      </c>
      <c r="Z308" s="328">
        <f t="shared" si="553"/>
        <v>0</v>
      </c>
      <c r="AA308" s="328">
        <f t="shared" si="553"/>
        <v>0</v>
      </c>
      <c r="AB308" s="328">
        <f t="shared" si="553"/>
        <v>0</v>
      </c>
      <c r="AC308" s="328">
        <f t="shared" si="553"/>
        <v>0</v>
      </c>
      <c r="AD308" s="328">
        <f t="shared" si="553"/>
        <v>0</v>
      </c>
      <c r="AE308" s="328">
        <f t="shared" si="553"/>
        <v>0</v>
      </c>
      <c r="AF308" s="328">
        <f t="shared" si="553"/>
        <v>0</v>
      </c>
      <c r="AG308" s="329">
        <f t="shared" si="553"/>
        <v>0</v>
      </c>
      <c r="AH308" s="329">
        <f t="shared" si="553"/>
        <v>0</v>
      </c>
      <c r="AI308" s="329">
        <f t="shared" si="553"/>
        <v>0</v>
      </c>
      <c r="AJ308" s="329">
        <f t="shared" si="553"/>
        <v>0</v>
      </c>
      <c r="AK308" s="329">
        <f t="shared" si="553"/>
        <v>0</v>
      </c>
      <c r="AL308" s="329">
        <f t="shared" si="553"/>
        <v>0</v>
      </c>
      <c r="AM308" s="329">
        <f t="shared" si="553"/>
        <v>0</v>
      </c>
      <c r="AN308" s="330">
        <f t="shared" si="553"/>
        <v>0</v>
      </c>
      <c r="AO308" s="331">
        <f t="shared" si="553"/>
        <v>0</v>
      </c>
      <c r="AP308" s="328">
        <f t="shared" si="553"/>
        <v>0</v>
      </c>
      <c r="AQ308" s="328">
        <f t="shared" si="553"/>
        <v>0</v>
      </c>
      <c r="AR308" s="328">
        <f t="shared" si="553"/>
        <v>0</v>
      </c>
      <c r="AS308" s="328">
        <f t="shared" si="553"/>
        <v>0</v>
      </c>
      <c r="AT308" s="328">
        <f t="shared" si="553"/>
        <v>0</v>
      </c>
      <c r="AU308" s="328">
        <f t="shared" si="553"/>
        <v>0</v>
      </c>
      <c r="AV308" s="329">
        <f t="shared" si="553"/>
        <v>0</v>
      </c>
      <c r="AW308" s="329">
        <f t="shared" si="553"/>
        <v>0</v>
      </c>
      <c r="AX308" s="330">
        <f t="shared" si="553"/>
        <v>0</v>
      </c>
    </row>
    <row r="309" spans="4:50" x14ac:dyDescent="0.2">
      <c r="D309" s="16"/>
      <c r="E309" s="12"/>
      <c r="F309" s="16"/>
      <c r="G309" s="36"/>
      <c r="H309" s="2">
        <v>3124</v>
      </c>
      <c r="I309" s="327">
        <f t="shared" ref="I309:AX309" si="554">SUMIF($F$12:$F$385,"=3124",I$12:I$385)</f>
        <v>3651931</v>
      </c>
      <c r="J309" s="328">
        <f t="shared" si="554"/>
        <v>2667075</v>
      </c>
      <c r="K309" s="328">
        <f t="shared" si="554"/>
        <v>444</v>
      </c>
      <c r="L309" s="328">
        <f t="shared" si="554"/>
        <v>444</v>
      </c>
      <c r="M309" s="328">
        <f t="shared" si="554"/>
        <v>901471</v>
      </c>
      <c r="N309" s="328">
        <f t="shared" si="554"/>
        <v>53341</v>
      </c>
      <c r="O309" s="328">
        <f t="shared" si="554"/>
        <v>29600</v>
      </c>
      <c r="P309" s="329">
        <f t="shared" si="554"/>
        <v>5.4828999999999999</v>
      </c>
      <c r="Q309" s="329">
        <f t="shared" si="554"/>
        <v>4.7199</v>
      </c>
      <c r="R309" s="332">
        <f t="shared" si="554"/>
        <v>0.76300000000000001</v>
      </c>
      <c r="S309" s="327">
        <f t="shared" si="554"/>
        <v>0</v>
      </c>
      <c r="T309" s="328">
        <f t="shared" si="554"/>
        <v>0</v>
      </c>
      <c r="U309" s="328">
        <f t="shared" si="554"/>
        <v>0</v>
      </c>
      <c r="V309" s="328">
        <f t="shared" si="554"/>
        <v>0</v>
      </c>
      <c r="W309" s="328">
        <f t="shared" si="554"/>
        <v>0</v>
      </c>
      <c r="X309" s="328">
        <f t="shared" si="554"/>
        <v>0</v>
      </c>
      <c r="Y309" s="328">
        <f t="shared" si="554"/>
        <v>0</v>
      </c>
      <c r="Z309" s="328">
        <f t="shared" si="554"/>
        <v>0</v>
      </c>
      <c r="AA309" s="328">
        <f t="shared" si="554"/>
        <v>0</v>
      </c>
      <c r="AB309" s="328">
        <f t="shared" si="554"/>
        <v>0</v>
      </c>
      <c r="AC309" s="328">
        <f t="shared" si="554"/>
        <v>0</v>
      </c>
      <c r="AD309" s="328">
        <f t="shared" si="554"/>
        <v>0</v>
      </c>
      <c r="AE309" s="328">
        <f t="shared" si="554"/>
        <v>0</v>
      </c>
      <c r="AF309" s="328">
        <f t="shared" si="554"/>
        <v>0</v>
      </c>
      <c r="AG309" s="329">
        <f t="shared" si="554"/>
        <v>0</v>
      </c>
      <c r="AH309" s="329">
        <f t="shared" si="554"/>
        <v>0</v>
      </c>
      <c r="AI309" s="329">
        <f t="shared" si="554"/>
        <v>0</v>
      </c>
      <c r="AJ309" s="329">
        <f t="shared" si="554"/>
        <v>0</v>
      </c>
      <c r="AK309" s="329">
        <f t="shared" si="554"/>
        <v>0</v>
      </c>
      <c r="AL309" s="329">
        <f t="shared" si="554"/>
        <v>0</v>
      </c>
      <c r="AM309" s="329">
        <f t="shared" si="554"/>
        <v>0</v>
      </c>
      <c r="AN309" s="330">
        <f t="shared" si="554"/>
        <v>0</v>
      </c>
      <c r="AO309" s="331">
        <f t="shared" si="554"/>
        <v>3651931</v>
      </c>
      <c r="AP309" s="328">
        <f t="shared" si="554"/>
        <v>2667075</v>
      </c>
      <c r="AQ309" s="328">
        <f t="shared" si="554"/>
        <v>444</v>
      </c>
      <c r="AR309" s="328">
        <f t="shared" si="554"/>
        <v>444</v>
      </c>
      <c r="AS309" s="328">
        <f t="shared" si="554"/>
        <v>901471</v>
      </c>
      <c r="AT309" s="328">
        <f t="shared" si="554"/>
        <v>53341</v>
      </c>
      <c r="AU309" s="328">
        <f t="shared" si="554"/>
        <v>29600</v>
      </c>
      <c r="AV309" s="329">
        <f t="shared" si="554"/>
        <v>5.4828999999999999</v>
      </c>
      <c r="AW309" s="329">
        <f t="shared" si="554"/>
        <v>4.7199</v>
      </c>
      <c r="AX309" s="330">
        <f t="shared" si="554"/>
        <v>0.76300000000000001</v>
      </c>
    </row>
    <row r="310" spans="4:50" x14ac:dyDescent="0.2">
      <c r="D310" s="16"/>
      <c r="E310" s="12"/>
      <c r="F310" s="16"/>
      <c r="G310" s="36"/>
      <c r="H310" s="2">
        <v>3141</v>
      </c>
      <c r="I310" s="327">
        <f t="shared" ref="I310:AX310" si="555">SUMIF($F$12:$F$429,"=3141",I$12:I$429)</f>
        <v>68426826</v>
      </c>
      <c r="J310" s="328">
        <f t="shared" si="555"/>
        <v>49841717</v>
      </c>
      <c r="K310" s="328">
        <f t="shared" si="555"/>
        <v>164000</v>
      </c>
      <c r="L310" s="328">
        <f t="shared" si="555"/>
        <v>0</v>
      </c>
      <c r="M310" s="328">
        <f t="shared" si="555"/>
        <v>16901932</v>
      </c>
      <c r="N310" s="328">
        <f t="shared" si="555"/>
        <v>996835</v>
      </c>
      <c r="O310" s="328">
        <f t="shared" si="555"/>
        <v>522342</v>
      </c>
      <c r="P310" s="329">
        <f t="shared" si="555"/>
        <v>169.85999999999999</v>
      </c>
      <c r="Q310" s="329">
        <f t="shared" si="555"/>
        <v>0</v>
      </c>
      <c r="R310" s="332">
        <f t="shared" si="555"/>
        <v>169.85999999999999</v>
      </c>
      <c r="S310" s="327">
        <f t="shared" si="555"/>
        <v>0</v>
      </c>
      <c r="T310" s="328">
        <f t="shared" si="555"/>
        <v>0</v>
      </c>
      <c r="U310" s="328">
        <f t="shared" si="555"/>
        <v>0</v>
      </c>
      <c r="V310" s="328">
        <f t="shared" si="555"/>
        <v>0</v>
      </c>
      <c r="W310" s="328">
        <f t="shared" si="555"/>
        <v>0</v>
      </c>
      <c r="X310" s="328">
        <f t="shared" si="555"/>
        <v>0</v>
      </c>
      <c r="Y310" s="328">
        <f t="shared" si="555"/>
        <v>0</v>
      </c>
      <c r="Z310" s="328">
        <f t="shared" si="555"/>
        <v>0</v>
      </c>
      <c r="AA310" s="328">
        <f t="shared" si="555"/>
        <v>0</v>
      </c>
      <c r="AB310" s="328">
        <f t="shared" si="555"/>
        <v>0</v>
      </c>
      <c r="AC310" s="328">
        <f t="shared" si="555"/>
        <v>0</v>
      </c>
      <c r="AD310" s="328">
        <f t="shared" si="555"/>
        <v>0</v>
      </c>
      <c r="AE310" s="328">
        <f t="shared" si="555"/>
        <v>0</v>
      </c>
      <c r="AF310" s="328">
        <f t="shared" si="555"/>
        <v>0</v>
      </c>
      <c r="AG310" s="329">
        <f t="shared" si="555"/>
        <v>0</v>
      </c>
      <c r="AH310" s="329">
        <f t="shared" si="555"/>
        <v>0</v>
      </c>
      <c r="AI310" s="329">
        <f t="shared" si="555"/>
        <v>0</v>
      </c>
      <c r="AJ310" s="329">
        <f t="shared" si="555"/>
        <v>0</v>
      </c>
      <c r="AK310" s="329">
        <f t="shared" si="555"/>
        <v>0</v>
      </c>
      <c r="AL310" s="329">
        <f t="shared" si="555"/>
        <v>0</v>
      </c>
      <c r="AM310" s="329">
        <f t="shared" si="555"/>
        <v>0</v>
      </c>
      <c r="AN310" s="330">
        <f t="shared" si="555"/>
        <v>0</v>
      </c>
      <c r="AO310" s="331">
        <f t="shared" si="555"/>
        <v>68426826</v>
      </c>
      <c r="AP310" s="328">
        <f t="shared" si="555"/>
        <v>49841717</v>
      </c>
      <c r="AQ310" s="328">
        <f t="shared" si="555"/>
        <v>164000</v>
      </c>
      <c r="AR310" s="328">
        <f t="shared" si="555"/>
        <v>0</v>
      </c>
      <c r="AS310" s="328">
        <f t="shared" si="555"/>
        <v>16901932</v>
      </c>
      <c r="AT310" s="328">
        <f t="shared" si="555"/>
        <v>996835</v>
      </c>
      <c r="AU310" s="328">
        <f t="shared" si="555"/>
        <v>522342</v>
      </c>
      <c r="AV310" s="329">
        <f t="shared" si="555"/>
        <v>169.85999999999999</v>
      </c>
      <c r="AW310" s="329">
        <f t="shared" si="555"/>
        <v>0</v>
      </c>
      <c r="AX310" s="330">
        <f t="shared" si="555"/>
        <v>169.85999999999999</v>
      </c>
    </row>
    <row r="311" spans="4:50" x14ac:dyDescent="0.2">
      <c r="D311" s="16"/>
      <c r="E311" s="12"/>
      <c r="F311" s="16"/>
      <c r="G311" s="36"/>
      <c r="H311" s="2">
        <v>3143</v>
      </c>
      <c r="I311" s="327">
        <f t="shared" ref="I311:AX311" si="556">SUMIF($F$12:$F$429,"=3143",I$12:I$429)</f>
        <v>48591741</v>
      </c>
      <c r="J311" s="328">
        <f t="shared" si="556"/>
        <v>36049065</v>
      </c>
      <c r="K311" s="328">
        <f t="shared" si="556"/>
        <v>169135</v>
      </c>
      <c r="L311" s="328">
        <f t="shared" si="556"/>
        <v>0</v>
      </c>
      <c r="M311" s="328">
        <f t="shared" si="556"/>
        <v>11623130</v>
      </c>
      <c r="N311" s="328">
        <f t="shared" si="556"/>
        <v>684381</v>
      </c>
      <c r="O311" s="328">
        <f t="shared" si="556"/>
        <v>66030</v>
      </c>
      <c r="P311" s="329">
        <f t="shared" si="556"/>
        <v>82.23820000000002</v>
      </c>
      <c r="Q311" s="329">
        <f t="shared" si="556"/>
        <v>77.658200000000022</v>
      </c>
      <c r="R311" s="332">
        <f t="shared" si="556"/>
        <v>4.5799999999999992</v>
      </c>
      <c r="S311" s="327">
        <f t="shared" si="556"/>
        <v>-10000</v>
      </c>
      <c r="T311" s="328">
        <f t="shared" si="556"/>
        <v>0</v>
      </c>
      <c r="U311" s="328">
        <f t="shared" si="556"/>
        <v>0</v>
      </c>
      <c r="V311" s="328">
        <f t="shared" si="556"/>
        <v>-10000</v>
      </c>
      <c r="W311" s="328">
        <f t="shared" si="556"/>
        <v>10000</v>
      </c>
      <c r="X311" s="328">
        <f t="shared" si="556"/>
        <v>0</v>
      </c>
      <c r="Y311" s="328">
        <f t="shared" si="556"/>
        <v>10000</v>
      </c>
      <c r="Z311" s="328">
        <f t="shared" si="556"/>
        <v>0</v>
      </c>
      <c r="AA311" s="328">
        <f t="shared" si="556"/>
        <v>0</v>
      </c>
      <c r="AB311" s="328">
        <f t="shared" si="556"/>
        <v>-200</v>
      </c>
      <c r="AC311" s="328">
        <f t="shared" si="556"/>
        <v>0</v>
      </c>
      <c r="AD311" s="328">
        <f t="shared" si="556"/>
        <v>0</v>
      </c>
      <c r="AE311" s="328">
        <f t="shared" si="556"/>
        <v>0</v>
      </c>
      <c r="AF311" s="328">
        <f t="shared" si="556"/>
        <v>-200</v>
      </c>
      <c r="AG311" s="329">
        <f t="shared" si="556"/>
        <v>-0.03</v>
      </c>
      <c r="AH311" s="329">
        <f t="shared" si="556"/>
        <v>0</v>
      </c>
      <c r="AI311" s="329">
        <f t="shared" si="556"/>
        <v>0</v>
      </c>
      <c r="AJ311" s="329">
        <f t="shared" si="556"/>
        <v>0</v>
      </c>
      <c r="AK311" s="329">
        <f t="shared" si="556"/>
        <v>0</v>
      </c>
      <c r="AL311" s="329">
        <f t="shared" si="556"/>
        <v>-0.03</v>
      </c>
      <c r="AM311" s="329">
        <f t="shared" si="556"/>
        <v>0</v>
      </c>
      <c r="AN311" s="330">
        <f t="shared" si="556"/>
        <v>-0.03</v>
      </c>
      <c r="AO311" s="331">
        <f t="shared" si="556"/>
        <v>48591541</v>
      </c>
      <c r="AP311" s="328">
        <f t="shared" si="556"/>
        <v>36039065</v>
      </c>
      <c r="AQ311" s="328">
        <f t="shared" si="556"/>
        <v>179135</v>
      </c>
      <c r="AR311" s="328">
        <f t="shared" si="556"/>
        <v>0</v>
      </c>
      <c r="AS311" s="328">
        <f t="shared" si="556"/>
        <v>11623130</v>
      </c>
      <c r="AT311" s="328">
        <f t="shared" si="556"/>
        <v>684181</v>
      </c>
      <c r="AU311" s="328">
        <f t="shared" si="556"/>
        <v>66030</v>
      </c>
      <c r="AV311" s="329">
        <f t="shared" si="556"/>
        <v>82.208200000000019</v>
      </c>
      <c r="AW311" s="329">
        <f t="shared" si="556"/>
        <v>77.628200000000021</v>
      </c>
      <c r="AX311" s="330">
        <f t="shared" si="556"/>
        <v>4.5799999999999992</v>
      </c>
    </row>
    <row r="312" spans="4:50" x14ac:dyDescent="0.2">
      <c r="D312" s="16"/>
      <c r="E312" s="12"/>
      <c r="F312" s="16"/>
      <c r="G312" s="36"/>
      <c r="H312" s="2">
        <v>3231</v>
      </c>
      <c r="I312" s="327">
        <f t="shared" ref="I312:AX312" si="557">SUMIF($F$12:$F$429,"=3231",I$12:I$429)</f>
        <v>53750079</v>
      </c>
      <c r="J312" s="328">
        <f t="shared" si="557"/>
        <v>39116953</v>
      </c>
      <c r="K312" s="328">
        <f t="shared" si="557"/>
        <v>342300</v>
      </c>
      <c r="L312" s="328">
        <f t="shared" si="557"/>
        <v>0</v>
      </c>
      <c r="M312" s="328">
        <f t="shared" si="557"/>
        <v>13337227</v>
      </c>
      <c r="N312" s="328">
        <f t="shared" si="557"/>
        <v>782339</v>
      </c>
      <c r="O312" s="328">
        <f t="shared" si="557"/>
        <v>171260</v>
      </c>
      <c r="P312" s="329">
        <f t="shared" si="557"/>
        <v>76.563200000000009</v>
      </c>
      <c r="Q312" s="329">
        <f t="shared" si="557"/>
        <v>68.597700000000003</v>
      </c>
      <c r="R312" s="332">
        <f t="shared" si="557"/>
        <v>7.9654999999999996</v>
      </c>
      <c r="S312" s="327">
        <f t="shared" si="557"/>
        <v>0</v>
      </c>
      <c r="T312" s="328">
        <f t="shared" si="557"/>
        <v>0</v>
      </c>
      <c r="U312" s="328">
        <f t="shared" si="557"/>
        <v>-18409</v>
      </c>
      <c r="V312" s="328">
        <f t="shared" si="557"/>
        <v>-18409</v>
      </c>
      <c r="W312" s="328">
        <f t="shared" si="557"/>
        <v>0</v>
      </c>
      <c r="X312" s="328">
        <f t="shared" si="557"/>
        <v>0</v>
      </c>
      <c r="Y312" s="328">
        <f t="shared" si="557"/>
        <v>0</v>
      </c>
      <c r="Z312" s="328">
        <f t="shared" si="557"/>
        <v>-18409</v>
      </c>
      <c r="AA312" s="328">
        <f t="shared" si="557"/>
        <v>-6222</v>
      </c>
      <c r="AB312" s="328">
        <f t="shared" si="557"/>
        <v>-368</v>
      </c>
      <c r="AC312" s="328">
        <f t="shared" si="557"/>
        <v>0</v>
      </c>
      <c r="AD312" s="328">
        <f t="shared" si="557"/>
        <v>24999</v>
      </c>
      <c r="AE312" s="328">
        <f t="shared" si="557"/>
        <v>24999</v>
      </c>
      <c r="AF312" s="328">
        <f t="shared" si="557"/>
        <v>0</v>
      </c>
      <c r="AG312" s="329">
        <f t="shared" si="557"/>
        <v>0</v>
      </c>
      <c r="AH312" s="329">
        <f t="shared" si="557"/>
        <v>0</v>
      </c>
      <c r="AI312" s="329">
        <f t="shared" si="557"/>
        <v>0</v>
      </c>
      <c r="AJ312" s="329">
        <f t="shared" si="557"/>
        <v>0</v>
      </c>
      <c r="AK312" s="329">
        <f t="shared" si="557"/>
        <v>0</v>
      </c>
      <c r="AL312" s="329">
        <f t="shared" si="557"/>
        <v>0</v>
      </c>
      <c r="AM312" s="329">
        <f t="shared" si="557"/>
        <v>0</v>
      </c>
      <c r="AN312" s="330">
        <f t="shared" si="557"/>
        <v>0</v>
      </c>
      <c r="AO312" s="331">
        <f t="shared" si="557"/>
        <v>53750079</v>
      </c>
      <c r="AP312" s="328">
        <f t="shared" si="557"/>
        <v>39098544</v>
      </c>
      <c r="AQ312" s="328">
        <f t="shared" si="557"/>
        <v>342300</v>
      </c>
      <c r="AR312" s="328">
        <f t="shared" si="557"/>
        <v>0</v>
      </c>
      <c r="AS312" s="328">
        <f t="shared" si="557"/>
        <v>13331005</v>
      </c>
      <c r="AT312" s="328">
        <f t="shared" si="557"/>
        <v>781971</v>
      </c>
      <c r="AU312" s="328">
        <f t="shared" si="557"/>
        <v>196259</v>
      </c>
      <c r="AV312" s="329">
        <f t="shared" si="557"/>
        <v>76.563200000000009</v>
      </c>
      <c r="AW312" s="329">
        <f t="shared" si="557"/>
        <v>68.597700000000003</v>
      </c>
      <c r="AX312" s="330">
        <f t="shared" si="557"/>
        <v>7.9654999999999996</v>
      </c>
    </row>
    <row r="313" spans="4:50" ht="13.5" thickBot="1" x14ac:dyDescent="0.25">
      <c r="D313" s="16"/>
      <c r="E313" s="12"/>
      <c r="F313" s="16"/>
      <c r="G313" s="36"/>
      <c r="H313" s="265">
        <v>3233</v>
      </c>
      <c r="I313" s="333">
        <f t="shared" ref="I313:AX313" si="558">SUMIF($F$12:$F$429,"=3233",I$12:I$429)</f>
        <v>8953840</v>
      </c>
      <c r="J313" s="334">
        <f t="shared" si="558"/>
        <v>5731022</v>
      </c>
      <c r="K313" s="334">
        <f t="shared" si="558"/>
        <v>802050</v>
      </c>
      <c r="L313" s="334">
        <f t="shared" si="558"/>
        <v>0</v>
      </c>
      <c r="M313" s="334">
        <f t="shared" si="558"/>
        <v>2208179</v>
      </c>
      <c r="N313" s="334">
        <f t="shared" si="558"/>
        <v>114621</v>
      </c>
      <c r="O313" s="334">
        <f t="shared" si="558"/>
        <v>97968</v>
      </c>
      <c r="P313" s="335">
        <f t="shared" si="558"/>
        <v>13.77</v>
      </c>
      <c r="Q313" s="335">
        <f t="shared" si="558"/>
        <v>8.2000000000000011</v>
      </c>
      <c r="R313" s="338">
        <f t="shared" si="558"/>
        <v>5.5699999999999994</v>
      </c>
      <c r="S313" s="333">
        <f t="shared" si="558"/>
        <v>100000</v>
      </c>
      <c r="T313" s="334">
        <f t="shared" si="558"/>
        <v>0</v>
      </c>
      <c r="U313" s="334">
        <f t="shared" si="558"/>
        <v>0</v>
      </c>
      <c r="V313" s="334">
        <f t="shared" si="558"/>
        <v>100000</v>
      </c>
      <c r="W313" s="334">
        <f t="shared" si="558"/>
        <v>-100000</v>
      </c>
      <c r="X313" s="334">
        <f t="shared" si="558"/>
        <v>0</v>
      </c>
      <c r="Y313" s="334">
        <f t="shared" si="558"/>
        <v>-100000</v>
      </c>
      <c r="Z313" s="334">
        <f t="shared" si="558"/>
        <v>0</v>
      </c>
      <c r="AA313" s="334">
        <f t="shared" si="558"/>
        <v>0</v>
      </c>
      <c r="AB313" s="334">
        <f t="shared" si="558"/>
        <v>2000</v>
      </c>
      <c r="AC313" s="334">
        <f t="shared" si="558"/>
        <v>0</v>
      </c>
      <c r="AD313" s="334">
        <f t="shared" si="558"/>
        <v>0</v>
      </c>
      <c r="AE313" s="334">
        <f t="shared" si="558"/>
        <v>0</v>
      </c>
      <c r="AF313" s="334">
        <f t="shared" si="558"/>
        <v>2000</v>
      </c>
      <c r="AG313" s="335">
        <f t="shared" si="558"/>
        <v>0.2</v>
      </c>
      <c r="AH313" s="335">
        <f t="shared" si="558"/>
        <v>0</v>
      </c>
      <c r="AI313" s="335">
        <f t="shared" si="558"/>
        <v>0</v>
      </c>
      <c r="AJ313" s="335">
        <f t="shared" si="558"/>
        <v>0</v>
      </c>
      <c r="AK313" s="335">
        <f t="shared" si="558"/>
        <v>0</v>
      </c>
      <c r="AL313" s="335">
        <f t="shared" si="558"/>
        <v>0.2</v>
      </c>
      <c r="AM313" s="335">
        <f t="shared" si="558"/>
        <v>0</v>
      </c>
      <c r="AN313" s="336">
        <f t="shared" si="558"/>
        <v>0.2</v>
      </c>
      <c r="AO313" s="337">
        <f t="shared" si="558"/>
        <v>8955840</v>
      </c>
      <c r="AP313" s="334">
        <f t="shared" si="558"/>
        <v>5831022</v>
      </c>
      <c r="AQ313" s="334">
        <f t="shared" si="558"/>
        <v>702050</v>
      </c>
      <c r="AR313" s="334">
        <f t="shared" si="558"/>
        <v>0</v>
      </c>
      <c r="AS313" s="334">
        <f t="shared" si="558"/>
        <v>2208179</v>
      </c>
      <c r="AT313" s="334">
        <f t="shared" si="558"/>
        <v>116621</v>
      </c>
      <c r="AU313" s="334">
        <f t="shared" si="558"/>
        <v>97968</v>
      </c>
      <c r="AV313" s="335">
        <f t="shared" si="558"/>
        <v>13.969999999999999</v>
      </c>
      <c r="AW313" s="335">
        <f t="shared" si="558"/>
        <v>8.4000000000000021</v>
      </c>
      <c r="AX313" s="336">
        <f t="shared" si="558"/>
        <v>5.5699999999999994</v>
      </c>
    </row>
    <row r="314" spans="4:50" x14ac:dyDescent="0.2">
      <c r="D314" s="12"/>
      <c r="E314" s="12"/>
      <c r="F314" s="12"/>
      <c r="G314" s="36"/>
      <c r="H314" s="12"/>
      <c r="I314" s="26"/>
      <c r="J314" s="26"/>
      <c r="K314" s="26"/>
      <c r="L314" s="26"/>
      <c r="M314" s="26"/>
      <c r="N314" s="26"/>
      <c r="O314" s="26"/>
      <c r="P314" s="7"/>
      <c r="Q314" s="7"/>
      <c r="R314" s="7"/>
    </row>
    <row r="316" spans="4:50" x14ac:dyDescent="0.2">
      <c r="P316" s="15"/>
      <c r="Q316" s="15"/>
      <c r="R316" s="15"/>
    </row>
    <row r="318" spans="4:50" x14ac:dyDescent="0.2">
      <c r="P318" s="15"/>
      <c r="Q318" s="15"/>
      <c r="R318" s="15"/>
    </row>
    <row r="320" spans="4:50" x14ac:dyDescent="0.2">
      <c r="P320" s="15"/>
      <c r="Q320" s="15"/>
      <c r="R320" s="15"/>
    </row>
  </sheetData>
  <mergeCells count="24">
    <mergeCell ref="AG8:AH9"/>
    <mergeCell ref="AI8:AI9"/>
    <mergeCell ref="AV8:AV10"/>
    <mergeCell ref="AW8:AX9"/>
    <mergeCell ref="AJ8:AK9"/>
    <mergeCell ref="AL8:AN9"/>
    <mergeCell ref="AO8:AO10"/>
    <mergeCell ref="AP8:AU9"/>
    <mergeCell ref="A3:E3"/>
    <mergeCell ref="I6:R7"/>
    <mergeCell ref="S6:AN6"/>
    <mergeCell ref="AO6:AX7"/>
    <mergeCell ref="S7:V9"/>
    <mergeCell ref="W7:Y9"/>
    <mergeCell ref="AA7:AA10"/>
    <mergeCell ref="AB7:AB10"/>
    <mergeCell ref="AC7:AE9"/>
    <mergeCell ref="AF7:AF10"/>
    <mergeCell ref="AG7:AN7"/>
    <mergeCell ref="J8:O9"/>
    <mergeCell ref="P8:P10"/>
    <mergeCell ref="Q8:R9"/>
    <mergeCell ref="I8:I10"/>
    <mergeCell ref="Z7:Z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44"/>
  <sheetViews>
    <sheetView workbookViewId="0">
      <pane xSplit="8" ySplit="11" topLeftCell="AK24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8.7109375" style="80" bestFit="1" customWidth="1"/>
    <col min="4" max="4" width="7.85546875" style="82" bestFit="1" customWidth="1"/>
    <col min="5" max="5" width="31.42578125" style="101" customWidth="1"/>
    <col min="6" max="6" width="4.42578125" style="80" customWidth="1"/>
    <col min="7" max="7" width="9.42578125" style="82" customWidth="1"/>
    <col min="8" max="8" width="8" style="82" bestFit="1" customWidth="1"/>
    <col min="9" max="9" width="12" style="81" customWidth="1"/>
    <col min="10" max="12" width="10.85546875" style="81" customWidth="1"/>
    <col min="13" max="13" width="13" style="81" customWidth="1"/>
    <col min="14" max="14" width="11.140625" style="81" customWidth="1"/>
    <col min="15" max="15" width="11.42578125" style="81" customWidth="1"/>
    <col min="16" max="16" width="11.5703125" style="112" customWidth="1"/>
    <col min="17" max="18" width="9.5703125" style="112" customWidth="1"/>
    <col min="19" max="19" width="9.140625" style="81" customWidth="1"/>
    <col min="20" max="20" width="9.140625" style="82" customWidth="1"/>
    <col min="21" max="21" width="10.140625" style="82" customWidth="1"/>
    <col min="22" max="25" width="9.140625" style="82" customWidth="1"/>
    <col min="26" max="26" width="10.7109375" style="82" customWidth="1"/>
    <col min="27" max="32" width="9.140625" style="82" customWidth="1"/>
    <col min="33" max="40" width="9.140625" style="112" customWidth="1"/>
    <col min="41" max="41" width="11" style="82" customWidth="1"/>
    <col min="42" max="42" width="11.42578125" style="82" customWidth="1"/>
    <col min="43" max="43" width="9.140625" style="82" customWidth="1"/>
    <col min="44" max="44" width="10.42578125" style="82" customWidth="1"/>
    <col min="45" max="47" width="9.140625" style="82" customWidth="1"/>
    <col min="48" max="48" width="11.28515625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5.75" customHeight="1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2.75" customHeight="1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2" customHeight="1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7.25" customHeight="1" thickBot="1" x14ac:dyDescent="0.3">
      <c r="A7" s="203"/>
      <c r="B7" s="460"/>
      <c r="C7" s="738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7.25" customHeight="1" thickBot="1" x14ac:dyDescent="0.3">
      <c r="A9" s="302" t="s">
        <v>827</v>
      </c>
      <c r="B9" s="738"/>
      <c r="C9" s="738"/>
      <c r="D9" s="462"/>
      <c r="E9" s="738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8.75" customHeight="1" thickBot="1" x14ac:dyDescent="0.3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0" t="s">
        <v>303</v>
      </c>
      <c r="T11" s="420" t="s">
        <v>303</v>
      </c>
      <c r="U11" s="251" t="s">
        <v>303</v>
      </c>
      <c r="V11" s="251" t="s">
        <v>303</v>
      </c>
      <c r="W11" s="251" t="s">
        <v>304</v>
      </c>
      <c r="X11" s="251" t="s">
        <v>305</v>
      </c>
      <c r="Y11" s="251" t="s">
        <v>304</v>
      </c>
      <c r="Z11" s="251" t="s">
        <v>306</v>
      </c>
      <c r="AA11" s="251" t="s">
        <v>307</v>
      </c>
      <c r="AB11" s="251" t="s">
        <v>308</v>
      </c>
      <c r="AC11" s="251" t="s">
        <v>310</v>
      </c>
      <c r="AD11" s="251" t="s">
        <v>309</v>
      </c>
      <c r="AE11" s="251" t="s">
        <v>309</v>
      </c>
      <c r="AF11" s="251" t="s">
        <v>316</v>
      </c>
      <c r="AG11" s="413" t="s">
        <v>312</v>
      </c>
      <c r="AH11" s="413" t="s">
        <v>313</v>
      </c>
      <c r="AI11" s="413" t="s">
        <v>312</v>
      </c>
      <c r="AJ11" s="413" t="s">
        <v>312</v>
      </c>
      <c r="AK11" s="413" t="s">
        <v>313</v>
      </c>
      <c r="AL11" s="413" t="s">
        <v>312</v>
      </c>
      <c r="AM11" s="413" t="s">
        <v>313</v>
      </c>
      <c r="AN11" s="414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ht="12.95" customHeight="1" x14ac:dyDescent="0.25">
      <c r="A12" s="244">
        <v>1</v>
      </c>
      <c r="B12" s="470">
        <v>4486</v>
      </c>
      <c r="C12" s="103">
        <v>600075176</v>
      </c>
      <c r="D12" s="103">
        <v>46750401</v>
      </c>
      <c r="E12" s="471" t="s">
        <v>328</v>
      </c>
      <c r="F12" s="470">
        <v>3233</v>
      </c>
      <c r="G12" s="472" t="s">
        <v>324</v>
      </c>
      <c r="H12" s="472" t="s">
        <v>284</v>
      </c>
      <c r="I12" s="473">
        <v>3587181</v>
      </c>
      <c r="J12" s="474">
        <v>2536811</v>
      </c>
      <c r="K12" s="475">
        <v>80000</v>
      </c>
      <c r="L12" s="475">
        <v>0</v>
      </c>
      <c r="M12" s="411">
        <v>884482</v>
      </c>
      <c r="N12" s="411">
        <v>50736</v>
      </c>
      <c r="O12" s="474">
        <v>35152</v>
      </c>
      <c r="P12" s="476">
        <v>5.9700000000000006</v>
      </c>
      <c r="Q12" s="477">
        <v>3.79</v>
      </c>
      <c r="R12" s="478">
        <v>2.1800000000000002</v>
      </c>
      <c r="S12" s="479">
        <f>W12*-1</f>
        <v>0</v>
      </c>
      <c r="T12" s="480">
        <v>0</v>
      </c>
      <c r="U12" s="480">
        <v>0</v>
      </c>
      <c r="V12" s="480">
        <f>SUM(S12:U12)</f>
        <v>0</v>
      </c>
      <c r="W12" s="480">
        <v>0</v>
      </c>
      <c r="X12" s="481">
        <v>0</v>
      </c>
      <c r="Y12" s="480">
        <f>SUM(W12:X12)</f>
        <v>0</v>
      </c>
      <c r="Z12" s="479">
        <f>V12+Y12</f>
        <v>0</v>
      </c>
      <c r="AA12" s="319">
        <f>ROUND((V12+W12)*33.8%,0)</f>
        <v>0</v>
      </c>
      <c r="AB12" s="319">
        <f>ROUND(V12*2%,0)</f>
        <v>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501">
        <f>AG12+AI12+AJ12</f>
        <v>0</v>
      </c>
      <c r="AM12" s="501">
        <f>AH12+AK12</f>
        <v>0</v>
      </c>
      <c r="AN12" s="483">
        <f>SUM(AL12:AM12)</f>
        <v>0</v>
      </c>
      <c r="AO12" s="484">
        <f>I12+AF12</f>
        <v>3587181</v>
      </c>
      <c r="AP12" s="485">
        <f>J12+V12</f>
        <v>2536811</v>
      </c>
      <c r="AQ12" s="486">
        <f>K12+Y12</f>
        <v>80000</v>
      </c>
      <c r="AR12" s="480">
        <f>L12</f>
        <v>0</v>
      </c>
      <c r="AS12" s="485">
        <f>M12+AA12</f>
        <v>884482</v>
      </c>
      <c r="AT12" s="485">
        <f>N12+AB12</f>
        <v>50736</v>
      </c>
      <c r="AU12" s="485">
        <f>O12+AE12</f>
        <v>35152</v>
      </c>
      <c r="AV12" s="487">
        <f>P12+AN12</f>
        <v>5.9700000000000006</v>
      </c>
      <c r="AW12" s="487">
        <f>Q12+AL12</f>
        <v>3.79</v>
      </c>
      <c r="AX12" s="488">
        <f>R12+AM12</f>
        <v>2.1800000000000002</v>
      </c>
    </row>
    <row r="13" spans="1:50" ht="12.95" customHeight="1" x14ac:dyDescent="0.25">
      <c r="A13" s="155">
        <v>1</v>
      </c>
      <c r="B13" s="84">
        <v>4486</v>
      </c>
      <c r="C13" s="85">
        <v>600075176</v>
      </c>
      <c r="D13" s="85">
        <v>46750401</v>
      </c>
      <c r="E13" s="489" t="s">
        <v>329</v>
      </c>
      <c r="F13" s="86"/>
      <c r="G13" s="490"/>
      <c r="H13" s="490"/>
      <c r="I13" s="130">
        <v>3587181</v>
      </c>
      <c r="J13" s="87">
        <v>2536811</v>
      </c>
      <c r="K13" s="87">
        <v>80000</v>
      </c>
      <c r="L13" s="87">
        <v>0</v>
      </c>
      <c r="M13" s="87">
        <v>884482</v>
      </c>
      <c r="N13" s="87">
        <v>50736</v>
      </c>
      <c r="O13" s="87">
        <v>35152</v>
      </c>
      <c r="P13" s="88">
        <v>5.9700000000000006</v>
      </c>
      <c r="Q13" s="88">
        <v>3.79</v>
      </c>
      <c r="R13" s="274">
        <v>2.1800000000000002</v>
      </c>
      <c r="S13" s="313">
        <f t="shared" ref="S13:AN13" si="0">SUM(S12)</f>
        <v>0</v>
      </c>
      <c r="T13" s="87">
        <f t="shared" si="0"/>
        <v>0</v>
      </c>
      <c r="U13" s="87">
        <f t="shared" si="0"/>
        <v>0</v>
      </c>
      <c r="V13" s="87">
        <f t="shared" si="0"/>
        <v>0</v>
      </c>
      <c r="W13" s="87">
        <f t="shared" si="0"/>
        <v>0</v>
      </c>
      <c r="X13" s="441">
        <f t="shared" si="0"/>
        <v>0</v>
      </c>
      <c r="Y13" s="87">
        <f t="shared" si="0"/>
        <v>0</v>
      </c>
      <c r="Z13" s="141">
        <f t="shared" si="0"/>
        <v>0</v>
      </c>
      <c r="AA13" s="87">
        <f t="shared" si="0"/>
        <v>0</v>
      </c>
      <c r="AB13" s="87">
        <f t="shared" si="0"/>
        <v>0</v>
      </c>
      <c r="AC13" s="87">
        <f t="shared" si="0"/>
        <v>0</v>
      </c>
      <c r="AD13" s="87">
        <f t="shared" si="0"/>
        <v>0</v>
      </c>
      <c r="AE13" s="87">
        <f t="shared" si="0"/>
        <v>0</v>
      </c>
      <c r="AF13" s="87">
        <f t="shared" si="0"/>
        <v>0</v>
      </c>
      <c r="AG13" s="88">
        <f t="shared" si="0"/>
        <v>0</v>
      </c>
      <c r="AH13" s="88">
        <f t="shared" si="0"/>
        <v>0</v>
      </c>
      <c r="AI13" s="88">
        <f t="shared" si="0"/>
        <v>0</v>
      </c>
      <c r="AJ13" s="88">
        <f t="shared" si="0"/>
        <v>0</v>
      </c>
      <c r="AK13" s="88">
        <f t="shared" si="0"/>
        <v>0</v>
      </c>
      <c r="AL13" s="88">
        <f t="shared" si="0"/>
        <v>0</v>
      </c>
      <c r="AM13" s="88">
        <f t="shared" si="0"/>
        <v>0</v>
      </c>
      <c r="AN13" s="274">
        <f t="shared" si="0"/>
        <v>0</v>
      </c>
      <c r="AO13" s="141">
        <f t="shared" ref="AO13:AX13" si="1">SUM(AO12)</f>
        <v>3587181</v>
      </c>
      <c r="AP13" s="87">
        <f t="shared" si="1"/>
        <v>2536811</v>
      </c>
      <c r="AQ13" s="170">
        <f t="shared" si="1"/>
        <v>80000</v>
      </c>
      <c r="AR13" s="87">
        <f t="shared" si="1"/>
        <v>0</v>
      </c>
      <c r="AS13" s="87">
        <f t="shared" si="1"/>
        <v>884482</v>
      </c>
      <c r="AT13" s="87">
        <f t="shared" si="1"/>
        <v>50736</v>
      </c>
      <c r="AU13" s="87">
        <f t="shared" si="1"/>
        <v>35152</v>
      </c>
      <c r="AV13" s="88">
        <f t="shared" si="1"/>
        <v>5.9700000000000006</v>
      </c>
      <c r="AW13" s="88">
        <f t="shared" si="1"/>
        <v>3.79</v>
      </c>
      <c r="AX13" s="274">
        <f t="shared" si="1"/>
        <v>2.1800000000000002</v>
      </c>
    </row>
    <row r="14" spans="1:50" ht="12.95" customHeight="1" x14ac:dyDescent="0.25">
      <c r="A14" s="154">
        <v>2</v>
      </c>
      <c r="B14" s="83">
        <v>4419</v>
      </c>
      <c r="C14" s="491">
        <v>600074056</v>
      </c>
      <c r="D14" s="83">
        <v>72744049</v>
      </c>
      <c r="E14" s="492" t="s">
        <v>330</v>
      </c>
      <c r="F14" s="83">
        <v>3111</v>
      </c>
      <c r="G14" s="493" t="s">
        <v>331</v>
      </c>
      <c r="H14" s="494" t="s">
        <v>283</v>
      </c>
      <c r="I14" s="495">
        <v>23493348</v>
      </c>
      <c r="J14" s="496">
        <v>17007937</v>
      </c>
      <c r="K14" s="496">
        <v>90000</v>
      </c>
      <c r="L14" s="496">
        <v>0</v>
      </c>
      <c r="M14" s="411">
        <v>5779102</v>
      </c>
      <c r="N14" s="411">
        <v>340159</v>
      </c>
      <c r="O14" s="496">
        <v>276150</v>
      </c>
      <c r="P14" s="497">
        <v>40.962800000000001</v>
      </c>
      <c r="Q14" s="412">
        <v>30.082600000000003</v>
      </c>
      <c r="R14" s="498">
        <v>10.8802</v>
      </c>
      <c r="S14" s="499">
        <f t="shared" ref="S14:S79" si="2">W14*-1</f>
        <v>0</v>
      </c>
      <c r="T14" s="499">
        <v>0</v>
      </c>
      <c r="U14" s="486">
        <v>0</v>
      </c>
      <c r="V14" s="486">
        <f>SUM(S14:U14)</f>
        <v>0</v>
      </c>
      <c r="W14" s="486">
        <v>0</v>
      </c>
      <c r="X14" s="500">
        <v>0</v>
      </c>
      <c r="Y14" s="486">
        <f>SUM(W14:X14)</f>
        <v>0</v>
      </c>
      <c r="Z14" s="499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ref="AE14:AE77" si="3">SUM(AC14:AD14)</f>
        <v>0</v>
      </c>
      <c r="AF14" s="486">
        <f t="shared" ref="AF14:AF77" si="4">Z14+AA14+AB14+AE14</f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02">
        <f t="shared" ref="AN14:AN77" si="5">SUM(AL14:AM14)</f>
        <v>0</v>
      </c>
      <c r="AO14" s="499">
        <f>I14+AF14</f>
        <v>23493348</v>
      </c>
      <c r="AP14" s="500">
        <f>J14+V14</f>
        <v>17007937</v>
      </c>
      <c r="AQ14" s="486">
        <f>K14+Y14</f>
        <v>90000</v>
      </c>
      <c r="AR14" s="480">
        <f>L14</f>
        <v>0</v>
      </c>
      <c r="AS14" s="499">
        <f t="shared" ref="AS14:AT17" si="6">M14+AA14</f>
        <v>5779102</v>
      </c>
      <c r="AT14" s="486">
        <f t="shared" si="6"/>
        <v>340159</v>
      </c>
      <c r="AU14" s="486">
        <f>O14+AE14</f>
        <v>276150</v>
      </c>
      <c r="AV14" s="501">
        <f>P14+AN14</f>
        <v>40.962800000000001</v>
      </c>
      <c r="AW14" s="501">
        <f t="shared" ref="AW14:AX17" si="7">Q14+AL14</f>
        <v>30.082600000000003</v>
      </c>
      <c r="AX14" s="502">
        <f t="shared" si="7"/>
        <v>10.8802</v>
      </c>
    </row>
    <row r="15" spans="1:50" ht="12.95" customHeight="1" x14ac:dyDescent="0.25">
      <c r="A15" s="154">
        <v>2</v>
      </c>
      <c r="B15" s="83">
        <v>4419</v>
      </c>
      <c r="C15" s="491">
        <v>600074056</v>
      </c>
      <c r="D15" s="83">
        <v>72744049</v>
      </c>
      <c r="E15" s="492" t="s">
        <v>330</v>
      </c>
      <c r="F15" s="83">
        <v>3111</v>
      </c>
      <c r="G15" s="503" t="s">
        <v>319</v>
      </c>
      <c r="H15" s="494" t="s">
        <v>283</v>
      </c>
      <c r="I15" s="495">
        <v>464583</v>
      </c>
      <c r="J15" s="496">
        <v>342108</v>
      </c>
      <c r="K15" s="496">
        <v>0</v>
      </c>
      <c r="L15" s="496">
        <v>0</v>
      </c>
      <c r="M15" s="411">
        <v>115633</v>
      </c>
      <c r="N15" s="411">
        <v>6842</v>
      </c>
      <c r="O15" s="496">
        <v>0</v>
      </c>
      <c r="P15" s="497">
        <v>0.92</v>
      </c>
      <c r="Q15" s="412">
        <v>0.92</v>
      </c>
      <c r="R15" s="498">
        <v>0</v>
      </c>
      <c r="S15" s="499">
        <f t="shared" si="2"/>
        <v>0</v>
      </c>
      <c r="T15" s="499">
        <v>0</v>
      </c>
      <c r="U15" s="486">
        <v>0</v>
      </c>
      <c r="V15" s="486">
        <f>SUM(S15:U15)</f>
        <v>0</v>
      </c>
      <c r="W15" s="486">
        <v>0</v>
      </c>
      <c r="X15" s="500">
        <v>0</v>
      </c>
      <c r="Y15" s="486">
        <f>SUM(W15:X15)</f>
        <v>0</v>
      </c>
      <c r="Z15" s="499">
        <f>V15+Y15</f>
        <v>0</v>
      </c>
      <c r="AA15" s="319">
        <f>ROUND((V15+W15)*33.8%,0)</f>
        <v>0</v>
      </c>
      <c r="AB15" s="178">
        <f>ROUND(V15*2%,0)</f>
        <v>0</v>
      </c>
      <c r="AC15" s="486">
        <v>0</v>
      </c>
      <c r="AD15" s="486">
        <v>0</v>
      </c>
      <c r="AE15" s="486">
        <f t="shared" si="3"/>
        <v>0</v>
      </c>
      <c r="AF15" s="486">
        <f t="shared" si="4"/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 t="shared" ref="AL15:AL17" si="8">AG15+AI15+AJ15</f>
        <v>0</v>
      </c>
      <c r="AM15" s="501">
        <f t="shared" ref="AM15:AM17" si="9">AH15+AK15</f>
        <v>0</v>
      </c>
      <c r="AN15" s="502">
        <f t="shared" si="5"/>
        <v>0</v>
      </c>
      <c r="AO15" s="499">
        <f>I15+AF15</f>
        <v>464583</v>
      </c>
      <c r="AP15" s="500">
        <f>J15+V15</f>
        <v>342108</v>
      </c>
      <c r="AQ15" s="486">
        <f>K15+Y15</f>
        <v>0</v>
      </c>
      <c r="AR15" s="480">
        <f>L15</f>
        <v>0</v>
      </c>
      <c r="AS15" s="499">
        <f t="shared" si="6"/>
        <v>115633</v>
      </c>
      <c r="AT15" s="486">
        <f t="shared" si="6"/>
        <v>6842</v>
      </c>
      <c r="AU15" s="486">
        <f>O15+AE15</f>
        <v>0</v>
      </c>
      <c r="AV15" s="501">
        <f>P15+AN15</f>
        <v>0.92</v>
      </c>
      <c r="AW15" s="501">
        <f t="shared" si="7"/>
        <v>0.92</v>
      </c>
      <c r="AX15" s="502">
        <f t="shared" si="7"/>
        <v>0</v>
      </c>
    </row>
    <row r="16" spans="1:50" ht="12.95" customHeight="1" x14ac:dyDescent="0.25">
      <c r="A16" s="154">
        <v>2</v>
      </c>
      <c r="B16" s="83">
        <v>4419</v>
      </c>
      <c r="C16" s="491">
        <v>600074056</v>
      </c>
      <c r="D16" s="83">
        <v>72744049</v>
      </c>
      <c r="E16" s="492" t="s">
        <v>330</v>
      </c>
      <c r="F16" s="83">
        <v>3111</v>
      </c>
      <c r="G16" s="493" t="s">
        <v>325</v>
      </c>
      <c r="H16" s="494" t="s">
        <v>284</v>
      </c>
      <c r="I16" s="495">
        <v>495847</v>
      </c>
      <c r="J16" s="496">
        <v>365131</v>
      </c>
      <c r="K16" s="496">
        <v>0</v>
      </c>
      <c r="L16" s="496">
        <v>0</v>
      </c>
      <c r="M16" s="411">
        <v>123414</v>
      </c>
      <c r="N16" s="411">
        <v>7302</v>
      </c>
      <c r="O16" s="496">
        <v>0</v>
      </c>
      <c r="P16" s="497">
        <v>1.1500000000000001</v>
      </c>
      <c r="Q16" s="412">
        <v>1.1500000000000001</v>
      </c>
      <c r="R16" s="498">
        <v>0</v>
      </c>
      <c r="S16" s="499">
        <f t="shared" si="2"/>
        <v>0</v>
      </c>
      <c r="T16" s="499">
        <v>0</v>
      </c>
      <c r="U16" s="486">
        <v>0</v>
      </c>
      <c r="V16" s="486">
        <f>SUM(S16:U16)</f>
        <v>0</v>
      </c>
      <c r="W16" s="486">
        <v>0</v>
      </c>
      <c r="X16" s="500">
        <v>0</v>
      </c>
      <c r="Y16" s="486">
        <f>SUM(W16:X16)</f>
        <v>0</v>
      </c>
      <c r="Z16" s="499">
        <f>V16+Y16</f>
        <v>0</v>
      </c>
      <c r="AA16" s="319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 t="shared" si="3"/>
        <v>0</v>
      </c>
      <c r="AF16" s="486">
        <f t="shared" si="4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si="8"/>
        <v>0</v>
      </c>
      <c r="AM16" s="501">
        <f t="shared" si="9"/>
        <v>0</v>
      </c>
      <c r="AN16" s="502">
        <f t="shared" si="5"/>
        <v>0</v>
      </c>
      <c r="AO16" s="499">
        <f>I16+AF16</f>
        <v>495847</v>
      </c>
      <c r="AP16" s="500">
        <f>J16+V16</f>
        <v>365131</v>
      </c>
      <c r="AQ16" s="486">
        <f>K16+Y16</f>
        <v>0</v>
      </c>
      <c r="AR16" s="480">
        <f>L16</f>
        <v>0</v>
      </c>
      <c r="AS16" s="499">
        <f t="shared" si="6"/>
        <v>123414</v>
      </c>
      <c r="AT16" s="486">
        <f t="shared" si="6"/>
        <v>7302</v>
      </c>
      <c r="AU16" s="486">
        <f>O16+AE16</f>
        <v>0</v>
      </c>
      <c r="AV16" s="501">
        <f>P16+AN16</f>
        <v>1.1500000000000001</v>
      </c>
      <c r="AW16" s="501">
        <f t="shared" si="7"/>
        <v>1.1500000000000001</v>
      </c>
      <c r="AX16" s="502">
        <f t="shared" si="7"/>
        <v>0</v>
      </c>
    </row>
    <row r="17" spans="1:50" ht="12.95" customHeight="1" x14ac:dyDescent="0.25">
      <c r="A17" s="154">
        <v>2</v>
      </c>
      <c r="B17" s="83">
        <v>4419</v>
      </c>
      <c r="C17" s="491">
        <v>600074056</v>
      </c>
      <c r="D17" s="83">
        <v>72744049</v>
      </c>
      <c r="E17" s="492" t="s">
        <v>330</v>
      </c>
      <c r="F17" s="83">
        <v>3141</v>
      </c>
      <c r="G17" s="493" t="s">
        <v>321</v>
      </c>
      <c r="H17" s="493" t="s">
        <v>284</v>
      </c>
      <c r="I17" s="495">
        <v>3557349</v>
      </c>
      <c r="J17" s="496">
        <v>2596867</v>
      </c>
      <c r="K17" s="496">
        <v>10000</v>
      </c>
      <c r="L17" s="496">
        <v>0</v>
      </c>
      <c r="M17" s="411">
        <v>881121</v>
      </c>
      <c r="N17" s="411">
        <v>51937</v>
      </c>
      <c r="O17" s="496">
        <v>17424</v>
      </c>
      <c r="P17" s="497">
        <v>8.879999999999999</v>
      </c>
      <c r="Q17" s="412">
        <v>0</v>
      </c>
      <c r="R17" s="498">
        <v>8.879999999999999</v>
      </c>
      <c r="S17" s="499">
        <f t="shared" si="2"/>
        <v>0</v>
      </c>
      <c r="T17" s="499">
        <v>0</v>
      </c>
      <c r="U17" s="486">
        <v>0</v>
      </c>
      <c r="V17" s="486">
        <f>SUM(S17:U17)</f>
        <v>0</v>
      </c>
      <c r="W17" s="486">
        <v>0</v>
      </c>
      <c r="X17" s="500">
        <v>0</v>
      </c>
      <c r="Y17" s="486">
        <f>SUM(W17:X17)</f>
        <v>0</v>
      </c>
      <c r="Z17" s="499">
        <f>V17+Y17</f>
        <v>0</v>
      </c>
      <c r="AA17" s="319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 t="shared" si="3"/>
        <v>0</v>
      </c>
      <c r="AF17" s="486">
        <f t="shared" si="4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8"/>
        <v>0</v>
      </c>
      <c r="AM17" s="501">
        <f t="shared" si="9"/>
        <v>0</v>
      </c>
      <c r="AN17" s="502">
        <f t="shared" si="5"/>
        <v>0</v>
      </c>
      <c r="AO17" s="499">
        <f>I17+AF17</f>
        <v>3557349</v>
      </c>
      <c r="AP17" s="500">
        <f>J17+V17</f>
        <v>2596867</v>
      </c>
      <c r="AQ17" s="486">
        <f>K17+Y17</f>
        <v>10000</v>
      </c>
      <c r="AR17" s="480">
        <f>L17</f>
        <v>0</v>
      </c>
      <c r="AS17" s="499">
        <f t="shared" si="6"/>
        <v>881121</v>
      </c>
      <c r="AT17" s="486">
        <f t="shared" si="6"/>
        <v>51937</v>
      </c>
      <c r="AU17" s="486">
        <f>O17+AE17</f>
        <v>17424</v>
      </c>
      <c r="AV17" s="501">
        <f>P17+AN17</f>
        <v>8.879999999999999</v>
      </c>
      <c r="AW17" s="501">
        <f t="shared" si="7"/>
        <v>0</v>
      </c>
      <c r="AX17" s="502">
        <f t="shared" si="7"/>
        <v>8.879999999999999</v>
      </c>
    </row>
    <row r="18" spans="1:50" ht="12.95" customHeight="1" x14ac:dyDescent="0.25">
      <c r="A18" s="155">
        <v>2</v>
      </c>
      <c r="B18" s="85">
        <v>4419</v>
      </c>
      <c r="C18" s="504">
        <v>600074056</v>
      </c>
      <c r="D18" s="85">
        <v>72744049</v>
      </c>
      <c r="E18" s="89" t="s">
        <v>332</v>
      </c>
      <c r="F18" s="85"/>
      <c r="G18" s="90"/>
      <c r="H18" s="90"/>
      <c r="I18" s="147">
        <v>28011127</v>
      </c>
      <c r="J18" s="91">
        <v>20312043</v>
      </c>
      <c r="K18" s="91">
        <v>100000</v>
      </c>
      <c r="L18" s="91">
        <v>0</v>
      </c>
      <c r="M18" s="91">
        <v>6899270</v>
      </c>
      <c r="N18" s="91">
        <v>406240</v>
      </c>
      <c r="O18" s="91">
        <v>293574</v>
      </c>
      <c r="P18" s="94">
        <v>51.912800000000004</v>
      </c>
      <c r="Q18" s="94">
        <v>32.152600000000007</v>
      </c>
      <c r="R18" s="275">
        <v>19.760199999999998</v>
      </c>
      <c r="S18" s="425">
        <f t="shared" ref="S18:AN18" si="10">SUM(S14:S17)</f>
        <v>0</v>
      </c>
      <c r="T18" s="91">
        <f t="shared" si="10"/>
        <v>0</v>
      </c>
      <c r="U18" s="91">
        <f t="shared" si="10"/>
        <v>0</v>
      </c>
      <c r="V18" s="91">
        <f t="shared" si="10"/>
        <v>0</v>
      </c>
      <c r="W18" s="91">
        <f t="shared" si="10"/>
        <v>0</v>
      </c>
      <c r="X18" s="442">
        <f t="shared" si="10"/>
        <v>0</v>
      </c>
      <c r="Y18" s="91">
        <f t="shared" si="10"/>
        <v>0</v>
      </c>
      <c r="Z18" s="142">
        <f t="shared" si="10"/>
        <v>0</v>
      </c>
      <c r="AA18" s="91">
        <f t="shared" si="10"/>
        <v>0</v>
      </c>
      <c r="AB18" s="91">
        <f t="shared" si="10"/>
        <v>0</v>
      </c>
      <c r="AC18" s="91">
        <f t="shared" si="10"/>
        <v>0</v>
      </c>
      <c r="AD18" s="91">
        <f t="shared" si="10"/>
        <v>0</v>
      </c>
      <c r="AE18" s="91">
        <f t="shared" si="10"/>
        <v>0</v>
      </c>
      <c r="AF18" s="91">
        <f t="shared" si="10"/>
        <v>0</v>
      </c>
      <c r="AG18" s="94">
        <f t="shared" si="10"/>
        <v>0</v>
      </c>
      <c r="AH18" s="94">
        <f t="shared" si="10"/>
        <v>0</v>
      </c>
      <c r="AI18" s="94">
        <f t="shared" si="10"/>
        <v>0</v>
      </c>
      <c r="AJ18" s="94">
        <f t="shared" si="10"/>
        <v>0</v>
      </c>
      <c r="AK18" s="94">
        <f t="shared" si="10"/>
        <v>0</v>
      </c>
      <c r="AL18" s="94">
        <f t="shared" si="10"/>
        <v>0</v>
      </c>
      <c r="AM18" s="94">
        <f t="shared" si="10"/>
        <v>0</v>
      </c>
      <c r="AN18" s="275">
        <f t="shared" si="10"/>
        <v>0</v>
      </c>
      <c r="AO18" s="142">
        <f t="shared" ref="AO18:AX18" si="11">SUM(AO14:AO17)</f>
        <v>28011127</v>
      </c>
      <c r="AP18" s="91">
        <f t="shared" si="11"/>
        <v>20312043</v>
      </c>
      <c r="AQ18" s="422">
        <f t="shared" si="11"/>
        <v>100000</v>
      </c>
      <c r="AR18" s="422">
        <f t="shared" si="11"/>
        <v>0</v>
      </c>
      <c r="AS18" s="91">
        <f t="shared" si="11"/>
        <v>6899270</v>
      </c>
      <c r="AT18" s="91">
        <f t="shared" si="11"/>
        <v>406240</v>
      </c>
      <c r="AU18" s="91">
        <f t="shared" si="11"/>
        <v>293574</v>
      </c>
      <c r="AV18" s="94">
        <f t="shared" si="11"/>
        <v>51.912800000000004</v>
      </c>
      <c r="AW18" s="94">
        <f t="shared" si="11"/>
        <v>32.152600000000007</v>
      </c>
      <c r="AX18" s="275">
        <f t="shared" si="11"/>
        <v>19.760199999999998</v>
      </c>
    </row>
    <row r="19" spans="1:50" ht="12.95" customHeight="1" x14ac:dyDescent="0.25">
      <c r="A19" s="154">
        <v>3</v>
      </c>
      <c r="B19" s="83">
        <v>4464</v>
      </c>
      <c r="C19" s="83" t="s">
        <v>333</v>
      </c>
      <c r="D19" s="83">
        <v>46750461</v>
      </c>
      <c r="E19" s="492" t="s">
        <v>334</v>
      </c>
      <c r="F19" s="83">
        <v>3113</v>
      </c>
      <c r="G19" s="493" t="s">
        <v>335</v>
      </c>
      <c r="H19" s="493" t="s">
        <v>283</v>
      </c>
      <c r="I19" s="495">
        <v>40092740</v>
      </c>
      <c r="J19" s="496">
        <v>28391651</v>
      </c>
      <c r="K19" s="496">
        <v>208446</v>
      </c>
      <c r="L19" s="496">
        <v>201546</v>
      </c>
      <c r="M19" s="411">
        <v>9598710</v>
      </c>
      <c r="N19" s="411">
        <v>567833</v>
      </c>
      <c r="O19" s="496">
        <v>1326100</v>
      </c>
      <c r="P19" s="497">
        <v>52.629400000000004</v>
      </c>
      <c r="Q19" s="412">
        <v>41.090600000000002</v>
      </c>
      <c r="R19" s="498">
        <v>11.5388</v>
      </c>
      <c r="S19" s="499">
        <f t="shared" si="2"/>
        <v>0</v>
      </c>
      <c r="T19" s="486">
        <v>0</v>
      </c>
      <c r="U19" s="486">
        <v>0</v>
      </c>
      <c r="V19" s="486">
        <f>SUM(S19:U19)</f>
        <v>0</v>
      </c>
      <c r="W19" s="486">
        <v>0</v>
      </c>
      <c r="X19" s="500">
        <v>0</v>
      </c>
      <c r="Y19" s="486">
        <f>SUM(W19:X19)</f>
        <v>0</v>
      </c>
      <c r="Z19" s="499">
        <f>V19+Y19</f>
        <v>0</v>
      </c>
      <c r="AA19" s="319">
        <f>ROUND((V19+W19)*33.8%,0)</f>
        <v>0</v>
      </c>
      <c r="AB19" s="178">
        <f>ROUND(V19*2%,0)</f>
        <v>0</v>
      </c>
      <c r="AC19" s="486">
        <v>0</v>
      </c>
      <c r="AD19" s="486">
        <v>0</v>
      </c>
      <c r="AE19" s="486">
        <f t="shared" si="3"/>
        <v>0</v>
      </c>
      <c r="AF19" s="486">
        <f t="shared" si="4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ref="AL19:AL23" si="12">AG19+AI19+AJ19</f>
        <v>0</v>
      </c>
      <c r="AM19" s="501">
        <f t="shared" ref="AM19:AM23" si="13">AH19+AK19</f>
        <v>0</v>
      </c>
      <c r="AN19" s="502">
        <f t="shared" si="5"/>
        <v>0</v>
      </c>
      <c r="AO19" s="499">
        <f>I19+AF19</f>
        <v>40092740</v>
      </c>
      <c r="AP19" s="486">
        <f>J19+V19</f>
        <v>28391651</v>
      </c>
      <c r="AQ19" s="486">
        <f>K19+Y19</f>
        <v>208446</v>
      </c>
      <c r="AR19" s="480">
        <f>L19</f>
        <v>201546</v>
      </c>
      <c r="AS19" s="486">
        <f t="shared" ref="AS19:AT23" si="14">M19+AA19</f>
        <v>9598710</v>
      </c>
      <c r="AT19" s="486">
        <f t="shared" si="14"/>
        <v>567833</v>
      </c>
      <c r="AU19" s="486">
        <f>O19+AE19</f>
        <v>1326100</v>
      </c>
      <c r="AV19" s="501">
        <f>P19+AN19</f>
        <v>52.629400000000004</v>
      </c>
      <c r="AW19" s="501">
        <f t="shared" ref="AW19:AX23" si="15">Q19+AL19</f>
        <v>41.090600000000002</v>
      </c>
      <c r="AX19" s="502">
        <f t="shared" si="15"/>
        <v>11.5388</v>
      </c>
    </row>
    <row r="20" spans="1:50" ht="12.95" customHeight="1" x14ac:dyDescent="0.25">
      <c r="A20" s="154">
        <v>3</v>
      </c>
      <c r="B20" s="83">
        <v>4464</v>
      </c>
      <c r="C20" s="83" t="s">
        <v>333</v>
      </c>
      <c r="D20" s="83">
        <v>46750461</v>
      </c>
      <c r="E20" s="492" t="s">
        <v>336</v>
      </c>
      <c r="F20" s="83">
        <v>3113</v>
      </c>
      <c r="G20" s="493" t="s">
        <v>325</v>
      </c>
      <c r="H20" s="493" t="s">
        <v>284</v>
      </c>
      <c r="I20" s="495">
        <v>263915</v>
      </c>
      <c r="J20" s="496">
        <v>194341</v>
      </c>
      <c r="K20" s="496">
        <v>0</v>
      </c>
      <c r="L20" s="496">
        <v>0</v>
      </c>
      <c r="M20" s="411">
        <v>65687</v>
      </c>
      <c r="N20" s="411">
        <v>3887</v>
      </c>
      <c r="O20" s="496">
        <v>0</v>
      </c>
      <c r="P20" s="497">
        <v>0.58000000000000007</v>
      </c>
      <c r="Q20" s="412">
        <v>0.58000000000000007</v>
      </c>
      <c r="R20" s="498">
        <v>0</v>
      </c>
      <c r="S20" s="499">
        <f t="shared" si="2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500">
        <v>0</v>
      </c>
      <c r="Y20" s="486">
        <f>SUM(W20:X20)</f>
        <v>0</v>
      </c>
      <c r="Z20" s="499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3"/>
        <v>0</v>
      </c>
      <c r="AF20" s="486">
        <f t="shared" si="4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2"/>
        <v>0</v>
      </c>
      <c r="AM20" s="501">
        <f t="shared" si="13"/>
        <v>0</v>
      </c>
      <c r="AN20" s="502">
        <f t="shared" si="5"/>
        <v>0</v>
      </c>
      <c r="AO20" s="499">
        <f>I20+AF20</f>
        <v>263915</v>
      </c>
      <c r="AP20" s="486">
        <f>J20+V20</f>
        <v>194341</v>
      </c>
      <c r="AQ20" s="486">
        <f>K20+Y20</f>
        <v>0</v>
      </c>
      <c r="AR20" s="480">
        <f>L20</f>
        <v>0</v>
      </c>
      <c r="AS20" s="486">
        <f t="shared" si="14"/>
        <v>65687</v>
      </c>
      <c r="AT20" s="486">
        <f t="shared" si="14"/>
        <v>3887</v>
      </c>
      <c r="AU20" s="486">
        <f>O20+AE20</f>
        <v>0</v>
      </c>
      <c r="AV20" s="501">
        <f>P20+AN20</f>
        <v>0.58000000000000007</v>
      </c>
      <c r="AW20" s="501">
        <f t="shared" si="15"/>
        <v>0.58000000000000007</v>
      </c>
      <c r="AX20" s="502">
        <f t="shared" si="15"/>
        <v>0</v>
      </c>
    </row>
    <row r="21" spans="1:50" ht="12.95" customHeight="1" x14ac:dyDescent="0.25">
      <c r="A21" s="154">
        <v>3</v>
      </c>
      <c r="B21" s="83">
        <v>4464</v>
      </c>
      <c r="C21" s="83" t="s">
        <v>333</v>
      </c>
      <c r="D21" s="83">
        <v>46750461</v>
      </c>
      <c r="E21" s="492" t="s">
        <v>334</v>
      </c>
      <c r="F21" s="83">
        <v>3141</v>
      </c>
      <c r="G21" s="493" t="s">
        <v>321</v>
      </c>
      <c r="H21" s="493" t="s">
        <v>284</v>
      </c>
      <c r="I21" s="495">
        <v>3052075</v>
      </c>
      <c r="J21" s="496">
        <v>2225723</v>
      </c>
      <c r="K21" s="496">
        <v>0</v>
      </c>
      <c r="L21" s="496">
        <v>0</v>
      </c>
      <c r="M21" s="411">
        <v>752294</v>
      </c>
      <c r="N21" s="411">
        <v>44514</v>
      </c>
      <c r="O21" s="496">
        <v>29544</v>
      </c>
      <c r="P21" s="497">
        <v>7.5600000000000005</v>
      </c>
      <c r="Q21" s="412">
        <v>0</v>
      </c>
      <c r="R21" s="498">
        <v>7.5600000000000005</v>
      </c>
      <c r="S21" s="499">
        <f t="shared" si="2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500">
        <v>0</v>
      </c>
      <c r="Y21" s="486">
        <f>SUM(W21:X21)</f>
        <v>0</v>
      </c>
      <c r="Z21" s="499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3"/>
        <v>0</v>
      </c>
      <c r="AF21" s="486">
        <f t="shared" si="4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2"/>
        <v>0</v>
      </c>
      <c r="AM21" s="501">
        <f t="shared" si="13"/>
        <v>0</v>
      </c>
      <c r="AN21" s="502">
        <f t="shared" si="5"/>
        <v>0</v>
      </c>
      <c r="AO21" s="499">
        <f>I21+AF21</f>
        <v>3052075</v>
      </c>
      <c r="AP21" s="486">
        <f>J21+V21</f>
        <v>2225723</v>
      </c>
      <c r="AQ21" s="486">
        <f>K21+Y21</f>
        <v>0</v>
      </c>
      <c r="AR21" s="480">
        <f>L21</f>
        <v>0</v>
      </c>
      <c r="AS21" s="486">
        <f t="shared" si="14"/>
        <v>752294</v>
      </c>
      <c r="AT21" s="486">
        <f t="shared" si="14"/>
        <v>44514</v>
      </c>
      <c r="AU21" s="486">
        <f>O21+AE21</f>
        <v>29544</v>
      </c>
      <c r="AV21" s="501">
        <f>P21+AN21</f>
        <v>7.5600000000000005</v>
      </c>
      <c r="AW21" s="501">
        <f t="shared" si="15"/>
        <v>0</v>
      </c>
      <c r="AX21" s="502">
        <f t="shared" si="15"/>
        <v>7.5600000000000005</v>
      </c>
    </row>
    <row r="22" spans="1:50" ht="12.95" customHeight="1" x14ac:dyDescent="0.25">
      <c r="A22" s="154">
        <v>3</v>
      </c>
      <c r="B22" s="83">
        <v>4464</v>
      </c>
      <c r="C22" s="83" t="s">
        <v>333</v>
      </c>
      <c r="D22" s="83">
        <v>46750461</v>
      </c>
      <c r="E22" s="492" t="s">
        <v>336</v>
      </c>
      <c r="F22" s="83">
        <v>3143</v>
      </c>
      <c r="G22" s="493" t="s">
        <v>634</v>
      </c>
      <c r="H22" s="493" t="s">
        <v>283</v>
      </c>
      <c r="I22" s="495">
        <v>3183719</v>
      </c>
      <c r="J22" s="496">
        <v>2340871</v>
      </c>
      <c r="K22" s="496">
        <v>3600</v>
      </c>
      <c r="L22" s="496">
        <v>0</v>
      </c>
      <c r="M22" s="411">
        <v>792431</v>
      </c>
      <c r="N22" s="411">
        <v>46817</v>
      </c>
      <c r="O22" s="496">
        <v>0</v>
      </c>
      <c r="P22" s="497">
        <v>5.0354000000000001</v>
      </c>
      <c r="Q22" s="412">
        <v>5.0354000000000001</v>
      </c>
      <c r="R22" s="498">
        <v>0</v>
      </c>
      <c r="S22" s="499">
        <f t="shared" si="2"/>
        <v>0</v>
      </c>
      <c r="T22" s="486">
        <v>0</v>
      </c>
      <c r="U22" s="486">
        <v>0</v>
      </c>
      <c r="V22" s="486">
        <f>SUM(S22:U22)</f>
        <v>0</v>
      </c>
      <c r="W22" s="486">
        <v>0</v>
      </c>
      <c r="X22" s="500">
        <v>0</v>
      </c>
      <c r="Y22" s="486">
        <f>SUM(W22:X22)</f>
        <v>0</v>
      </c>
      <c r="Z22" s="499">
        <f>V22+Y22</f>
        <v>0</v>
      </c>
      <c r="AA22" s="319">
        <f>ROUND((V22+W22)*33.8%,0)</f>
        <v>0</v>
      </c>
      <c r="AB22" s="178">
        <f>ROUND(V22*2%,0)</f>
        <v>0</v>
      </c>
      <c r="AC22" s="486">
        <v>0</v>
      </c>
      <c r="AD22" s="486">
        <v>0</v>
      </c>
      <c r="AE22" s="486">
        <f t="shared" si="3"/>
        <v>0</v>
      </c>
      <c r="AF22" s="486">
        <f t="shared" si="4"/>
        <v>0</v>
      </c>
      <c r="AG22" s="501">
        <v>0</v>
      </c>
      <c r="AH22" s="501">
        <v>0</v>
      </c>
      <c r="AI22" s="501">
        <v>0</v>
      </c>
      <c r="AJ22" s="501">
        <v>0</v>
      </c>
      <c r="AK22" s="501">
        <v>0</v>
      </c>
      <c r="AL22" s="501">
        <f t="shared" si="12"/>
        <v>0</v>
      </c>
      <c r="AM22" s="501">
        <f t="shared" si="13"/>
        <v>0</v>
      </c>
      <c r="AN22" s="502">
        <f t="shared" si="5"/>
        <v>0</v>
      </c>
      <c r="AO22" s="499">
        <f>I22+AF22</f>
        <v>3183719</v>
      </c>
      <c r="AP22" s="486">
        <f>J22+V22</f>
        <v>2340871</v>
      </c>
      <c r="AQ22" s="486">
        <f>K22+Y22</f>
        <v>3600</v>
      </c>
      <c r="AR22" s="480">
        <f>L22</f>
        <v>0</v>
      </c>
      <c r="AS22" s="486">
        <f t="shared" si="14"/>
        <v>792431</v>
      </c>
      <c r="AT22" s="486">
        <f t="shared" si="14"/>
        <v>46817</v>
      </c>
      <c r="AU22" s="486">
        <f>O22+AE22</f>
        <v>0</v>
      </c>
      <c r="AV22" s="501">
        <f>P22+AN22</f>
        <v>5.0354000000000001</v>
      </c>
      <c r="AW22" s="501">
        <f t="shared" si="15"/>
        <v>5.0354000000000001</v>
      </c>
      <c r="AX22" s="502">
        <f t="shared" si="15"/>
        <v>0</v>
      </c>
    </row>
    <row r="23" spans="1:50" ht="12.95" customHeight="1" x14ac:dyDescent="0.25">
      <c r="A23" s="154">
        <v>3</v>
      </c>
      <c r="B23" s="83">
        <v>4464</v>
      </c>
      <c r="C23" s="83" t="s">
        <v>333</v>
      </c>
      <c r="D23" s="83">
        <v>46750461</v>
      </c>
      <c r="E23" s="492" t="s">
        <v>336</v>
      </c>
      <c r="F23" s="83">
        <v>3143</v>
      </c>
      <c r="G23" s="493" t="s">
        <v>635</v>
      </c>
      <c r="H23" s="493" t="s">
        <v>284</v>
      </c>
      <c r="I23" s="495">
        <v>119376</v>
      </c>
      <c r="J23" s="496">
        <v>84150</v>
      </c>
      <c r="K23" s="496">
        <v>0</v>
      </c>
      <c r="L23" s="496">
        <v>0</v>
      </c>
      <c r="M23" s="411">
        <v>28443</v>
      </c>
      <c r="N23" s="411">
        <v>1683</v>
      </c>
      <c r="O23" s="496">
        <v>5100</v>
      </c>
      <c r="P23" s="497">
        <v>0.35</v>
      </c>
      <c r="Q23" s="412">
        <v>0</v>
      </c>
      <c r="R23" s="498">
        <v>0.35</v>
      </c>
      <c r="S23" s="499">
        <f t="shared" si="2"/>
        <v>0</v>
      </c>
      <c r="T23" s="486">
        <v>0</v>
      </c>
      <c r="U23" s="486">
        <v>0</v>
      </c>
      <c r="V23" s="486">
        <f>SUM(S23:U23)</f>
        <v>0</v>
      </c>
      <c r="W23" s="486">
        <v>0</v>
      </c>
      <c r="X23" s="500">
        <v>0</v>
      </c>
      <c r="Y23" s="486">
        <f>SUM(W23:X23)</f>
        <v>0</v>
      </c>
      <c r="Z23" s="499">
        <f>V23+Y23</f>
        <v>0</v>
      </c>
      <c r="AA23" s="319">
        <f>ROUND((V23+W23)*33.8%,0)</f>
        <v>0</v>
      </c>
      <c r="AB23" s="178">
        <f>ROUND(V23*2%,0)</f>
        <v>0</v>
      </c>
      <c r="AC23" s="486">
        <v>0</v>
      </c>
      <c r="AD23" s="486">
        <v>0</v>
      </c>
      <c r="AE23" s="486">
        <f t="shared" si="3"/>
        <v>0</v>
      </c>
      <c r="AF23" s="486">
        <f t="shared" si="4"/>
        <v>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si="12"/>
        <v>0</v>
      </c>
      <c r="AM23" s="501">
        <f t="shared" si="13"/>
        <v>0</v>
      </c>
      <c r="AN23" s="502">
        <f t="shared" si="5"/>
        <v>0</v>
      </c>
      <c r="AO23" s="499">
        <f>I23+AF23</f>
        <v>119376</v>
      </c>
      <c r="AP23" s="486">
        <f>J23+V23</f>
        <v>84150</v>
      </c>
      <c r="AQ23" s="486">
        <f>K23+Y23</f>
        <v>0</v>
      </c>
      <c r="AR23" s="480">
        <f>L23</f>
        <v>0</v>
      </c>
      <c r="AS23" s="486">
        <f t="shared" si="14"/>
        <v>28443</v>
      </c>
      <c r="AT23" s="486">
        <f t="shared" si="14"/>
        <v>1683</v>
      </c>
      <c r="AU23" s="486">
        <f>O23+AE23</f>
        <v>5100</v>
      </c>
      <c r="AV23" s="501">
        <f>P23+AN23</f>
        <v>0.35</v>
      </c>
      <c r="AW23" s="501">
        <f t="shared" si="15"/>
        <v>0</v>
      </c>
      <c r="AX23" s="502">
        <f t="shared" si="15"/>
        <v>0.35</v>
      </c>
    </row>
    <row r="24" spans="1:50" ht="12.95" customHeight="1" x14ac:dyDescent="0.25">
      <c r="A24" s="155">
        <v>3</v>
      </c>
      <c r="B24" s="85">
        <v>4464</v>
      </c>
      <c r="C24" s="85" t="s">
        <v>333</v>
      </c>
      <c r="D24" s="85">
        <v>46750461</v>
      </c>
      <c r="E24" s="89" t="s">
        <v>337</v>
      </c>
      <c r="F24" s="85"/>
      <c r="G24" s="90"/>
      <c r="H24" s="90"/>
      <c r="I24" s="147">
        <v>46711825</v>
      </c>
      <c r="J24" s="91">
        <v>33236736</v>
      </c>
      <c r="K24" s="91">
        <v>212046</v>
      </c>
      <c r="L24" s="91">
        <v>201546</v>
      </c>
      <c r="M24" s="91">
        <v>11237565</v>
      </c>
      <c r="N24" s="91">
        <v>664734</v>
      </c>
      <c r="O24" s="91">
        <v>1360744</v>
      </c>
      <c r="P24" s="94">
        <v>66.154799999999994</v>
      </c>
      <c r="Q24" s="94">
        <v>46.706000000000003</v>
      </c>
      <c r="R24" s="275">
        <v>19.448800000000002</v>
      </c>
      <c r="S24" s="142">
        <f t="shared" ref="S24:AN24" si="16">SUM(S19:S23)</f>
        <v>0</v>
      </c>
      <c r="T24" s="91">
        <f t="shared" si="16"/>
        <v>0</v>
      </c>
      <c r="U24" s="91">
        <f t="shared" si="16"/>
        <v>0</v>
      </c>
      <c r="V24" s="91">
        <f t="shared" si="16"/>
        <v>0</v>
      </c>
      <c r="W24" s="91">
        <f t="shared" si="16"/>
        <v>0</v>
      </c>
      <c r="X24" s="442">
        <f t="shared" si="16"/>
        <v>0</v>
      </c>
      <c r="Y24" s="91">
        <f t="shared" si="16"/>
        <v>0</v>
      </c>
      <c r="Z24" s="142">
        <f t="shared" si="16"/>
        <v>0</v>
      </c>
      <c r="AA24" s="91">
        <f t="shared" si="16"/>
        <v>0</v>
      </c>
      <c r="AB24" s="91">
        <f t="shared" si="16"/>
        <v>0</v>
      </c>
      <c r="AC24" s="91">
        <f t="shared" si="16"/>
        <v>0</v>
      </c>
      <c r="AD24" s="91">
        <f t="shared" si="16"/>
        <v>0</v>
      </c>
      <c r="AE24" s="91">
        <f t="shared" si="16"/>
        <v>0</v>
      </c>
      <c r="AF24" s="91">
        <f t="shared" si="16"/>
        <v>0</v>
      </c>
      <c r="AG24" s="94">
        <f t="shared" si="16"/>
        <v>0</v>
      </c>
      <c r="AH24" s="94">
        <f t="shared" si="16"/>
        <v>0</v>
      </c>
      <c r="AI24" s="94">
        <f t="shared" si="16"/>
        <v>0</v>
      </c>
      <c r="AJ24" s="94">
        <f t="shared" si="16"/>
        <v>0</v>
      </c>
      <c r="AK24" s="94">
        <f t="shared" si="16"/>
        <v>0</v>
      </c>
      <c r="AL24" s="94">
        <f t="shared" si="16"/>
        <v>0</v>
      </c>
      <c r="AM24" s="94">
        <f t="shared" si="16"/>
        <v>0</v>
      </c>
      <c r="AN24" s="275">
        <f t="shared" si="16"/>
        <v>0</v>
      </c>
      <c r="AO24" s="142">
        <f t="shared" ref="AO24:AX24" si="17">SUM(AO19:AO23)</f>
        <v>46711825</v>
      </c>
      <c r="AP24" s="91">
        <f t="shared" si="17"/>
        <v>33236736</v>
      </c>
      <c r="AQ24" s="91">
        <f t="shared" si="17"/>
        <v>212046</v>
      </c>
      <c r="AR24" s="91">
        <f t="shared" si="17"/>
        <v>201546</v>
      </c>
      <c r="AS24" s="91">
        <f t="shared" si="17"/>
        <v>11237565</v>
      </c>
      <c r="AT24" s="91">
        <f t="shared" si="17"/>
        <v>664734</v>
      </c>
      <c r="AU24" s="91">
        <f t="shared" si="17"/>
        <v>1360744</v>
      </c>
      <c r="AV24" s="94">
        <f t="shared" si="17"/>
        <v>66.154799999999994</v>
      </c>
      <c r="AW24" s="94">
        <f t="shared" si="17"/>
        <v>46.706000000000003</v>
      </c>
      <c r="AX24" s="275">
        <f t="shared" si="17"/>
        <v>19.448800000000002</v>
      </c>
    </row>
    <row r="25" spans="1:50" ht="12.95" customHeight="1" x14ac:dyDescent="0.25">
      <c r="A25" s="154">
        <v>4</v>
      </c>
      <c r="B25" s="83">
        <v>4457</v>
      </c>
      <c r="C25" s="83">
        <v>600074609</v>
      </c>
      <c r="D25" s="83">
        <v>72743964</v>
      </c>
      <c r="E25" s="492" t="s">
        <v>338</v>
      </c>
      <c r="F25" s="83">
        <v>3117</v>
      </c>
      <c r="G25" s="493" t="s">
        <v>335</v>
      </c>
      <c r="H25" s="493" t="s">
        <v>283</v>
      </c>
      <c r="I25" s="495">
        <v>6857138</v>
      </c>
      <c r="J25" s="496">
        <v>4795024</v>
      </c>
      <c r="K25" s="496">
        <v>44356</v>
      </c>
      <c r="L25" s="496">
        <v>14356</v>
      </c>
      <c r="M25" s="411">
        <v>1630858</v>
      </c>
      <c r="N25" s="411">
        <v>95900</v>
      </c>
      <c r="O25" s="496">
        <v>291000</v>
      </c>
      <c r="P25" s="497">
        <v>9.0066000000000006</v>
      </c>
      <c r="Q25" s="412">
        <v>6.2588999999999997</v>
      </c>
      <c r="R25" s="498">
        <v>2.7477</v>
      </c>
      <c r="S25" s="499">
        <f t="shared" si="2"/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500">
        <v>0</v>
      </c>
      <c r="Y25" s="486">
        <f>SUM(W25:X25)</f>
        <v>0</v>
      </c>
      <c r="Z25" s="499">
        <f>V25+Y25</f>
        <v>0</v>
      </c>
      <c r="AA25" s="319">
        <f>ROUND((V25+W25)*33.8%,0)</f>
        <v>0</v>
      </c>
      <c r="AB25" s="178">
        <f>ROUND(V25*2%,0)</f>
        <v>0</v>
      </c>
      <c r="AC25" s="486">
        <v>0</v>
      </c>
      <c r="AD25" s="486">
        <v>0</v>
      </c>
      <c r="AE25" s="486">
        <f t="shared" si="3"/>
        <v>0</v>
      </c>
      <c r="AF25" s="486">
        <f t="shared" si="4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ref="AL25:AL29" si="18">AG25+AI25+AJ25</f>
        <v>0</v>
      </c>
      <c r="AM25" s="501">
        <f t="shared" ref="AM25:AM29" si="19">AH25+AK25</f>
        <v>0</v>
      </c>
      <c r="AN25" s="502">
        <f t="shared" si="5"/>
        <v>0</v>
      </c>
      <c r="AO25" s="499">
        <f>I25+AF25</f>
        <v>6857138</v>
      </c>
      <c r="AP25" s="486">
        <f>J25+V25</f>
        <v>4795024</v>
      </c>
      <c r="AQ25" s="486">
        <f>K25+Y25</f>
        <v>44356</v>
      </c>
      <c r="AR25" s="480">
        <f>L25</f>
        <v>14356</v>
      </c>
      <c r="AS25" s="486">
        <f t="shared" ref="AS25:AT29" si="20">M25+AA25</f>
        <v>1630858</v>
      </c>
      <c r="AT25" s="486">
        <f t="shared" si="20"/>
        <v>95900</v>
      </c>
      <c r="AU25" s="486">
        <f>O25+AE25</f>
        <v>291000</v>
      </c>
      <c r="AV25" s="501">
        <f>P25+AN25</f>
        <v>9.0066000000000006</v>
      </c>
      <c r="AW25" s="501">
        <f t="shared" ref="AW25:AX29" si="21">Q25+AL25</f>
        <v>6.2588999999999997</v>
      </c>
      <c r="AX25" s="502">
        <f t="shared" si="21"/>
        <v>2.7477</v>
      </c>
    </row>
    <row r="26" spans="1:50" ht="12.95" customHeight="1" x14ac:dyDescent="0.25">
      <c r="A26" s="154">
        <v>4</v>
      </c>
      <c r="B26" s="83">
        <v>4457</v>
      </c>
      <c r="C26" s="83">
        <v>600074609</v>
      </c>
      <c r="D26" s="83">
        <v>72743964</v>
      </c>
      <c r="E26" s="492" t="s">
        <v>338</v>
      </c>
      <c r="F26" s="83">
        <v>3117</v>
      </c>
      <c r="G26" s="493" t="s">
        <v>325</v>
      </c>
      <c r="H26" s="493" t="s">
        <v>284</v>
      </c>
      <c r="I26" s="495">
        <v>1852299</v>
      </c>
      <c r="J26" s="496">
        <v>1341347</v>
      </c>
      <c r="K26" s="496">
        <v>0</v>
      </c>
      <c r="L26" s="496">
        <v>0</v>
      </c>
      <c r="M26" s="411">
        <v>453375</v>
      </c>
      <c r="N26" s="411">
        <v>26827</v>
      </c>
      <c r="O26" s="496">
        <v>30750</v>
      </c>
      <c r="P26" s="497">
        <v>4.01</v>
      </c>
      <c r="Q26" s="412">
        <v>4.01</v>
      </c>
      <c r="R26" s="498">
        <v>0</v>
      </c>
      <c r="S26" s="499">
        <f t="shared" si="2"/>
        <v>0</v>
      </c>
      <c r="T26" s="486">
        <v>1890</v>
      </c>
      <c r="U26" s="486">
        <v>0</v>
      </c>
      <c r="V26" s="486">
        <f>SUM(S26:U26)</f>
        <v>1890</v>
      </c>
      <c r="W26" s="486">
        <v>0</v>
      </c>
      <c r="X26" s="500">
        <v>0</v>
      </c>
      <c r="Y26" s="486">
        <f>SUM(W26:X26)</f>
        <v>0</v>
      </c>
      <c r="Z26" s="499">
        <f>V26+Y26</f>
        <v>1890</v>
      </c>
      <c r="AA26" s="319">
        <f>ROUND((V26+W26)*33.8%,0)</f>
        <v>639</v>
      </c>
      <c r="AB26" s="178">
        <f>ROUND(V26*2%,0)</f>
        <v>38</v>
      </c>
      <c r="AC26" s="486">
        <v>0</v>
      </c>
      <c r="AD26" s="486">
        <v>0</v>
      </c>
      <c r="AE26" s="486">
        <f t="shared" si="3"/>
        <v>0</v>
      </c>
      <c r="AF26" s="486">
        <f t="shared" si="4"/>
        <v>2567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18"/>
        <v>0</v>
      </c>
      <c r="AM26" s="501">
        <f t="shared" si="19"/>
        <v>0</v>
      </c>
      <c r="AN26" s="502">
        <f t="shared" si="5"/>
        <v>0</v>
      </c>
      <c r="AO26" s="499">
        <f>I26+AF26</f>
        <v>1854866</v>
      </c>
      <c r="AP26" s="486">
        <f>J26+V26</f>
        <v>1343237</v>
      </c>
      <c r="AQ26" s="486">
        <f>K26+Y26</f>
        <v>0</v>
      </c>
      <c r="AR26" s="480">
        <f>L26</f>
        <v>0</v>
      </c>
      <c r="AS26" s="486">
        <f t="shared" si="20"/>
        <v>454014</v>
      </c>
      <c r="AT26" s="486">
        <f t="shared" si="20"/>
        <v>26865</v>
      </c>
      <c r="AU26" s="486">
        <f>O26+AE26</f>
        <v>30750</v>
      </c>
      <c r="AV26" s="501">
        <f>P26+AN26</f>
        <v>4.01</v>
      </c>
      <c r="AW26" s="501">
        <f t="shared" si="21"/>
        <v>4.01</v>
      </c>
      <c r="AX26" s="502">
        <f t="shared" si="21"/>
        <v>0</v>
      </c>
    </row>
    <row r="27" spans="1:50" ht="12.95" customHeight="1" x14ac:dyDescent="0.25">
      <c r="A27" s="154">
        <v>4</v>
      </c>
      <c r="B27" s="83">
        <v>4457</v>
      </c>
      <c r="C27" s="83">
        <v>600074609</v>
      </c>
      <c r="D27" s="83">
        <v>72743964</v>
      </c>
      <c r="E27" s="492" t="s">
        <v>338</v>
      </c>
      <c r="F27" s="83">
        <v>3141</v>
      </c>
      <c r="G27" s="493" t="s">
        <v>321</v>
      </c>
      <c r="H27" s="493" t="s">
        <v>284</v>
      </c>
      <c r="I27" s="495">
        <v>297318</v>
      </c>
      <c r="J27" s="496">
        <v>216448</v>
      </c>
      <c r="K27" s="496">
        <v>0</v>
      </c>
      <c r="L27" s="496">
        <v>0</v>
      </c>
      <c r="M27" s="411">
        <v>73159</v>
      </c>
      <c r="N27" s="411">
        <v>4329</v>
      </c>
      <c r="O27" s="496">
        <v>3382</v>
      </c>
      <c r="P27" s="497">
        <v>0.73</v>
      </c>
      <c r="Q27" s="412">
        <v>0</v>
      </c>
      <c r="R27" s="498">
        <v>0.73</v>
      </c>
      <c r="S27" s="499">
        <f t="shared" si="2"/>
        <v>0</v>
      </c>
      <c r="T27" s="486">
        <v>0</v>
      </c>
      <c r="U27" s="486">
        <v>0</v>
      </c>
      <c r="V27" s="486">
        <f>SUM(S27:U27)</f>
        <v>0</v>
      </c>
      <c r="W27" s="486">
        <v>0</v>
      </c>
      <c r="X27" s="500">
        <v>0</v>
      </c>
      <c r="Y27" s="486">
        <f>SUM(W27:X27)</f>
        <v>0</v>
      </c>
      <c r="Z27" s="499">
        <f>V27+Y27</f>
        <v>0</v>
      </c>
      <c r="AA27" s="319">
        <f>ROUND((V27+W27)*33.8%,0)</f>
        <v>0</v>
      </c>
      <c r="AB27" s="178">
        <f>ROUND(V27*2%,0)</f>
        <v>0</v>
      </c>
      <c r="AC27" s="486">
        <v>0</v>
      </c>
      <c r="AD27" s="486">
        <v>0</v>
      </c>
      <c r="AE27" s="486">
        <f t="shared" si="3"/>
        <v>0</v>
      </c>
      <c r="AF27" s="486">
        <f t="shared" si="4"/>
        <v>0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 t="shared" si="18"/>
        <v>0</v>
      </c>
      <c r="AM27" s="501">
        <f t="shared" si="19"/>
        <v>0</v>
      </c>
      <c r="AN27" s="502">
        <f t="shared" si="5"/>
        <v>0</v>
      </c>
      <c r="AO27" s="499">
        <f>I27+AF27</f>
        <v>297318</v>
      </c>
      <c r="AP27" s="486">
        <f>J27+V27</f>
        <v>216448</v>
      </c>
      <c r="AQ27" s="486">
        <f>K27+Y27</f>
        <v>0</v>
      </c>
      <c r="AR27" s="480">
        <f>L27</f>
        <v>0</v>
      </c>
      <c r="AS27" s="486">
        <f t="shared" si="20"/>
        <v>73159</v>
      </c>
      <c r="AT27" s="486">
        <f t="shared" si="20"/>
        <v>4329</v>
      </c>
      <c r="AU27" s="486">
        <f>O27+AE27</f>
        <v>3382</v>
      </c>
      <c r="AV27" s="501">
        <f>P27+AN27</f>
        <v>0.73</v>
      </c>
      <c r="AW27" s="501">
        <f t="shared" si="21"/>
        <v>0</v>
      </c>
      <c r="AX27" s="502">
        <f t="shared" si="21"/>
        <v>0.73</v>
      </c>
    </row>
    <row r="28" spans="1:50" ht="12.95" customHeight="1" x14ac:dyDescent="0.25">
      <c r="A28" s="154">
        <v>4</v>
      </c>
      <c r="B28" s="83">
        <v>4457</v>
      </c>
      <c r="C28" s="83">
        <v>600074609</v>
      </c>
      <c r="D28" s="83">
        <v>72743964</v>
      </c>
      <c r="E28" s="492" t="s">
        <v>338</v>
      </c>
      <c r="F28" s="83">
        <v>3143</v>
      </c>
      <c r="G28" s="493" t="s">
        <v>634</v>
      </c>
      <c r="H28" s="493" t="s">
        <v>283</v>
      </c>
      <c r="I28" s="495">
        <v>1187913</v>
      </c>
      <c r="J28" s="496">
        <v>874751</v>
      </c>
      <c r="K28" s="496">
        <v>0</v>
      </c>
      <c r="L28" s="496">
        <v>0</v>
      </c>
      <c r="M28" s="411">
        <v>295666</v>
      </c>
      <c r="N28" s="411">
        <v>17496</v>
      </c>
      <c r="O28" s="496">
        <v>0</v>
      </c>
      <c r="P28" s="497">
        <v>2.0358000000000001</v>
      </c>
      <c r="Q28" s="412">
        <v>2.0358000000000001</v>
      </c>
      <c r="R28" s="498">
        <v>0</v>
      </c>
      <c r="S28" s="499">
        <f t="shared" si="2"/>
        <v>0</v>
      </c>
      <c r="T28" s="486">
        <v>0</v>
      </c>
      <c r="U28" s="486">
        <v>0</v>
      </c>
      <c r="V28" s="486">
        <f>SUM(S28:U28)</f>
        <v>0</v>
      </c>
      <c r="W28" s="486">
        <v>0</v>
      </c>
      <c r="X28" s="500">
        <v>0</v>
      </c>
      <c r="Y28" s="486">
        <f>SUM(W28:X28)</f>
        <v>0</v>
      </c>
      <c r="Z28" s="499">
        <f>V28+Y28</f>
        <v>0</v>
      </c>
      <c r="AA28" s="319">
        <f>ROUND((V28+W28)*33.8%,0)</f>
        <v>0</v>
      </c>
      <c r="AB28" s="178">
        <f>ROUND(V28*2%,0)</f>
        <v>0</v>
      </c>
      <c r="AC28" s="486">
        <v>0</v>
      </c>
      <c r="AD28" s="486">
        <v>0</v>
      </c>
      <c r="AE28" s="486">
        <f t="shared" si="3"/>
        <v>0</v>
      </c>
      <c r="AF28" s="486">
        <f t="shared" si="4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 t="shared" si="18"/>
        <v>0</v>
      </c>
      <c r="AM28" s="501">
        <f t="shared" si="19"/>
        <v>0</v>
      </c>
      <c r="AN28" s="502">
        <f t="shared" si="5"/>
        <v>0</v>
      </c>
      <c r="AO28" s="499">
        <f>I28+AF28</f>
        <v>1187913</v>
      </c>
      <c r="AP28" s="486">
        <f>J28+V28</f>
        <v>874751</v>
      </c>
      <c r="AQ28" s="486">
        <f>K28+Y28</f>
        <v>0</v>
      </c>
      <c r="AR28" s="480">
        <f>L28</f>
        <v>0</v>
      </c>
      <c r="AS28" s="486">
        <f t="shared" si="20"/>
        <v>295666</v>
      </c>
      <c r="AT28" s="486">
        <f t="shared" si="20"/>
        <v>17496</v>
      </c>
      <c r="AU28" s="486">
        <f>O28+AE28</f>
        <v>0</v>
      </c>
      <c r="AV28" s="501">
        <f>P28+AN28</f>
        <v>2.0358000000000001</v>
      </c>
      <c r="AW28" s="501">
        <f t="shared" si="21"/>
        <v>2.0358000000000001</v>
      </c>
      <c r="AX28" s="502">
        <f t="shared" si="21"/>
        <v>0</v>
      </c>
    </row>
    <row r="29" spans="1:50" ht="12.95" customHeight="1" x14ac:dyDescent="0.25">
      <c r="A29" s="154">
        <v>4</v>
      </c>
      <c r="B29" s="83">
        <v>4457</v>
      </c>
      <c r="C29" s="83">
        <v>600074609</v>
      </c>
      <c r="D29" s="83">
        <v>72743964</v>
      </c>
      <c r="E29" s="492" t="s">
        <v>338</v>
      </c>
      <c r="F29" s="83">
        <v>3143</v>
      </c>
      <c r="G29" s="493" t="s">
        <v>635</v>
      </c>
      <c r="H29" s="493" t="s">
        <v>284</v>
      </c>
      <c r="I29" s="495">
        <v>35813</v>
      </c>
      <c r="J29" s="496">
        <v>25245</v>
      </c>
      <c r="K29" s="496">
        <v>0</v>
      </c>
      <c r="L29" s="496">
        <v>0</v>
      </c>
      <c r="M29" s="411">
        <v>8533</v>
      </c>
      <c r="N29" s="411">
        <v>505</v>
      </c>
      <c r="O29" s="496">
        <v>1530</v>
      </c>
      <c r="P29" s="497">
        <v>0.11</v>
      </c>
      <c r="Q29" s="412">
        <v>0</v>
      </c>
      <c r="R29" s="498">
        <v>0.11</v>
      </c>
      <c r="S29" s="499">
        <f t="shared" si="2"/>
        <v>0</v>
      </c>
      <c r="T29" s="486">
        <v>0</v>
      </c>
      <c r="U29" s="486">
        <v>0</v>
      </c>
      <c r="V29" s="486">
        <f>SUM(S29:U29)</f>
        <v>0</v>
      </c>
      <c r="W29" s="486">
        <v>0</v>
      </c>
      <c r="X29" s="500">
        <v>0</v>
      </c>
      <c r="Y29" s="486">
        <f>SUM(W29:X29)</f>
        <v>0</v>
      </c>
      <c r="Z29" s="499">
        <f>V29+Y29</f>
        <v>0</v>
      </c>
      <c r="AA29" s="319">
        <f>ROUND((V29+W29)*33.8%,0)</f>
        <v>0</v>
      </c>
      <c r="AB29" s="178">
        <f>ROUND(V29*2%,0)</f>
        <v>0</v>
      </c>
      <c r="AC29" s="486">
        <v>0</v>
      </c>
      <c r="AD29" s="486">
        <v>0</v>
      </c>
      <c r="AE29" s="486">
        <f t="shared" si="3"/>
        <v>0</v>
      </c>
      <c r="AF29" s="486">
        <f t="shared" si="4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si="18"/>
        <v>0</v>
      </c>
      <c r="AM29" s="501">
        <f t="shared" si="19"/>
        <v>0</v>
      </c>
      <c r="AN29" s="502">
        <f t="shared" si="5"/>
        <v>0</v>
      </c>
      <c r="AO29" s="499">
        <f>I29+AF29</f>
        <v>35813</v>
      </c>
      <c r="AP29" s="486">
        <f>J29+V29</f>
        <v>25245</v>
      </c>
      <c r="AQ29" s="486">
        <f>K29+Y29</f>
        <v>0</v>
      </c>
      <c r="AR29" s="480">
        <f>L29</f>
        <v>0</v>
      </c>
      <c r="AS29" s="486">
        <f t="shared" si="20"/>
        <v>8533</v>
      </c>
      <c r="AT29" s="486">
        <f t="shared" si="20"/>
        <v>505</v>
      </c>
      <c r="AU29" s="486">
        <f>O29+AE29</f>
        <v>1530</v>
      </c>
      <c r="AV29" s="501">
        <f>P29+AN29</f>
        <v>0.11</v>
      </c>
      <c r="AW29" s="501">
        <f t="shared" si="21"/>
        <v>0</v>
      </c>
      <c r="AX29" s="502">
        <f t="shared" si="21"/>
        <v>0.11</v>
      </c>
    </row>
    <row r="30" spans="1:50" ht="12.95" customHeight="1" x14ac:dyDescent="0.25">
      <c r="A30" s="155">
        <v>4</v>
      </c>
      <c r="B30" s="85">
        <v>4457</v>
      </c>
      <c r="C30" s="85">
        <v>600074609</v>
      </c>
      <c r="D30" s="85">
        <v>72743964</v>
      </c>
      <c r="E30" s="89" t="s">
        <v>339</v>
      </c>
      <c r="F30" s="92"/>
      <c r="G30" s="93"/>
      <c r="H30" s="93"/>
      <c r="I30" s="147">
        <v>10230481</v>
      </c>
      <c r="J30" s="91">
        <v>7252815</v>
      </c>
      <c r="K30" s="91">
        <v>44356</v>
      </c>
      <c r="L30" s="91">
        <v>14356</v>
      </c>
      <c r="M30" s="91">
        <v>2461591</v>
      </c>
      <c r="N30" s="91">
        <v>145057</v>
      </c>
      <c r="O30" s="91">
        <v>326662</v>
      </c>
      <c r="P30" s="94">
        <v>15.8924</v>
      </c>
      <c r="Q30" s="94">
        <v>12.304699999999999</v>
      </c>
      <c r="R30" s="275">
        <v>3.5876999999999999</v>
      </c>
      <c r="S30" s="142">
        <f t="shared" ref="S30:AN30" si="22">SUM(S25:S29)</f>
        <v>0</v>
      </c>
      <c r="T30" s="91">
        <f t="shared" si="22"/>
        <v>1890</v>
      </c>
      <c r="U30" s="91">
        <f t="shared" si="22"/>
        <v>0</v>
      </c>
      <c r="V30" s="91">
        <f t="shared" si="22"/>
        <v>1890</v>
      </c>
      <c r="W30" s="91">
        <f t="shared" si="22"/>
        <v>0</v>
      </c>
      <c r="X30" s="442">
        <f t="shared" si="22"/>
        <v>0</v>
      </c>
      <c r="Y30" s="91">
        <f t="shared" si="22"/>
        <v>0</v>
      </c>
      <c r="Z30" s="142">
        <f t="shared" si="22"/>
        <v>1890</v>
      </c>
      <c r="AA30" s="91">
        <f t="shared" si="22"/>
        <v>639</v>
      </c>
      <c r="AB30" s="91">
        <f t="shared" si="22"/>
        <v>38</v>
      </c>
      <c r="AC30" s="91">
        <f t="shared" si="22"/>
        <v>0</v>
      </c>
      <c r="AD30" s="91">
        <f t="shared" si="22"/>
        <v>0</v>
      </c>
      <c r="AE30" s="91">
        <f t="shared" si="22"/>
        <v>0</v>
      </c>
      <c r="AF30" s="91">
        <f t="shared" si="22"/>
        <v>2567</v>
      </c>
      <c r="AG30" s="94">
        <f t="shared" si="22"/>
        <v>0</v>
      </c>
      <c r="AH30" s="94">
        <f t="shared" si="22"/>
        <v>0</v>
      </c>
      <c r="AI30" s="94">
        <f t="shared" si="22"/>
        <v>0</v>
      </c>
      <c r="AJ30" s="94">
        <f t="shared" si="22"/>
        <v>0</v>
      </c>
      <c r="AK30" s="94">
        <f t="shared" si="22"/>
        <v>0</v>
      </c>
      <c r="AL30" s="94">
        <f t="shared" si="22"/>
        <v>0</v>
      </c>
      <c r="AM30" s="94">
        <f t="shared" si="22"/>
        <v>0</v>
      </c>
      <c r="AN30" s="275">
        <f t="shared" si="22"/>
        <v>0</v>
      </c>
      <c r="AO30" s="142">
        <f t="shared" ref="AO30:AX30" si="23">SUM(AO25:AO29)</f>
        <v>10233048</v>
      </c>
      <c r="AP30" s="91">
        <f t="shared" si="23"/>
        <v>7254705</v>
      </c>
      <c r="AQ30" s="91">
        <f t="shared" si="23"/>
        <v>44356</v>
      </c>
      <c r="AR30" s="91">
        <f t="shared" si="23"/>
        <v>14356</v>
      </c>
      <c r="AS30" s="91">
        <f t="shared" si="23"/>
        <v>2462230</v>
      </c>
      <c r="AT30" s="91">
        <f t="shared" si="23"/>
        <v>145095</v>
      </c>
      <c r="AU30" s="91">
        <f t="shared" si="23"/>
        <v>326662</v>
      </c>
      <c r="AV30" s="94">
        <f t="shared" si="23"/>
        <v>15.8924</v>
      </c>
      <c r="AW30" s="94">
        <f t="shared" si="23"/>
        <v>12.304699999999999</v>
      </c>
      <c r="AX30" s="275">
        <f t="shared" si="23"/>
        <v>3.5876999999999999</v>
      </c>
    </row>
    <row r="31" spans="1:50" ht="12.95" customHeight="1" x14ac:dyDescent="0.25">
      <c r="A31" s="154">
        <v>5</v>
      </c>
      <c r="B31" s="83">
        <v>4456</v>
      </c>
      <c r="C31" s="83">
        <v>600074617</v>
      </c>
      <c r="D31" s="83">
        <v>68430132</v>
      </c>
      <c r="E31" s="492" t="s">
        <v>340</v>
      </c>
      <c r="F31" s="83">
        <v>3113</v>
      </c>
      <c r="G31" s="493" t="s">
        <v>335</v>
      </c>
      <c r="H31" s="493" t="s">
        <v>283</v>
      </c>
      <c r="I31" s="495">
        <v>36370072</v>
      </c>
      <c r="J31" s="496">
        <v>25734517</v>
      </c>
      <c r="K31" s="496">
        <v>143432</v>
      </c>
      <c r="L31" s="496">
        <v>86432</v>
      </c>
      <c r="M31" s="411">
        <v>8717533</v>
      </c>
      <c r="N31" s="411">
        <v>514690</v>
      </c>
      <c r="O31" s="496">
        <v>1259900</v>
      </c>
      <c r="P31" s="497">
        <v>48.583599999999997</v>
      </c>
      <c r="Q31" s="412">
        <v>38.454799999999999</v>
      </c>
      <c r="R31" s="498">
        <v>10.128799999999998</v>
      </c>
      <c r="S31" s="499">
        <f t="shared" si="2"/>
        <v>0</v>
      </c>
      <c r="T31" s="486">
        <v>0</v>
      </c>
      <c r="U31" s="486">
        <v>-36819</v>
      </c>
      <c r="V31" s="486">
        <f>SUM(S31:U31)</f>
        <v>-36819</v>
      </c>
      <c r="W31" s="486">
        <v>0</v>
      </c>
      <c r="X31" s="500">
        <v>0</v>
      </c>
      <c r="Y31" s="486">
        <f>SUM(W31:X31)</f>
        <v>0</v>
      </c>
      <c r="Z31" s="499">
        <f>V31+Y31</f>
        <v>-36819</v>
      </c>
      <c r="AA31" s="319">
        <f>ROUND((V31+W31)*33.8%,0)</f>
        <v>-12445</v>
      </c>
      <c r="AB31" s="178">
        <f>ROUND(V31*2%,0)</f>
        <v>-736</v>
      </c>
      <c r="AC31" s="486">
        <v>0</v>
      </c>
      <c r="AD31" s="486">
        <v>50000</v>
      </c>
      <c r="AE31" s="486">
        <f t="shared" si="3"/>
        <v>50000</v>
      </c>
      <c r="AF31" s="486">
        <f t="shared" si="4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ref="AL31:AL35" si="24">AG31+AI31+AJ31</f>
        <v>0</v>
      </c>
      <c r="AM31" s="501">
        <f t="shared" ref="AM31:AM35" si="25">AH31+AK31</f>
        <v>0</v>
      </c>
      <c r="AN31" s="502">
        <f t="shared" si="5"/>
        <v>0</v>
      </c>
      <c r="AO31" s="499">
        <f>I31+AF31</f>
        <v>36370072</v>
      </c>
      <c r="AP31" s="486">
        <f>J31+V31</f>
        <v>25697698</v>
      </c>
      <c r="AQ31" s="486">
        <f>K31+Y31</f>
        <v>143432</v>
      </c>
      <c r="AR31" s="480">
        <f>L31</f>
        <v>86432</v>
      </c>
      <c r="AS31" s="486">
        <f t="shared" ref="AS31:AT35" si="26">M31+AA31</f>
        <v>8705088</v>
      </c>
      <c r="AT31" s="486">
        <f t="shared" si="26"/>
        <v>513954</v>
      </c>
      <c r="AU31" s="486">
        <f>O31+AE31</f>
        <v>1309900</v>
      </c>
      <c r="AV31" s="501">
        <f>P31+AN31</f>
        <v>48.583599999999997</v>
      </c>
      <c r="AW31" s="501">
        <f t="shared" ref="AW31:AX35" si="27">Q31+AL31</f>
        <v>38.454799999999999</v>
      </c>
      <c r="AX31" s="502">
        <f t="shared" si="27"/>
        <v>10.128799999999998</v>
      </c>
    </row>
    <row r="32" spans="1:50" ht="12.95" customHeight="1" x14ac:dyDescent="0.25">
      <c r="A32" s="154">
        <v>5</v>
      </c>
      <c r="B32" s="83">
        <v>4456</v>
      </c>
      <c r="C32" s="83">
        <v>600074617</v>
      </c>
      <c r="D32" s="83">
        <v>68430132</v>
      </c>
      <c r="E32" s="492" t="s">
        <v>340</v>
      </c>
      <c r="F32" s="83">
        <v>3113</v>
      </c>
      <c r="G32" s="493" t="s">
        <v>325</v>
      </c>
      <c r="H32" s="493" t="s">
        <v>284</v>
      </c>
      <c r="I32" s="495">
        <v>2061237</v>
      </c>
      <c r="J32" s="496">
        <v>1515270</v>
      </c>
      <c r="K32" s="496">
        <v>0</v>
      </c>
      <c r="L32" s="496">
        <v>0</v>
      </c>
      <c r="M32" s="411">
        <v>512161</v>
      </c>
      <c r="N32" s="411">
        <v>30306</v>
      </c>
      <c r="O32" s="496">
        <v>3500</v>
      </c>
      <c r="P32" s="497">
        <v>4.2699999999999996</v>
      </c>
      <c r="Q32" s="412">
        <v>4.2699999999999996</v>
      </c>
      <c r="R32" s="498">
        <v>0</v>
      </c>
      <c r="S32" s="499">
        <f t="shared" si="2"/>
        <v>0</v>
      </c>
      <c r="T32" s="486">
        <v>21225</v>
      </c>
      <c r="U32" s="486">
        <v>0</v>
      </c>
      <c r="V32" s="486">
        <f>SUM(S32:U32)</f>
        <v>21225</v>
      </c>
      <c r="W32" s="486">
        <v>0</v>
      </c>
      <c r="X32" s="500">
        <v>0</v>
      </c>
      <c r="Y32" s="486">
        <f>SUM(W32:X32)</f>
        <v>0</v>
      </c>
      <c r="Z32" s="499">
        <f>V32+Y32</f>
        <v>21225</v>
      </c>
      <c r="AA32" s="319">
        <f>ROUND((V32+W32)*33.8%,0)</f>
        <v>7174</v>
      </c>
      <c r="AB32" s="178">
        <f>ROUND(V32*2%,0)</f>
        <v>425</v>
      </c>
      <c r="AC32" s="486">
        <v>0</v>
      </c>
      <c r="AD32" s="486">
        <v>0</v>
      </c>
      <c r="AE32" s="486">
        <f t="shared" si="3"/>
        <v>0</v>
      </c>
      <c r="AF32" s="486">
        <f t="shared" si="4"/>
        <v>28824</v>
      </c>
      <c r="AG32" s="501">
        <v>0</v>
      </c>
      <c r="AH32" s="501">
        <v>0</v>
      </c>
      <c r="AI32" s="501">
        <v>0.06</v>
      </c>
      <c r="AJ32" s="501">
        <v>0</v>
      </c>
      <c r="AK32" s="501">
        <v>0</v>
      </c>
      <c r="AL32" s="501">
        <f t="shared" si="24"/>
        <v>0.06</v>
      </c>
      <c r="AM32" s="501">
        <f t="shared" si="25"/>
        <v>0</v>
      </c>
      <c r="AN32" s="502">
        <f t="shared" si="5"/>
        <v>0.06</v>
      </c>
      <c r="AO32" s="499">
        <f>I32+AF32</f>
        <v>2090061</v>
      </c>
      <c r="AP32" s="486">
        <f>J32+V32</f>
        <v>1536495</v>
      </c>
      <c r="AQ32" s="486">
        <f>K32+Y32</f>
        <v>0</v>
      </c>
      <c r="AR32" s="480">
        <f>L32</f>
        <v>0</v>
      </c>
      <c r="AS32" s="486">
        <f t="shared" si="26"/>
        <v>519335</v>
      </c>
      <c r="AT32" s="486">
        <f t="shared" si="26"/>
        <v>30731</v>
      </c>
      <c r="AU32" s="486">
        <f>O32+AE32</f>
        <v>3500</v>
      </c>
      <c r="AV32" s="501">
        <f>P32+AN32</f>
        <v>4.3299999999999992</v>
      </c>
      <c r="AW32" s="501">
        <f t="shared" si="27"/>
        <v>4.3299999999999992</v>
      </c>
      <c r="AX32" s="502">
        <f t="shared" si="27"/>
        <v>0</v>
      </c>
    </row>
    <row r="33" spans="1:50" ht="12.95" customHeight="1" x14ac:dyDescent="0.25">
      <c r="A33" s="154">
        <v>5</v>
      </c>
      <c r="B33" s="83">
        <v>4456</v>
      </c>
      <c r="C33" s="83">
        <v>600074617</v>
      </c>
      <c r="D33" s="83">
        <v>68430132</v>
      </c>
      <c r="E33" s="492" t="s">
        <v>340</v>
      </c>
      <c r="F33" s="83">
        <v>3141</v>
      </c>
      <c r="G33" s="493" t="s">
        <v>321</v>
      </c>
      <c r="H33" s="493" t="s">
        <v>284</v>
      </c>
      <c r="I33" s="495">
        <v>3857627</v>
      </c>
      <c r="J33" s="496">
        <v>2796784</v>
      </c>
      <c r="K33" s="496">
        <v>17600</v>
      </c>
      <c r="L33" s="496">
        <v>0</v>
      </c>
      <c r="M33" s="411">
        <v>951262</v>
      </c>
      <c r="N33" s="411">
        <v>55935</v>
      </c>
      <c r="O33" s="496">
        <v>36046</v>
      </c>
      <c r="P33" s="497">
        <v>9.5699999999999985</v>
      </c>
      <c r="Q33" s="412">
        <v>0</v>
      </c>
      <c r="R33" s="498">
        <v>9.5699999999999985</v>
      </c>
      <c r="S33" s="499">
        <f t="shared" si="2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500">
        <v>0</v>
      </c>
      <c r="Y33" s="486">
        <f>SUM(W33:X33)</f>
        <v>0</v>
      </c>
      <c r="Z33" s="499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3"/>
        <v>0</v>
      </c>
      <c r="AF33" s="486">
        <f t="shared" si="4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24"/>
        <v>0</v>
      </c>
      <c r="AM33" s="501">
        <f t="shared" si="25"/>
        <v>0</v>
      </c>
      <c r="AN33" s="502">
        <f t="shared" si="5"/>
        <v>0</v>
      </c>
      <c r="AO33" s="499">
        <f>I33+AF33</f>
        <v>3857627</v>
      </c>
      <c r="AP33" s="486">
        <f>J33+V33</f>
        <v>2796784</v>
      </c>
      <c r="AQ33" s="486">
        <f>K33+Y33</f>
        <v>17600</v>
      </c>
      <c r="AR33" s="480">
        <f>L33</f>
        <v>0</v>
      </c>
      <c r="AS33" s="486">
        <f t="shared" si="26"/>
        <v>951262</v>
      </c>
      <c r="AT33" s="486">
        <f t="shared" si="26"/>
        <v>55935</v>
      </c>
      <c r="AU33" s="486">
        <f>O33+AE33</f>
        <v>36046</v>
      </c>
      <c r="AV33" s="501">
        <f>P33+AN33</f>
        <v>9.5699999999999985</v>
      </c>
      <c r="AW33" s="501">
        <f t="shared" si="27"/>
        <v>0</v>
      </c>
      <c r="AX33" s="502">
        <f t="shared" si="27"/>
        <v>9.5699999999999985</v>
      </c>
    </row>
    <row r="34" spans="1:50" ht="12.95" customHeight="1" x14ac:dyDescent="0.25">
      <c r="A34" s="154">
        <v>5</v>
      </c>
      <c r="B34" s="83">
        <v>4456</v>
      </c>
      <c r="C34" s="83">
        <v>600074617</v>
      </c>
      <c r="D34" s="83">
        <v>68430132</v>
      </c>
      <c r="E34" s="492" t="s">
        <v>340</v>
      </c>
      <c r="F34" s="83">
        <v>3143</v>
      </c>
      <c r="G34" s="493" t="s">
        <v>634</v>
      </c>
      <c r="H34" s="493" t="s">
        <v>283</v>
      </c>
      <c r="I34" s="495">
        <v>2875693</v>
      </c>
      <c r="J34" s="496">
        <v>2097889</v>
      </c>
      <c r="K34" s="496">
        <v>20000</v>
      </c>
      <c r="L34" s="496">
        <v>0</v>
      </c>
      <c r="M34" s="411">
        <v>715846</v>
      </c>
      <c r="N34" s="411">
        <v>41958</v>
      </c>
      <c r="O34" s="496">
        <v>0</v>
      </c>
      <c r="P34" s="497">
        <v>4.3213999999999997</v>
      </c>
      <c r="Q34" s="412">
        <v>4.3213999999999997</v>
      </c>
      <c r="R34" s="498">
        <v>0</v>
      </c>
      <c r="S34" s="499">
        <f t="shared" si="2"/>
        <v>0</v>
      </c>
      <c r="T34" s="486">
        <v>0</v>
      </c>
      <c r="U34" s="486">
        <v>0</v>
      </c>
      <c r="V34" s="486">
        <f>SUM(S34:U34)</f>
        <v>0</v>
      </c>
      <c r="W34" s="486">
        <v>0</v>
      </c>
      <c r="X34" s="500">
        <v>0</v>
      </c>
      <c r="Y34" s="486">
        <f>SUM(W34:X34)</f>
        <v>0</v>
      </c>
      <c r="Z34" s="499">
        <f>V34+Y34</f>
        <v>0</v>
      </c>
      <c r="AA34" s="319">
        <f>ROUND((V34+W34)*33.8%,0)</f>
        <v>0</v>
      </c>
      <c r="AB34" s="178">
        <f>ROUND(V34*2%,0)</f>
        <v>0</v>
      </c>
      <c r="AC34" s="486">
        <v>0</v>
      </c>
      <c r="AD34" s="486">
        <v>0</v>
      </c>
      <c r="AE34" s="486">
        <f t="shared" si="3"/>
        <v>0</v>
      </c>
      <c r="AF34" s="486">
        <f t="shared" si="4"/>
        <v>0</v>
      </c>
      <c r="AG34" s="501">
        <v>0</v>
      </c>
      <c r="AH34" s="501">
        <v>0</v>
      </c>
      <c r="AI34" s="501">
        <v>0</v>
      </c>
      <c r="AJ34" s="501">
        <v>0</v>
      </c>
      <c r="AK34" s="501">
        <v>0</v>
      </c>
      <c r="AL34" s="501">
        <f t="shared" si="24"/>
        <v>0</v>
      </c>
      <c r="AM34" s="501">
        <f t="shared" si="25"/>
        <v>0</v>
      </c>
      <c r="AN34" s="502">
        <f t="shared" si="5"/>
        <v>0</v>
      </c>
      <c r="AO34" s="499">
        <f>I34+AF34</f>
        <v>2875693</v>
      </c>
      <c r="AP34" s="486">
        <f>J34+V34</f>
        <v>2097889</v>
      </c>
      <c r="AQ34" s="486">
        <f>K34+Y34</f>
        <v>20000</v>
      </c>
      <c r="AR34" s="480">
        <f>L34</f>
        <v>0</v>
      </c>
      <c r="AS34" s="486">
        <f t="shared" si="26"/>
        <v>715846</v>
      </c>
      <c r="AT34" s="486">
        <f t="shared" si="26"/>
        <v>41958</v>
      </c>
      <c r="AU34" s="486">
        <f>O34+AE34</f>
        <v>0</v>
      </c>
      <c r="AV34" s="501">
        <f>P34+AN34</f>
        <v>4.3213999999999997</v>
      </c>
      <c r="AW34" s="501">
        <f t="shared" si="27"/>
        <v>4.3213999999999997</v>
      </c>
      <c r="AX34" s="502">
        <f t="shared" si="27"/>
        <v>0</v>
      </c>
    </row>
    <row r="35" spans="1:50" ht="12.95" customHeight="1" x14ac:dyDescent="0.25">
      <c r="A35" s="154">
        <v>5</v>
      </c>
      <c r="B35" s="83">
        <v>4456</v>
      </c>
      <c r="C35" s="83">
        <v>600074617</v>
      </c>
      <c r="D35" s="83">
        <v>68430132</v>
      </c>
      <c r="E35" s="492" t="s">
        <v>340</v>
      </c>
      <c r="F35" s="83">
        <v>3143</v>
      </c>
      <c r="G35" s="493" t="s">
        <v>635</v>
      </c>
      <c r="H35" s="493" t="s">
        <v>284</v>
      </c>
      <c r="I35" s="495">
        <v>103927</v>
      </c>
      <c r="J35" s="496">
        <v>73260</v>
      </c>
      <c r="K35" s="496">
        <v>0</v>
      </c>
      <c r="L35" s="496">
        <v>0</v>
      </c>
      <c r="M35" s="411">
        <v>24762</v>
      </c>
      <c r="N35" s="411">
        <v>1465</v>
      </c>
      <c r="O35" s="496">
        <v>4440</v>
      </c>
      <c r="P35" s="497">
        <v>0.31</v>
      </c>
      <c r="Q35" s="412">
        <v>0</v>
      </c>
      <c r="R35" s="498">
        <v>0.31</v>
      </c>
      <c r="S35" s="499">
        <f t="shared" si="2"/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500">
        <v>0</v>
      </c>
      <c r="Y35" s="486">
        <f>SUM(W35:X35)</f>
        <v>0</v>
      </c>
      <c r="Z35" s="499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3"/>
        <v>0</v>
      </c>
      <c r="AF35" s="486">
        <f t="shared" si="4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si="24"/>
        <v>0</v>
      </c>
      <c r="AM35" s="501">
        <f t="shared" si="25"/>
        <v>0</v>
      </c>
      <c r="AN35" s="502">
        <f t="shared" si="5"/>
        <v>0</v>
      </c>
      <c r="AO35" s="499">
        <f>I35+AF35</f>
        <v>103927</v>
      </c>
      <c r="AP35" s="486">
        <f>J35+V35</f>
        <v>73260</v>
      </c>
      <c r="AQ35" s="486">
        <f>K35+Y35</f>
        <v>0</v>
      </c>
      <c r="AR35" s="480">
        <f>L35</f>
        <v>0</v>
      </c>
      <c r="AS35" s="486">
        <f t="shared" si="26"/>
        <v>24762</v>
      </c>
      <c r="AT35" s="486">
        <f t="shared" si="26"/>
        <v>1465</v>
      </c>
      <c r="AU35" s="486">
        <f>O35+AE35</f>
        <v>4440</v>
      </c>
      <c r="AV35" s="501">
        <f>P35+AN35</f>
        <v>0.31</v>
      </c>
      <c r="AW35" s="501">
        <f t="shared" si="27"/>
        <v>0</v>
      </c>
      <c r="AX35" s="502">
        <f t="shared" si="27"/>
        <v>0.31</v>
      </c>
    </row>
    <row r="36" spans="1:50" ht="12.95" customHeight="1" x14ac:dyDescent="0.25">
      <c r="A36" s="155">
        <v>5</v>
      </c>
      <c r="B36" s="85">
        <v>4456</v>
      </c>
      <c r="C36" s="85">
        <v>600074617</v>
      </c>
      <c r="D36" s="85">
        <v>68430132</v>
      </c>
      <c r="E36" s="89" t="s">
        <v>341</v>
      </c>
      <c r="F36" s="92"/>
      <c r="G36" s="93"/>
      <c r="H36" s="93"/>
      <c r="I36" s="147">
        <v>45268556</v>
      </c>
      <c r="J36" s="91">
        <v>32217720</v>
      </c>
      <c r="K36" s="91">
        <v>181032</v>
      </c>
      <c r="L36" s="91">
        <v>86432</v>
      </c>
      <c r="M36" s="91">
        <v>10921564</v>
      </c>
      <c r="N36" s="91">
        <v>644354</v>
      </c>
      <c r="O36" s="91">
        <v>1303886</v>
      </c>
      <c r="P36" s="94">
        <v>67.055000000000007</v>
      </c>
      <c r="Q36" s="94">
        <v>47.046199999999999</v>
      </c>
      <c r="R36" s="275">
        <v>20.008799999999997</v>
      </c>
      <c r="S36" s="142">
        <f t="shared" ref="S36:AN36" si="28">SUM(S31:S35)</f>
        <v>0</v>
      </c>
      <c r="T36" s="91">
        <f t="shared" si="28"/>
        <v>21225</v>
      </c>
      <c r="U36" s="91">
        <f t="shared" si="28"/>
        <v>-36819</v>
      </c>
      <c r="V36" s="91">
        <f t="shared" si="28"/>
        <v>-15594</v>
      </c>
      <c r="W36" s="91">
        <f t="shared" si="28"/>
        <v>0</v>
      </c>
      <c r="X36" s="442">
        <f t="shared" si="28"/>
        <v>0</v>
      </c>
      <c r="Y36" s="91">
        <f t="shared" si="28"/>
        <v>0</v>
      </c>
      <c r="Z36" s="142">
        <f t="shared" si="28"/>
        <v>-15594</v>
      </c>
      <c r="AA36" s="91">
        <f t="shared" si="28"/>
        <v>-5271</v>
      </c>
      <c r="AB36" s="91">
        <f t="shared" si="28"/>
        <v>-311</v>
      </c>
      <c r="AC36" s="91">
        <f t="shared" si="28"/>
        <v>0</v>
      </c>
      <c r="AD36" s="91">
        <f t="shared" si="28"/>
        <v>50000</v>
      </c>
      <c r="AE36" s="91">
        <f t="shared" si="28"/>
        <v>50000</v>
      </c>
      <c r="AF36" s="91">
        <f t="shared" si="28"/>
        <v>28824</v>
      </c>
      <c r="AG36" s="94">
        <f t="shared" si="28"/>
        <v>0</v>
      </c>
      <c r="AH36" s="94">
        <f t="shared" si="28"/>
        <v>0</v>
      </c>
      <c r="AI36" s="94">
        <f t="shared" si="28"/>
        <v>0.06</v>
      </c>
      <c r="AJ36" s="94">
        <f t="shared" si="28"/>
        <v>0</v>
      </c>
      <c r="AK36" s="94">
        <f t="shared" si="28"/>
        <v>0</v>
      </c>
      <c r="AL36" s="94">
        <f t="shared" si="28"/>
        <v>0.06</v>
      </c>
      <c r="AM36" s="94">
        <f t="shared" si="28"/>
        <v>0</v>
      </c>
      <c r="AN36" s="275">
        <f t="shared" si="28"/>
        <v>0.06</v>
      </c>
      <c r="AO36" s="142">
        <f t="shared" ref="AO36:AX36" si="29">SUM(AO31:AO35)</f>
        <v>45297380</v>
      </c>
      <c r="AP36" s="91">
        <f t="shared" si="29"/>
        <v>32202126</v>
      </c>
      <c r="AQ36" s="91">
        <f t="shared" si="29"/>
        <v>181032</v>
      </c>
      <c r="AR36" s="91">
        <f t="shared" si="29"/>
        <v>86432</v>
      </c>
      <c r="AS36" s="91">
        <f t="shared" si="29"/>
        <v>10916293</v>
      </c>
      <c r="AT36" s="91">
        <f t="shared" si="29"/>
        <v>644043</v>
      </c>
      <c r="AU36" s="91">
        <f t="shared" si="29"/>
        <v>1353886</v>
      </c>
      <c r="AV36" s="94">
        <f t="shared" si="29"/>
        <v>67.114999999999995</v>
      </c>
      <c r="AW36" s="94">
        <f t="shared" si="29"/>
        <v>47.106199999999994</v>
      </c>
      <c r="AX36" s="275">
        <f t="shared" si="29"/>
        <v>20.008799999999997</v>
      </c>
    </row>
    <row r="37" spans="1:50" ht="12.95" customHeight="1" x14ac:dyDescent="0.25">
      <c r="A37" s="154">
        <v>6</v>
      </c>
      <c r="B37" s="83">
        <v>4478</v>
      </c>
      <c r="C37" s="83">
        <v>600075141</v>
      </c>
      <c r="D37" s="83">
        <v>70975191</v>
      </c>
      <c r="E37" s="492" t="s">
        <v>342</v>
      </c>
      <c r="F37" s="83">
        <v>3114</v>
      </c>
      <c r="G37" s="503" t="s">
        <v>564</v>
      </c>
      <c r="H37" s="493" t="s">
        <v>283</v>
      </c>
      <c r="I37" s="495">
        <v>7697667</v>
      </c>
      <c r="J37" s="496">
        <v>5561169</v>
      </c>
      <c r="K37" s="496">
        <v>7400</v>
      </c>
      <c r="L37" s="496">
        <v>7400</v>
      </c>
      <c r="M37" s="411">
        <v>1879675</v>
      </c>
      <c r="N37" s="411">
        <v>111223</v>
      </c>
      <c r="O37" s="496">
        <v>138200</v>
      </c>
      <c r="P37" s="497">
        <v>10.400400000000001</v>
      </c>
      <c r="Q37" s="412">
        <v>7.2727000000000004</v>
      </c>
      <c r="R37" s="498">
        <v>3.1276999999999999</v>
      </c>
      <c r="S37" s="499">
        <f t="shared" si="2"/>
        <v>0</v>
      </c>
      <c r="T37" s="486">
        <v>0</v>
      </c>
      <c r="U37" s="486">
        <v>0</v>
      </c>
      <c r="V37" s="486">
        <f>SUM(S37:U37)</f>
        <v>0</v>
      </c>
      <c r="W37" s="486">
        <v>0</v>
      </c>
      <c r="X37" s="500">
        <v>0</v>
      </c>
      <c r="Y37" s="486">
        <f>SUM(W37:X37)</f>
        <v>0</v>
      </c>
      <c r="Z37" s="499">
        <f>V37+Y37</f>
        <v>0</v>
      </c>
      <c r="AA37" s="319">
        <f>ROUND((V37+W37)*33.8%,0)</f>
        <v>0</v>
      </c>
      <c r="AB37" s="178">
        <f>ROUND(V37*2%,0)</f>
        <v>0</v>
      </c>
      <c r="AC37" s="486">
        <v>0</v>
      </c>
      <c r="AD37" s="486">
        <v>0</v>
      </c>
      <c r="AE37" s="486">
        <f t="shared" si="3"/>
        <v>0</v>
      </c>
      <c r="AF37" s="486">
        <f t="shared" si="4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ref="AL37:AL40" si="30">AG37+AI37+AJ37</f>
        <v>0</v>
      </c>
      <c r="AM37" s="501">
        <f t="shared" ref="AM37:AM40" si="31">AH37+AK37</f>
        <v>0</v>
      </c>
      <c r="AN37" s="502">
        <f t="shared" si="5"/>
        <v>0</v>
      </c>
      <c r="AO37" s="499">
        <f>I37+AF37</f>
        <v>7697667</v>
      </c>
      <c r="AP37" s="486">
        <f>J37+V37</f>
        <v>5561169</v>
      </c>
      <c r="AQ37" s="486">
        <f>K37+Y37</f>
        <v>7400</v>
      </c>
      <c r="AR37" s="480">
        <f>L37</f>
        <v>7400</v>
      </c>
      <c r="AS37" s="486">
        <f t="shared" ref="AS37:AT40" si="32">M37+AA37</f>
        <v>1879675</v>
      </c>
      <c r="AT37" s="486">
        <f t="shared" si="32"/>
        <v>111223</v>
      </c>
      <c r="AU37" s="486">
        <f>O37+AE37</f>
        <v>138200</v>
      </c>
      <c r="AV37" s="501">
        <f>P37+AN37</f>
        <v>10.400400000000001</v>
      </c>
      <c r="AW37" s="501">
        <f t="shared" ref="AW37:AX40" si="33">Q37+AL37</f>
        <v>7.2727000000000004</v>
      </c>
      <c r="AX37" s="502">
        <f t="shared" si="33"/>
        <v>3.1276999999999999</v>
      </c>
    </row>
    <row r="38" spans="1:50" ht="12.95" customHeight="1" x14ac:dyDescent="0.25">
      <c r="A38" s="154">
        <v>6</v>
      </c>
      <c r="B38" s="83">
        <v>4478</v>
      </c>
      <c r="C38" s="83">
        <v>600075141</v>
      </c>
      <c r="D38" s="83">
        <v>70975191</v>
      </c>
      <c r="E38" s="492" t="s">
        <v>342</v>
      </c>
      <c r="F38" s="83">
        <v>3114</v>
      </c>
      <c r="G38" s="503" t="s">
        <v>319</v>
      </c>
      <c r="H38" s="493" t="s">
        <v>283</v>
      </c>
      <c r="I38" s="495">
        <v>373785</v>
      </c>
      <c r="J38" s="496">
        <v>275247</v>
      </c>
      <c r="K38" s="496">
        <v>0</v>
      </c>
      <c r="L38" s="496">
        <v>0</v>
      </c>
      <c r="M38" s="411">
        <v>93033</v>
      </c>
      <c r="N38" s="411">
        <v>5505</v>
      </c>
      <c r="O38" s="496">
        <v>0</v>
      </c>
      <c r="P38" s="497">
        <v>0.69440000000000002</v>
      </c>
      <c r="Q38" s="412">
        <v>0.69440000000000002</v>
      </c>
      <c r="R38" s="498">
        <v>0</v>
      </c>
      <c r="S38" s="499">
        <f t="shared" si="2"/>
        <v>0</v>
      </c>
      <c r="T38" s="486">
        <v>0</v>
      </c>
      <c r="U38" s="486">
        <v>0</v>
      </c>
      <c r="V38" s="486">
        <f>SUM(S38:U38)</f>
        <v>0</v>
      </c>
      <c r="W38" s="486">
        <v>0</v>
      </c>
      <c r="X38" s="500">
        <v>0</v>
      </c>
      <c r="Y38" s="486">
        <f>SUM(W38:X38)</f>
        <v>0</v>
      </c>
      <c r="Z38" s="499">
        <f>V38+Y38</f>
        <v>0</v>
      </c>
      <c r="AA38" s="319">
        <f>ROUND((V38+W38)*33.8%,0)</f>
        <v>0</v>
      </c>
      <c r="AB38" s="178">
        <f>ROUND(V38*2%,0)</f>
        <v>0</v>
      </c>
      <c r="AC38" s="486">
        <v>0</v>
      </c>
      <c r="AD38" s="486">
        <v>0</v>
      </c>
      <c r="AE38" s="486">
        <f t="shared" si="3"/>
        <v>0</v>
      </c>
      <c r="AF38" s="486">
        <f t="shared" si="4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si="30"/>
        <v>0</v>
      </c>
      <c r="AM38" s="501">
        <f t="shared" si="31"/>
        <v>0</v>
      </c>
      <c r="AN38" s="502">
        <f t="shared" si="5"/>
        <v>0</v>
      </c>
      <c r="AO38" s="499">
        <f>I38+AF38</f>
        <v>373785</v>
      </c>
      <c r="AP38" s="486">
        <f>J38+V38</f>
        <v>275247</v>
      </c>
      <c r="AQ38" s="486">
        <f>K38+Y38</f>
        <v>0</v>
      </c>
      <c r="AR38" s="480">
        <f>L38</f>
        <v>0</v>
      </c>
      <c r="AS38" s="486">
        <f t="shared" si="32"/>
        <v>93033</v>
      </c>
      <c r="AT38" s="486">
        <f t="shared" si="32"/>
        <v>5505</v>
      </c>
      <c r="AU38" s="486">
        <f>O38+AE38</f>
        <v>0</v>
      </c>
      <c r="AV38" s="501">
        <f>P38+AN38</f>
        <v>0.69440000000000002</v>
      </c>
      <c r="AW38" s="501">
        <f t="shared" si="33"/>
        <v>0.69440000000000002</v>
      </c>
      <c r="AX38" s="502">
        <f t="shared" si="33"/>
        <v>0</v>
      </c>
    </row>
    <row r="39" spans="1:50" ht="12.95" customHeight="1" x14ac:dyDescent="0.25">
      <c r="A39" s="154">
        <v>6</v>
      </c>
      <c r="B39" s="83">
        <v>4478</v>
      </c>
      <c r="C39" s="83">
        <v>600075141</v>
      </c>
      <c r="D39" s="83">
        <v>70975191</v>
      </c>
      <c r="E39" s="492" t="s">
        <v>342</v>
      </c>
      <c r="F39" s="83">
        <v>3143</v>
      </c>
      <c r="G39" s="493" t="s">
        <v>634</v>
      </c>
      <c r="H39" s="493" t="s">
        <v>283</v>
      </c>
      <c r="I39" s="495">
        <v>318101</v>
      </c>
      <c r="J39" s="496">
        <v>234242</v>
      </c>
      <c r="K39" s="496">
        <v>0</v>
      </c>
      <c r="L39" s="496">
        <v>0</v>
      </c>
      <c r="M39" s="411">
        <v>79174</v>
      </c>
      <c r="N39" s="411">
        <v>4685</v>
      </c>
      <c r="O39" s="496">
        <v>0</v>
      </c>
      <c r="P39" s="497">
        <v>0.57130000000000003</v>
      </c>
      <c r="Q39" s="412">
        <v>0.57130000000000003</v>
      </c>
      <c r="R39" s="498">
        <v>0</v>
      </c>
      <c r="S39" s="499">
        <f t="shared" si="2"/>
        <v>0</v>
      </c>
      <c r="T39" s="486">
        <v>0</v>
      </c>
      <c r="U39" s="486">
        <v>0</v>
      </c>
      <c r="V39" s="486">
        <f>SUM(S39:U39)</f>
        <v>0</v>
      </c>
      <c r="W39" s="486">
        <v>0</v>
      </c>
      <c r="X39" s="500">
        <v>0</v>
      </c>
      <c r="Y39" s="486">
        <f>SUM(W39:X39)</f>
        <v>0</v>
      </c>
      <c r="Z39" s="499">
        <f>V39+Y39</f>
        <v>0</v>
      </c>
      <c r="AA39" s="319">
        <f>ROUND((V39+W39)*33.8%,0)</f>
        <v>0</v>
      </c>
      <c r="AB39" s="178">
        <f>ROUND(V39*2%,0)</f>
        <v>0</v>
      </c>
      <c r="AC39" s="486">
        <v>0</v>
      </c>
      <c r="AD39" s="486">
        <v>0</v>
      </c>
      <c r="AE39" s="486">
        <f t="shared" si="3"/>
        <v>0</v>
      </c>
      <c r="AF39" s="486">
        <f t="shared" si="4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si="30"/>
        <v>0</v>
      </c>
      <c r="AM39" s="501">
        <f t="shared" si="31"/>
        <v>0</v>
      </c>
      <c r="AN39" s="502">
        <f t="shared" si="5"/>
        <v>0</v>
      </c>
      <c r="AO39" s="499">
        <f>I39+AF39</f>
        <v>318101</v>
      </c>
      <c r="AP39" s="486">
        <f>J39+V39</f>
        <v>234242</v>
      </c>
      <c r="AQ39" s="486">
        <f>K39+Y39</f>
        <v>0</v>
      </c>
      <c r="AR39" s="480">
        <f>L39</f>
        <v>0</v>
      </c>
      <c r="AS39" s="486">
        <f t="shared" si="32"/>
        <v>79174</v>
      </c>
      <c r="AT39" s="486">
        <f t="shared" si="32"/>
        <v>4685</v>
      </c>
      <c r="AU39" s="486">
        <f>O39+AE39</f>
        <v>0</v>
      </c>
      <c r="AV39" s="501">
        <f>P39+AN39</f>
        <v>0.57130000000000003</v>
      </c>
      <c r="AW39" s="501">
        <f t="shared" si="33"/>
        <v>0.57130000000000003</v>
      </c>
      <c r="AX39" s="502">
        <f t="shared" si="33"/>
        <v>0</v>
      </c>
    </row>
    <row r="40" spans="1:50" ht="12.95" customHeight="1" x14ac:dyDescent="0.25">
      <c r="A40" s="154">
        <v>6</v>
      </c>
      <c r="B40" s="83">
        <v>4478</v>
      </c>
      <c r="C40" s="83">
        <v>600075141</v>
      </c>
      <c r="D40" s="83">
        <v>70975191</v>
      </c>
      <c r="E40" s="492" t="s">
        <v>342</v>
      </c>
      <c r="F40" s="83">
        <v>3143</v>
      </c>
      <c r="G40" s="493" t="s">
        <v>635</v>
      </c>
      <c r="H40" s="493" t="s">
        <v>284</v>
      </c>
      <c r="I40" s="495">
        <v>7022</v>
      </c>
      <c r="J40" s="496">
        <v>4950</v>
      </c>
      <c r="K40" s="496">
        <v>0</v>
      </c>
      <c r="L40" s="496">
        <v>0</v>
      </c>
      <c r="M40" s="411">
        <v>1673</v>
      </c>
      <c r="N40" s="411">
        <v>99</v>
      </c>
      <c r="O40" s="496">
        <v>300</v>
      </c>
      <c r="P40" s="497">
        <v>0.02</v>
      </c>
      <c r="Q40" s="412">
        <v>0</v>
      </c>
      <c r="R40" s="498">
        <v>0.02</v>
      </c>
      <c r="S40" s="499">
        <f t="shared" si="2"/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500">
        <v>0</v>
      </c>
      <c r="Y40" s="486">
        <f>SUM(W40:X40)</f>
        <v>0</v>
      </c>
      <c r="Z40" s="499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3"/>
        <v>0</v>
      </c>
      <c r="AF40" s="486">
        <f t="shared" si="4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30"/>
        <v>0</v>
      </c>
      <c r="AM40" s="501">
        <f t="shared" si="31"/>
        <v>0</v>
      </c>
      <c r="AN40" s="502">
        <f t="shared" si="5"/>
        <v>0</v>
      </c>
      <c r="AO40" s="499">
        <f>I40+AF40</f>
        <v>7022</v>
      </c>
      <c r="AP40" s="486">
        <f>J40+V40</f>
        <v>4950</v>
      </c>
      <c r="AQ40" s="486">
        <f>K40+Y40</f>
        <v>0</v>
      </c>
      <c r="AR40" s="480">
        <f>L40</f>
        <v>0</v>
      </c>
      <c r="AS40" s="486">
        <f t="shared" si="32"/>
        <v>1673</v>
      </c>
      <c r="AT40" s="486">
        <f t="shared" si="32"/>
        <v>99</v>
      </c>
      <c r="AU40" s="486">
        <f>O40+AE40</f>
        <v>300</v>
      </c>
      <c r="AV40" s="501">
        <f>P40+AN40</f>
        <v>0.02</v>
      </c>
      <c r="AW40" s="501">
        <f t="shared" si="33"/>
        <v>0</v>
      </c>
      <c r="AX40" s="502">
        <f t="shared" si="33"/>
        <v>0.02</v>
      </c>
    </row>
    <row r="41" spans="1:50" ht="12.95" customHeight="1" x14ac:dyDescent="0.25">
      <c r="A41" s="155">
        <v>6</v>
      </c>
      <c r="B41" s="85">
        <v>4478</v>
      </c>
      <c r="C41" s="85">
        <v>600075141</v>
      </c>
      <c r="D41" s="85">
        <v>70975191</v>
      </c>
      <c r="E41" s="89" t="s">
        <v>343</v>
      </c>
      <c r="F41" s="92"/>
      <c r="G41" s="93"/>
      <c r="H41" s="93"/>
      <c r="I41" s="147">
        <v>8396575</v>
      </c>
      <c r="J41" s="91">
        <v>6075608</v>
      </c>
      <c r="K41" s="91">
        <v>7400</v>
      </c>
      <c r="L41" s="91">
        <v>7400</v>
      </c>
      <c r="M41" s="91">
        <v>2053555</v>
      </c>
      <c r="N41" s="91">
        <v>121512</v>
      </c>
      <c r="O41" s="91">
        <v>138500</v>
      </c>
      <c r="P41" s="94">
        <v>11.686100000000001</v>
      </c>
      <c r="Q41" s="94">
        <v>8.5384000000000011</v>
      </c>
      <c r="R41" s="275">
        <v>3.1476999999999999</v>
      </c>
      <c r="S41" s="142">
        <f t="shared" ref="S41:AN41" si="34">SUM(S37:S40)</f>
        <v>0</v>
      </c>
      <c r="T41" s="91">
        <f t="shared" si="34"/>
        <v>0</v>
      </c>
      <c r="U41" s="91">
        <f t="shared" si="34"/>
        <v>0</v>
      </c>
      <c r="V41" s="91">
        <f t="shared" si="34"/>
        <v>0</v>
      </c>
      <c r="W41" s="91">
        <f t="shared" si="34"/>
        <v>0</v>
      </c>
      <c r="X41" s="442">
        <f t="shared" si="34"/>
        <v>0</v>
      </c>
      <c r="Y41" s="91">
        <f t="shared" si="34"/>
        <v>0</v>
      </c>
      <c r="Z41" s="142">
        <f t="shared" si="34"/>
        <v>0</v>
      </c>
      <c r="AA41" s="91">
        <f t="shared" si="34"/>
        <v>0</v>
      </c>
      <c r="AB41" s="91">
        <f t="shared" si="34"/>
        <v>0</v>
      </c>
      <c r="AC41" s="91">
        <f t="shared" si="34"/>
        <v>0</v>
      </c>
      <c r="AD41" s="91">
        <f t="shared" si="34"/>
        <v>0</v>
      </c>
      <c r="AE41" s="91">
        <f t="shared" si="34"/>
        <v>0</v>
      </c>
      <c r="AF41" s="91">
        <f t="shared" si="34"/>
        <v>0</v>
      </c>
      <c r="AG41" s="94">
        <f t="shared" si="34"/>
        <v>0</v>
      </c>
      <c r="AH41" s="94">
        <f t="shared" si="34"/>
        <v>0</v>
      </c>
      <c r="AI41" s="94">
        <f t="shared" si="34"/>
        <v>0</v>
      </c>
      <c r="AJ41" s="94">
        <f t="shared" si="34"/>
        <v>0</v>
      </c>
      <c r="AK41" s="94">
        <f t="shared" si="34"/>
        <v>0</v>
      </c>
      <c r="AL41" s="94">
        <f t="shared" si="34"/>
        <v>0</v>
      </c>
      <c r="AM41" s="94">
        <f t="shared" si="34"/>
        <v>0</v>
      </c>
      <c r="AN41" s="275">
        <f t="shared" si="34"/>
        <v>0</v>
      </c>
      <c r="AO41" s="142">
        <f t="shared" ref="AO41:AX41" si="35">SUM(AO37:AO40)</f>
        <v>8396575</v>
      </c>
      <c r="AP41" s="91">
        <f t="shared" si="35"/>
        <v>6075608</v>
      </c>
      <c r="AQ41" s="91">
        <f t="shared" si="35"/>
        <v>7400</v>
      </c>
      <c r="AR41" s="91">
        <f t="shared" si="35"/>
        <v>7400</v>
      </c>
      <c r="AS41" s="91">
        <f t="shared" si="35"/>
        <v>2053555</v>
      </c>
      <c r="AT41" s="91">
        <f t="shared" si="35"/>
        <v>121512</v>
      </c>
      <c r="AU41" s="91">
        <f t="shared" si="35"/>
        <v>138500</v>
      </c>
      <c r="AV41" s="94">
        <f t="shared" si="35"/>
        <v>11.686100000000001</v>
      </c>
      <c r="AW41" s="94">
        <f t="shared" si="35"/>
        <v>8.5384000000000011</v>
      </c>
      <c r="AX41" s="275">
        <f t="shared" si="35"/>
        <v>3.1476999999999999</v>
      </c>
    </row>
    <row r="42" spans="1:50" ht="12.95" customHeight="1" x14ac:dyDescent="0.25">
      <c r="A42" s="154">
        <v>7</v>
      </c>
      <c r="B42" s="83">
        <v>4471</v>
      </c>
      <c r="C42" s="83">
        <v>600075061</v>
      </c>
      <c r="D42" s="83">
        <v>70975205</v>
      </c>
      <c r="E42" s="492" t="s">
        <v>344</v>
      </c>
      <c r="F42" s="83">
        <v>3231</v>
      </c>
      <c r="G42" s="493" t="s">
        <v>322</v>
      </c>
      <c r="H42" s="493" t="s">
        <v>283</v>
      </c>
      <c r="I42" s="495">
        <v>9002202</v>
      </c>
      <c r="J42" s="496">
        <v>6586500</v>
      </c>
      <c r="K42" s="496">
        <v>20000</v>
      </c>
      <c r="L42" s="496">
        <v>0</v>
      </c>
      <c r="M42" s="411">
        <v>2232997</v>
      </c>
      <c r="N42" s="411">
        <v>131730</v>
      </c>
      <c r="O42" s="496">
        <v>30975</v>
      </c>
      <c r="P42" s="497">
        <v>12.975100000000001</v>
      </c>
      <c r="Q42" s="412">
        <v>11.5235</v>
      </c>
      <c r="R42" s="498">
        <v>1.4516</v>
      </c>
      <c r="S42" s="499">
        <f t="shared" si="2"/>
        <v>18200</v>
      </c>
      <c r="T42" s="486">
        <v>0</v>
      </c>
      <c r="U42" s="486">
        <v>-22091</v>
      </c>
      <c r="V42" s="486">
        <f>SUM(S42:U42)</f>
        <v>-3891</v>
      </c>
      <c r="W42" s="486">
        <v>-18200</v>
      </c>
      <c r="X42" s="500">
        <v>0</v>
      </c>
      <c r="Y42" s="486">
        <f>SUM(W42:X42)</f>
        <v>-18200</v>
      </c>
      <c r="Z42" s="499">
        <f>V42+Y42</f>
        <v>-22091</v>
      </c>
      <c r="AA42" s="319">
        <f>ROUND((V42+W42)*33.8%,0)</f>
        <v>-7467</v>
      </c>
      <c r="AB42" s="178">
        <f>ROUND(V42*2%,0)</f>
        <v>-78</v>
      </c>
      <c r="AC42" s="486">
        <v>0</v>
      </c>
      <c r="AD42" s="486">
        <v>30000</v>
      </c>
      <c r="AE42" s="486">
        <f t="shared" si="3"/>
        <v>30000</v>
      </c>
      <c r="AF42" s="486">
        <f t="shared" si="4"/>
        <v>364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>AG42+AI42+AJ42</f>
        <v>0</v>
      </c>
      <c r="AM42" s="501">
        <f>AH42+AK42</f>
        <v>0</v>
      </c>
      <c r="AN42" s="502">
        <f t="shared" si="5"/>
        <v>0</v>
      </c>
      <c r="AO42" s="499">
        <f>I42+AF42</f>
        <v>9002566</v>
      </c>
      <c r="AP42" s="486">
        <f>J42+V42</f>
        <v>6582609</v>
      </c>
      <c r="AQ42" s="486">
        <f>K42+Y42</f>
        <v>1800</v>
      </c>
      <c r="AR42" s="480">
        <f>L42</f>
        <v>0</v>
      </c>
      <c r="AS42" s="486">
        <f>M42+AA42</f>
        <v>2225530</v>
      </c>
      <c r="AT42" s="486">
        <f>N42+AB42</f>
        <v>131652</v>
      </c>
      <c r="AU42" s="486">
        <f>O42+AE42</f>
        <v>60975</v>
      </c>
      <c r="AV42" s="501">
        <f>P42+AN42</f>
        <v>12.975100000000001</v>
      </c>
      <c r="AW42" s="501">
        <f>Q42+AL42</f>
        <v>11.5235</v>
      </c>
      <c r="AX42" s="502">
        <f>R42+AM42</f>
        <v>1.4516</v>
      </c>
    </row>
    <row r="43" spans="1:50" ht="12.95" customHeight="1" x14ac:dyDescent="0.25">
      <c r="A43" s="155">
        <v>7</v>
      </c>
      <c r="B43" s="85">
        <v>4471</v>
      </c>
      <c r="C43" s="85">
        <v>600075061</v>
      </c>
      <c r="D43" s="85">
        <v>70975205</v>
      </c>
      <c r="E43" s="89" t="s">
        <v>345</v>
      </c>
      <c r="F43" s="92"/>
      <c r="G43" s="93"/>
      <c r="H43" s="93"/>
      <c r="I43" s="147">
        <v>9002202</v>
      </c>
      <c r="J43" s="91">
        <v>6586500</v>
      </c>
      <c r="K43" s="91">
        <v>20000</v>
      </c>
      <c r="L43" s="91">
        <v>0</v>
      </c>
      <c r="M43" s="91">
        <v>2232997</v>
      </c>
      <c r="N43" s="91">
        <v>131730</v>
      </c>
      <c r="O43" s="91">
        <v>30975</v>
      </c>
      <c r="P43" s="94">
        <v>12.975100000000001</v>
      </c>
      <c r="Q43" s="94">
        <v>11.5235</v>
      </c>
      <c r="R43" s="275">
        <v>1.4516</v>
      </c>
      <c r="S43" s="142">
        <f t="shared" ref="S43:AN43" si="36">SUM(S42)</f>
        <v>18200</v>
      </c>
      <c r="T43" s="91">
        <f t="shared" si="36"/>
        <v>0</v>
      </c>
      <c r="U43" s="91">
        <f t="shared" si="36"/>
        <v>-22091</v>
      </c>
      <c r="V43" s="91">
        <f t="shared" si="36"/>
        <v>-3891</v>
      </c>
      <c r="W43" s="91">
        <f t="shared" si="36"/>
        <v>-18200</v>
      </c>
      <c r="X43" s="442">
        <f t="shared" si="36"/>
        <v>0</v>
      </c>
      <c r="Y43" s="91">
        <f t="shared" si="36"/>
        <v>-18200</v>
      </c>
      <c r="Z43" s="142">
        <f t="shared" si="36"/>
        <v>-22091</v>
      </c>
      <c r="AA43" s="91">
        <f t="shared" si="36"/>
        <v>-7467</v>
      </c>
      <c r="AB43" s="91">
        <f t="shared" si="36"/>
        <v>-78</v>
      </c>
      <c r="AC43" s="91">
        <f t="shared" si="36"/>
        <v>0</v>
      </c>
      <c r="AD43" s="91">
        <f t="shared" si="36"/>
        <v>30000</v>
      </c>
      <c r="AE43" s="91">
        <f t="shared" si="36"/>
        <v>30000</v>
      </c>
      <c r="AF43" s="91">
        <f t="shared" si="36"/>
        <v>364</v>
      </c>
      <c r="AG43" s="94">
        <f t="shared" si="36"/>
        <v>0</v>
      </c>
      <c r="AH43" s="94">
        <f t="shared" si="36"/>
        <v>0</v>
      </c>
      <c r="AI43" s="94">
        <f t="shared" si="36"/>
        <v>0</v>
      </c>
      <c r="AJ43" s="94">
        <f t="shared" si="36"/>
        <v>0</v>
      </c>
      <c r="AK43" s="94">
        <f t="shared" si="36"/>
        <v>0</v>
      </c>
      <c r="AL43" s="94">
        <f t="shared" si="36"/>
        <v>0</v>
      </c>
      <c r="AM43" s="94">
        <f t="shared" si="36"/>
        <v>0</v>
      </c>
      <c r="AN43" s="275">
        <f t="shared" si="36"/>
        <v>0</v>
      </c>
      <c r="AO43" s="142">
        <f t="shared" ref="AO43:AX43" si="37">SUM(AO42)</f>
        <v>9002566</v>
      </c>
      <c r="AP43" s="91">
        <f t="shared" si="37"/>
        <v>6582609</v>
      </c>
      <c r="AQ43" s="91">
        <f t="shared" si="37"/>
        <v>1800</v>
      </c>
      <c r="AR43" s="91">
        <f t="shared" si="37"/>
        <v>0</v>
      </c>
      <c r="AS43" s="91">
        <f t="shared" si="37"/>
        <v>2225530</v>
      </c>
      <c r="AT43" s="91">
        <f t="shared" si="37"/>
        <v>131652</v>
      </c>
      <c r="AU43" s="91">
        <f t="shared" si="37"/>
        <v>60975</v>
      </c>
      <c r="AV43" s="94">
        <f t="shared" si="37"/>
        <v>12.975100000000001</v>
      </c>
      <c r="AW43" s="94">
        <f t="shared" si="37"/>
        <v>11.5235</v>
      </c>
      <c r="AX43" s="275">
        <f t="shared" si="37"/>
        <v>1.4516</v>
      </c>
    </row>
    <row r="44" spans="1:50" ht="12.95" customHeight="1" x14ac:dyDescent="0.25">
      <c r="A44" s="154">
        <v>8</v>
      </c>
      <c r="B44" s="83">
        <v>4474</v>
      </c>
      <c r="C44" s="83">
        <v>600075192</v>
      </c>
      <c r="D44" s="83">
        <v>49864661</v>
      </c>
      <c r="E44" s="492" t="s">
        <v>346</v>
      </c>
      <c r="F44" s="83">
        <v>3233</v>
      </c>
      <c r="G44" s="505" t="s">
        <v>324</v>
      </c>
      <c r="H44" s="493" t="s">
        <v>284</v>
      </c>
      <c r="I44" s="495">
        <v>2104888</v>
      </c>
      <c r="J44" s="496">
        <v>1497158</v>
      </c>
      <c r="K44" s="496">
        <v>50000</v>
      </c>
      <c r="L44" s="496">
        <v>0</v>
      </c>
      <c r="M44" s="411">
        <v>522939</v>
      </c>
      <c r="N44" s="411">
        <v>29943</v>
      </c>
      <c r="O44" s="496">
        <v>4848</v>
      </c>
      <c r="P44" s="497">
        <v>3.32</v>
      </c>
      <c r="Q44" s="412">
        <v>2.5</v>
      </c>
      <c r="R44" s="498">
        <v>0.82000000000000006</v>
      </c>
      <c r="S44" s="499">
        <f t="shared" si="2"/>
        <v>0</v>
      </c>
      <c r="T44" s="486">
        <v>0</v>
      </c>
      <c r="U44" s="486">
        <v>0</v>
      </c>
      <c r="V44" s="486">
        <f>SUM(S44:U44)</f>
        <v>0</v>
      </c>
      <c r="W44" s="486">
        <v>0</v>
      </c>
      <c r="X44" s="500">
        <v>0</v>
      </c>
      <c r="Y44" s="486">
        <f>SUM(W44:X44)</f>
        <v>0</v>
      </c>
      <c r="Z44" s="499">
        <f>V44+Y44</f>
        <v>0</v>
      </c>
      <c r="AA44" s="319">
        <f>ROUND((V44+W44)*33.8%,0)</f>
        <v>0</v>
      </c>
      <c r="AB44" s="178">
        <f>ROUND(V44*2%,0)</f>
        <v>0</v>
      </c>
      <c r="AC44" s="486">
        <v>0</v>
      </c>
      <c r="AD44" s="486">
        <v>0</v>
      </c>
      <c r="AE44" s="486">
        <f t="shared" si="3"/>
        <v>0</v>
      </c>
      <c r="AF44" s="486">
        <f t="shared" si="4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>AG44+AI44+AJ44</f>
        <v>0</v>
      </c>
      <c r="AM44" s="501">
        <f>AH44+AK44</f>
        <v>0</v>
      </c>
      <c r="AN44" s="502">
        <f t="shared" si="5"/>
        <v>0</v>
      </c>
      <c r="AO44" s="499">
        <f>I44+AF44</f>
        <v>2104888</v>
      </c>
      <c r="AP44" s="486">
        <f>J44+V44</f>
        <v>1497158</v>
      </c>
      <c r="AQ44" s="486">
        <f>K44+Y44</f>
        <v>50000</v>
      </c>
      <c r="AR44" s="480">
        <f>L44</f>
        <v>0</v>
      </c>
      <c r="AS44" s="486">
        <f>M44+AA44</f>
        <v>522939</v>
      </c>
      <c r="AT44" s="486">
        <f>N44+AB44</f>
        <v>29943</v>
      </c>
      <c r="AU44" s="486">
        <f>O44+AE44</f>
        <v>4848</v>
      </c>
      <c r="AV44" s="501">
        <f>P44+AN44</f>
        <v>3.32</v>
      </c>
      <c r="AW44" s="501">
        <f>Q44+AL44</f>
        <v>2.5</v>
      </c>
      <c r="AX44" s="502">
        <f>R44+AM44</f>
        <v>0.82000000000000006</v>
      </c>
    </row>
    <row r="45" spans="1:50" ht="12.95" customHeight="1" x14ac:dyDescent="0.25">
      <c r="A45" s="155">
        <v>8</v>
      </c>
      <c r="B45" s="85">
        <v>4474</v>
      </c>
      <c r="C45" s="85">
        <v>600075192</v>
      </c>
      <c r="D45" s="85">
        <v>49864661</v>
      </c>
      <c r="E45" s="89" t="s">
        <v>347</v>
      </c>
      <c r="F45" s="92"/>
      <c r="G45" s="93"/>
      <c r="H45" s="93"/>
      <c r="I45" s="147">
        <v>2104888</v>
      </c>
      <c r="J45" s="91">
        <v>1497158</v>
      </c>
      <c r="K45" s="91">
        <v>50000</v>
      </c>
      <c r="L45" s="91">
        <v>0</v>
      </c>
      <c r="M45" s="91">
        <v>522939</v>
      </c>
      <c r="N45" s="91">
        <v>29943</v>
      </c>
      <c r="O45" s="91">
        <v>4848</v>
      </c>
      <c r="P45" s="94">
        <v>3.32</v>
      </c>
      <c r="Q45" s="94">
        <v>2.5</v>
      </c>
      <c r="R45" s="275">
        <v>0.82000000000000006</v>
      </c>
      <c r="S45" s="142">
        <f t="shared" ref="S45:AN45" si="38">SUM(S44)</f>
        <v>0</v>
      </c>
      <c r="T45" s="91">
        <f t="shared" si="38"/>
        <v>0</v>
      </c>
      <c r="U45" s="91">
        <f t="shared" si="38"/>
        <v>0</v>
      </c>
      <c r="V45" s="91">
        <f t="shared" si="38"/>
        <v>0</v>
      </c>
      <c r="W45" s="91">
        <f t="shared" si="38"/>
        <v>0</v>
      </c>
      <c r="X45" s="442">
        <f t="shared" si="38"/>
        <v>0</v>
      </c>
      <c r="Y45" s="91">
        <f t="shared" si="38"/>
        <v>0</v>
      </c>
      <c r="Z45" s="142">
        <f t="shared" si="38"/>
        <v>0</v>
      </c>
      <c r="AA45" s="91">
        <f t="shared" si="38"/>
        <v>0</v>
      </c>
      <c r="AB45" s="91">
        <f t="shared" si="38"/>
        <v>0</v>
      </c>
      <c r="AC45" s="91">
        <f t="shared" si="38"/>
        <v>0</v>
      </c>
      <c r="AD45" s="91">
        <f t="shared" si="38"/>
        <v>0</v>
      </c>
      <c r="AE45" s="91">
        <f t="shared" si="38"/>
        <v>0</v>
      </c>
      <c r="AF45" s="91">
        <f t="shared" si="38"/>
        <v>0</v>
      </c>
      <c r="AG45" s="94">
        <f t="shared" si="38"/>
        <v>0</v>
      </c>
      <c r="AH45" s="94">
        <f t="shared" si="38"/>
        <v>0</v>
      </c>
      <c r="AI45" s="94">
        <f t="shared" si="38"/>
        <v>0</v>
      </c>
      <c r="AJ45" s="94">
        <f t="shared" si="38"/>
        <v>0</v>
      </c>
      <c r="AK45" s="94">
        <f t="shared" si="38"/>
        <v>0</v>
      </c>
      <c r="AL45" s="94">
        <f t="shared" si="38"/>
        <v>0</v>
      </c>
      <c r="AM45" s="94">
        <f t="shared" si="38"/>
        <v>0</v>
      </c>
      <c r="AN45" s="275">
        <f t="shared" si="38"/>
        <v>0</v>
      </c>
      <c r="AO45" s="142">
        <f t="shared" ref="AO45:AX45" si="39">SUM(AO44)</f>
        <v>2104888</v>
      </c>
      <c r="AP45" s="91">
        <f t="shared" si="39"/>
        <v>1497158</v>
      </c>
      <c r="AQ45" s="91">
        <f t="shared" si="39"/>
        <v>50000</v>
      </c>
      <c r="AR45" s="91">
        <f t="shared" si="39"/>
        <v>0</v>
      </c>
      <c r="AS45" s="91">
        <f t="shared" si="39"/>
        <v>522939</v>
      </c>
      <c r="AT45" s="91">
        <f t="shared" si="39"/>
        <v>29943</v>
      </c>
      <c r="AU45" s="91">
        <f t="shared" si="39"/>
        <v>4848</v>
      </c>
      <c r="AV45" s="94">
        <f t="shared" si="39"/>
        <v>3.32</v>
      </c>
      <c r="AW45" s="94">
        <f t="shared" si="39"/>
        <v>2.5</v>
      </c>
      <c r="AX45" s="275">
        <f t="shared" si="39"/>
        <v>0.82000000000000006</v>
      </c>
    </row>
    <row r="46" spans="1:50" ht="12.95" customHeight="1" x14ac:dyDescent="0.25">
      <c r="A46" s="154">
        <v>9</v>
      </c>
      <c r="B46" s="83">
        <v>4402</v>
      </c>
      <c r="C46" s="491">
        <v>600074021</v>
      </c>
      <c r="D46" s="83">
        <v>70695342</v>
      </c>
      <c r="E46" s="492" t="s">
        <v>348</v>
      </c>
      <c r="F46" s="83">
        <v>3111</v>
      </c>
      <c r="G46" s="493" t="s">
        <v>331</v>
      </c>
      <c r="H46" s="493" t="s">
        <v>283</v>
      </c>
      <c r="I46" s="495">
        <v>11046853</v>
      </c>
      <c r="J46" s="496">
        <v>8052690</v>
      </c>
      <c r="K46" s="496">
        <v>0</v>
      </c>
      <c r="L46" s="496">
        <v>0</v>
      </c>
      <c r="M46" s="411">
        <v>2721809</v>
      </c>
      <c r="N46" s="411">
        <v>161054</v>
      </c>
      <c r="O46" s="496">
        <v>111300</v>
      </c>
      <c r="P46" s="497">
        <v>19.4251</v>
      </c>
      <c r="Q46" s="412">
        <v>13.790100000000001</v>
      </c>
      <c r="R46" s="498">
        <v>5.6349999999999998</v>
      </c>
      <c r="S46" s="499">
        <f t="shared" si="2"/>
        <v>0</v>
      </c>
      <c r="T46" s="486">
        <v>0</v>
      </c>
      <c r="U46" s="486">
        <v>-22091</v>
      </c>
      <c r="V46" s="486">
        <f>SUM(S46:U46)</f>
        <v>-22091</v>
      </c>
      <c r="W46" s="486">
        <v>0</v>
      </c>
      <c r="X46" s="500">
        <v>0</v>
      </c>
      <c r="Y46" s="486">
        <f>SUM(W46:X46)</f>
        <v>0</v>
      </c>
      <c r="Z46" s="499">
        <f>V46+Y46</f>
        <v>-22091</v>
      </c>
      <c r="AA46" s="319">
        <f>ROUND((V46+W46)*33.8%,0)</f>
        <v>-7467</v>
      </c>
      <c r="AB46" s="178">
        <f>ROUND(V46*2%,0)</f>
        <v>-442</v>
      </c>
      <c r="AC46" s="486">
        <v>0</v>
      </c>
      <c r="AD46" s="486">
        <v>30000</v>
      </c>
      <c r="AE46" s="486">
        <f t="shared" si="3"/>
        <v>30000</v>
      </c>
      <c r="AF46" s="486">
        <f t="shared" si="4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ref="AL46:AL48" si="40">AG46+AI46+AJ46</f>
        <v>0</v>
      </c>
      <c r="AM46" s="501">
        <f t="shared" ref="AM46:AM48" si="41">AH46+AK46</f>
        <v>0</v>
      </c>
      <c r="AN46" s="502">
        <f t="shared" si="5"/>
        <v>0</v>
      </c>
      <c r="AO46" s="499">
        <f>I46+AF46</f>
        <v>11046853</v>
      </c>
      <c r="AP46" s="486">
        <f>J46+V46</f>
        <v>8030599</v>
      </c>
      <c r="AQ46" s="486">
        <f>K46+Y46</f>
        <v>0</v>
      </c>
      <c r="AR46" s="480">
        <f>L46</f>
        <v>0</v>
      </c>
      <c r="AS46" s="486">
        <f t="shared" ref="AS46:AT48" si="42">M46+AA46</f>
        <v>2714342</v>
      </c>
      <c r="AT46" s="486">
        <f t="shared" si="42"/>
        <v>160612</v>
      </c>
      <c r="AU46" s="486">
        <f>O46+AE46</f>
        <v>141300</v>
      </c>
      <c r="AV46" s="501">
        <f>P46+AN46</f>
        <v>19.4251</v>
      </c>
      <c r="AW46" s="501">
        <f t="shared" ref="AW46:AX48" si="43">Q46+AL46</f>
        <v>13.790100000000001</v>
      </c>
      <c r="AX46" s="502">
        <f t="shared" si="43"/>
        <v>5.6349999999999998</v>
      </c>
    </row>
    <row r="47" spans="1:50" ht="12.95" customHeight="1" x14ac:dyDescent="0.25">
      <c r="A47" s="154">
        <v>9</v>
      </c>
      <c r="B47" s="83">
        <v>4402</v>
      </c>
      <c r="C47" s="491">
        <v>600074021</v>
      </c>
      <c r="D47" s="83">
        <v>70695342</v>
      </c>
      <c r="E47" s="492" t="s">
        <v>348</v>
      </c>
      <c r="F47" s="83">
        <v>3111</v>
      </c>
      <c r="G47" s="493" t="s">
        <v>325</v>
      </c>
      <c r="H47" s="493" t="s">
        <v>284</v>
      </c>
      <c r="I47" s="495">
        <v>215778</v>
      </c>
      <c r="J47" s="496">
        <v>158895</v>
      </c>
      <c r="K47" s="496">
        <v>0</v>
      </c>
      <c r="L47" s="496">
        <v>0</v>
      </c>
      <c r="M47" s="411">
        <v>53706</v>
      </c>
      <c r="N47" s="411">
        <v>3177</v>
      </c>
      <c r="O47" s="496">
        <v>0</v>
      </c>
      <c r="P47" s="497">
        <v>0.54</v>
      </c>
      <c r="Q47" s="412">
        <v>0.54</v>
      </c>
      <c r="R47" s="498">
        <v>0</v>
      </c>
      <c r="S47" s="499">
        <f t="shared" si="2"/>
        <v>0</v>
      </c>
      <c r="T47" s="486">
        <v>14150</v>
      </c>
      <c r="U47" s="486">
        <v>0</v>
      </c>
      <c r="V47" s="486">
        <f>SUM(S47:U47)</f>
        <v>14150</v>
      </c>
      <c r="W47" s="486">
        <v>0</v>
      </c>
      <c r="X47" s="500">
        <v>0</v>
      </c>
      <c r="Y47" s="486">
        <f>SUM(W47:X47)</f>
        <v>0</v>
      </c>
      <c r="Z47" s="499">
        <f>V47+Y47</f>
        <v>14150</v>
      </c>
      <c r="AA47" s="319">
        <f>ROUND((V47+W47)*33.8%,0)</f>
        <v>4783</v>
      </c>
      <c r="AB47" s="178">
        <f>ROUND(V47*2%,0)</f>
        <v>283</v>
      </c>
      <c r="AC47" s="486">
        <v>4000</v>
      </c>
      <c r="AD47" s="486">
        <v>0</v>
      </c>
      <c r="AE47" s="486">
        <f t="shared" si="3"/>
        <v>4000</v>
      </c>
      <c r="AF47" s="486">
        <f t="shared" si="4"/>
        <v>23216</v>
      </c>
      <c r="AG47" s="501">
        <v>0</v>
      </c>
      <c r="AH47" s="501">
        <v>0</v>
      </c>
      <c r="AI47" s="501">
        <v>0.04</v>
      </c>
      <c r="AJ47" s="501">
        <v>0</v>
      </c>
      <c r="AK47" s="501">
        <v>0</v>
      </c>
      <c r="AL47" s="501">
        <f t="shared" si="40"/>
        <v>0.04</v>
      </c>
      <c r="AM47" s="501">
        <f t="shared" si="41"/>
        <v>0</v>
      </c>
      <c r="AN47" s="502">
        <f t="shared" si="5"/>
        <v>0.04</v>
      </c>
      <c r="AO47" s="499">
        <f>I47+AF47</f>
        <v>238994</v>
      </c>
      <c r="AP47" s="486">
        <f>J47+V47</f>
        <v>173045</v>
      </c>
      <c r="AQ47" s="486">
        <f>K47+Y47</f>
        <v>0</v>
      </c>
      <c r="AR47" s="480">
        <f>L47</f>
        <v>0</v>
      </c>
      <c r="AS47" s="486">
        <f t="shared" si="42"/>
        <v>58489</v>
      </c>
      <c r="AT47" s="486">
        <f t="shared" si="42"/>
        <v>3460</v>
      </c>
      <c r="AU47" s="486">
        <f>O47+AE47</f>
        <v>4000</v>
      </c>
      <c r="AV47" s="501">
        <f>P47+AN47</f>
        <v>0.58000000000000007</v>
      </c>
      <c r="AW47" s="501">
        <f t="shared" si="43"/>
        <v>0.58000000000000007</v>
      </c>
      <c r="AX47" s="502">
        <f t="shared" si="43"/>
        <v>0</v>
      </c>
    </row>
    <row r="48" spans="1:50" ht="12.95" customHeight="1" x14ac:dyDescent="0.25">
      <c r="A48" s="154">
        <v>9</v>
      </c>
      <c r="B48" s="83">
        <v>4402</v>
      </c>
      <c r="C48" s="491">
        <v>600074021</v>
      </c>
      <c r="D48" s="83">
        <v>70695342</v>
      </c>
      <c r="E48" s="492" t="s">
        <v>348</v>
      </c>
      <c r="F48" s="83">
        <v>3141</v>
      </c>
      <c r="G48" s="493" t="s">
        <v>321</v>
      </c>
      <c r="H48" s="493" t="s">
        <v>284</v>
      </c>
      <c r="I48" s="495">
        <v>1872913</v>
      </c>
      <c r="J48" s="496">
        <v>1372207</v>
      </c>
      <c r="K48" s="496">
        <v>0</v>
      </c>
      <c r="L48" s="496">
        <v>0</v>
      </c>
      <c r="M48" s="411">
        <v>463806</v>
      </c>
      <c r="N48" s="411">
        <v>27444</v>
      </c>
      <c r="O48" s="496">
        <v>9456</v>
      </c>
      <c r="P48" s="497">
        <v>4.67</v>
      </c>
      <c r="Q48" s="412">
        <v>0</v>
      </c>
      <c r="R48" s="498">
        <v>4.67</v>
      </c>
      <c r="S48" s="499">
        <f t="shared" si="2"/>
        <v>0</v>
      </c>
      <c r="T48" s="486">
        <v>0</v>
      </c>
      <c r="U48" s="486">
        <v>0</v>
      </c>
      <c r="V48" s="486">
        <f>SUM(S48:U48)</f>
        <v>0</v>
      </c>
      <c r="W48" s="486">
        <v>0</v>
      </c>
      <c r="X48" s="500">
        <v>0</v>
      </c>
      <c r="Y48" s="486">
        <f>SUM(W48:X48)</f>
        <v>0</v>
      </c>
      <c r="Z48" s="499">
        <f>V48+Y48</f>
        <v>0</v>
      </c>
      <c r="AA48" s="319">
        <f>ROUND((V48+W48)*33.8%,0)</f>
        <v>0</v>
      </c>
      <c r="AB48" s="178">
        <f>ROUND(V48*2%,0)</f>
        <v>0</v>
      </c>
      <c r="AC48" s="486">
        <v>0</v>
      </c>
      <c r="AD48" s="486">
        <v>0</v>
      </c>
      <c r="AE48" s="486">
        <f t="shared" si="3"/>
        <v>0</v>
      </c>
      <c r="AF48" s="486">
        <f t="shared" si="4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si="40"/>
        <v>0</v>
      </c>
      <c r="AM48" s="501">
        <f t="shared" si="41"/>
        <v>0</v>
      </c>
      <c r="AN48" s="502">
        <f t="shared" si="5"/>
        <v>0</v>
      </c>
      <c r="AO48" s="499">
        <f>I48+AF48</f>
        <v>1872913</v>
      </c>
      <c r="AP48" s="486">
        <f>J48+V48</f>
        <v>1372207</v>
      </c>
      <c r="AQ48" s="486">
        <f>K48+Y48</f>
        <v>0</v>
      </c>
      <c r="AR48" s="480">
        <f>L48</f>
        <v>0</v>
      </c>
      <c r="AS48" s="486">
        <f t="shared" si="42"/>
        <v>463806</v>
      </c>
      <c r="AT48" s="486">
        <f t="shared" si="42"/>
        <v>27444</v>
      </c>
      <c r="AU48" s="486">
        <f>O48+AE48</f>
        <v>9456</v>
      </c>
      <c r="AV48" s="501">
        <f>P48+AN48</f>
        <v>4.67</v>
      </c>
      <c r="AW48" s="501">
        <f t="shared" si="43"/>
        <v>0</v>
      </c>
      <c r="AX48" s="502">
        <f t="shared" si="43"/>
        <v>4.67</v>
      </c>
    </row>
    <row r="49" spans="1:50" ht="12.95" customHeight="1" x14ac:dyDescent="0.25">
      <c r="A49" s="155">
        <v>9</v>
      </c>
      <c r="B49" s="85">
        <v>4402</v>
      </c>
      <c r="C49" s="504">
        <v>600074021</v>
      </c>
      <c r="D49" s="85">
        <v>70695342</v>
      </c>
      <c r="E49" s="89" t="s">
        <v>349</v>
      </c>
      <c r="F49" s="92"/>
      <c r="G49" s="93"/>
      <c r="H49" s="93"/>
      <c r="I49" s="147">
        <v>13135544</v>
      </c>
      <c r="J49" s="91">
        <v>9583792</v>
      </c>
      <c r="K49" s="91">
        <v>0</v>
      </c>
      <c r="L49" s="91">
        <v>0</v>
      </c>
      <c r="M49" s="91">
        <v>3239321</v>
      </c>
      <c r="N49" s="91">
        <v>191675</v>
      </c>
      <c r="O49" s="91">
        <v>120756</v>
      </c>
      <c r="P49" s="94">
        <v>24.635100000000001</v>
      </c>
      <c r="Q49" s="94">
        <v>14.330100000000002</v>
      </c>
      <c r="R49" s="275">
        <v>10.305</v>
      </c>
      <c r="S49" s="142">
        <f t="shared" ref="S49:AN49" si="44">SUM(S46:S48)</f>
        <v>0</v>
      </c>
      <c r="T49" s="91">
        <f t="shared" si="44"/>
        <v>14150</v>
      </c>
      <c r="U49" s="91">
        <f t="shared" si="44"/>
        <v>-22091</v>
      </c>
      <c r="V49" s="91">
        <f t="shared" si="44"/>
        <v>-7941</v>
      </c>
      <c r="W49" s="91">
        <f t="shared" si="44"/>
        <v>0</v>
      </c>
      <c r="X49" s="442">
        <f t="shared" si="44"/>
        <v>0</v>
      </c>
      <c r="Y49" s="91">
        <f t="shared" si="44"/>
        <v>0</v>
      </c>
      <c r="Z49" s="142">
        <f t="shared" si="44"/>
        <v>-7941</v>
      </c>
      <c r="AA49" s="91">
        <f t="shared" si="44"/>
        <v>-2684</v>
      </c>
      <c r="AB49" s="91">
        <f t="shared" si="44"/>
        <v>-159</v>
      </c>
      <c r="AC49" s="91">
        <f t="shared" si="44"/>
        <v>4000</v>
      </c>
      <c r="AD49" s="91">
        <f t="shared" si="44"/>
        <v>30000</v>
      </c>
      <c r="AE49" s="91">
        <f t="shared" si="44"/>
        <v>34000</v>
      </c>
      <c r="AF49" s="91">
        <f t="shared" si="44"/>
        <v>23216</v>
      </c>
      <c r="AG49" s="94">
        <f t="shared" si="44"/>
        <v>0</v>
      </c>
      <c r="AH49" s="94">
        <f t="shared" si="44"/>
        <v>0</v>
      </c>
      <c r="AI49" s="94">
        <f t="shared" si="44"/>
        <v>0.04</v>
      </c>
      <c r="AJ49" s="94">
        <f t="shared" si="44"/>
        <v>0</v>
      </c>
      <c r="AK49" s="94">
        <f t="shared" si="44"/>
        <v>0</v>
      </c>
      <c r="AL49" s="94">
        <f t="shared" si="44"/>
        <v>0.04</v>
      </c>
      <c r="AM49" s="94">
        <f t="shared" si="44"/>
        <v>0</v>
      </c>
      <c r="AN49" s="275">
        <f t="shared" si="44"/>
        <v>0.04</v>
      </c>
      <c r="AO49" s="142">
        <f t="shared" ref="AO49:AX49" si="45">SUM(AO46:AO48)</f>
        <v>13158760</v>
      </c>
      <c r="AP49" s="91">
        <f t="shared" si="45"/>
        <v>9575851</v>
      </c>
      <c r="AQ49" s="91">
        <f t="shared" si="45"/>
        <v>0</v>
      </c>
      <c r="AR49" s="91">
        <f t="shared" si="45"/>
        <v>0</v>
      </c>
      <c r="AS49" s="91">
        <f t="shared" si="45"/>
        <v>3236637</v>
      </c>
      <c r="AT49" s="91">
        <f t="shared" si="45"/>
        <v>191516</v>
      </c>
      <c r="AU49" s="91">
        <f t="shared" si="45"/>
        <v>154756</v>
      </c>
      <c r="AV49" s="94">
        <f t="shared" si="45"/>
        <v>24.6751</v>
      </c>
      <c r="AW49" s="94">
        <f t="shared" si="45"/>
        <v>14.370100000000001</v>
      </c>
      <c r="AX49" s="275">
        <f t="shared" si="45"/>
        <v>10.305</v>
      </c>
    </row>
    <row r="50" spans="1:50" ht="12.95" customHeight="1" x14ac:dyDescent="0.25">
      <c r="A50" s="154">
        <v>10</v>
      </c>
      <c r="B50" s="83">
        <v>4481</v>
      </c>
      <c r="C50" s="83">
        <v>600074722</v>
      </c>
      <c r="D50" s="83">
        <v>70942692</v>
      </c>
      <c r="E50" s="492" t="s">
        <v>350</v>
      </c>
      <c r="F50" s="83">
        <v>3113</v>
      </c>
      <c r="G50" s="493" t="s">
        <v>351</v>
      </c>
      <c r="H50" s="493" t="s">
        <v>283</v>
      </c>
      <c r="I50" s="495">
        <v>24153154</v>
      </c>
      <c r="J50" s="496">
        <v>17123870</v>
      </c>
      <c r="K50" s="496">
        <v>101904</v>
      </c>
      <c r="L50" s="496">
        <v>51504</v>
      </c>
      <c r="M50" s="411">
        <v>5804903</v>
      </c>
      <c r="N50" s="411">
        <v>342477</v>
      </c>
      <c r="O50" s="496">
        <v>780000</v>
      </c>
      <c r="P50" s="497">
        <v>32.386200000000002</v>
      </c>
      <c r="Q50" s="412">
        <v>24.583600000000001</v>
      </c>
      <c r="R50" s="498">
        <v>7.8026000000000009</v>
      </c>
      <c r="S50" s="499">
        <f t="shared" si="2"/>
        <v>0</v>
      </c>
      <c r="T50" s="486">
        <v>0</v>
      </c>
      <c r="U50" s="486">
        <v>0</v>
      </c>
      <c r="V50" s="486">
        <f>SUM(S50:U50)</f>
        <v>0</v>
      </c>
      <c r="W50" s="486">
        <v>0</v>
      </c>
      <c r="X50" s="500">
        <v>0</v>
      </c>
      <c r="Y50" s="486">
        <f>SUM(W50:X50)</f>
        <v>0</v>
      </c>
      <c r="Z50" s="499">
        <f>V50+Y50</f>
        <v>0</v>
      </c>
      <c r="AA50" s="319">
        <f>ROUND((V50+W50)*33.8%,0)</f>
        <v>0</v>
      </c>
      <c r="AB50" s="178">
        <f>ROUND(V50*2%,0)</f>
        <v>0</v>
      </c>
      <c r="AC50" s="486">
        <v>0</v>
      </c>
      <c r="AD50" s="486">
        <v>0</v>
      </c>
      <c r="AE50" s="486">
        <f t="shared" si="3"/>
        <v>0</v>
      </c>
      <c r="AF50" s="486">
        <f t="shared" si="4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ref="AL50:AL54" si="46">AG50+AI50+AJ50</f>
        <v>0</v>
      </c>
      <c r="AM50" s="501">
        <f t="shared" ref="AM50:AM54" si="47">AH50+AK50</f>
        <v>0</v>
      </c>
      <c r="AN50" s="502">
        <f t="shared" si="5"/>
        <v>0</v>
      </c>
      <c r="AO50" s="499">
        <f>I50+AF50</f>
        <v>24153154</v>
      </c>
      <c r="AP50" s="486">
        <f>J50+V50</f>
        <v>17123870</v>
      </c>
      <c r="AQ50" s="486">
        <f>K50+Y50</f>
        <v>101904</v>
      </c>
      <c r="AR50" s="480">
        <f>L50</f>
        <v>51504</v>
      </c>
      <c r="AS50" s="486">
        <f t="shared" ref="AS50:AT54" si="48">M50+AA50</f>
        <v>5804903</v>
      </c>
      <c r="AT50" s="486">
        <f t="shared" si="48"/>
        <v>342477</v>
      </c>
      <c r="AU50" s="486">
        <f>O50+AE50</f>
        <v>780000</v>
      </c>
      <c r="AV50" s="501">
        <f>P50+AN50</f>
        <v>32.386200000000002</v>
      </c>
      <c r="AW50" s="501">
        <f t="shared" ref="AW50:AX54" si="49">Q50+AL50</f>
        <v>24.583600000000001</v>
      </c>
      <c r="AX50" s="502">
        <f t="shared" si="49"/>
        <v>7.8026000000000009</v>
      </c>
    </row>
    <row r="51" spans="1:50" ht="12.95" customHeight="1" x14ac:dyDescent="0.25">
      <c r="A51" s="154">
        <v>10</v>
      </c>
      <c r="B51" s="83">
        <v>4481</v>
      </c>
      <c r="C51" s="83">
        <v>600074722</v>
      </c>
      <c r="D51" s="83">
        <v>70942692</v>
      </c>
      <c r="E51" s="492" t="s">
        <v>352</v>
      </c>
      <c r="F51" s="83">
        <v>3113</v>
      </c>
      <c r="G51" s="493" t="s">
        <v>325</v>
      </c>
      <c r="H51" s="493" t="s">
        <v>284</v>
      </c>
      <c r="I51" s="495">
        <v>1449104</v>
      </c>
      <c r="J51" s="496">
        <v>1060460</v>
      </c>
      <c r="K51" s="496">
        <v>0</v>
      </c>
      <c r="L51" s="496">
        <v>0</v>
      </c>
      <c r="M51" s="411">
        <v>358435</v>
      </c>
      <c r="N51" s="411">
        <v>21209</v>
      </c>
      <c r="O51" s="496">
        <v>9000</v>
      </c>
      <c r="P51" s="497">
        <v>3.27</v>
      </c>
      <c r="Q51" s="412">
        <v>3.27</v>
      </c>
      <c r="R51" s="498">
        <v>0</v>
      </c>
      <c r="S51" s="499">
        <f t="shared" si="2"/>
        <v>0</v>
      </c>
      <c r="T51" s="486">
        <v>0</v>
      </c>
      <c r="U51" s="486">
        <v>0</v>
      </c>
      <c r="V51" s="486">
        <f>SUM(S51:U51)</f>
        <v>0</v>
      </c>
      <c r="W51" s="486">
        <v>0</v>
      </c>
      <c r="X51" s="500">
        <v>0</v>
      </c>
      <c r="Y51" s="486">
        <f>SUM(W51:X51)</f>
        <v>0</v>
      </c>
      <c r="Z51" s="499">
        <f>V51+Y51</f>
        <v>0</v>
      </c>
      <c r="AA51" s="319">
        <f>ROUND((V51+W51)*33.8%,0)</f>
        <v>0</v>
      </c>
      <c r="AB51" s="178">
        <f>ROUND(V51*2%,0)</f>
        <v>0</v>
      </c>
      <c r="AC51" s="486">
        <v>0</v>
      </c>
      <c r="AD51" s="486">
        <v>0</v>
      </c>
      <c r="AE51" s="486">
        <f t="shared" si="3"/>
        <v>0</v>
      </c>
      <c r="AF51" s="486">
        <f t="shared" si="4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46"/>
        <v>0</v>
      </c>
      <c r="AM51" s="501">
        <f t="shared" si="47"/>
        <v>0</v>
      </c>
      <c r="AN51" s="502">
        <f t="shared" si="5"/>
        <v>0</v>
      </c>
      <c r="AO51" s="499">
        <f>I51+AF51</f>
        <v>1449104</v>
      </c>
      <c r="AP51" s="486">
        <f>J51+V51</f>
        <v>1060460</v>
      </c>
      <c r="AQ51" s="486">
        <f>K51+Y51</f>
        <v>0</v>
      </c>
      <c r="AR51" s="480">
        <f>L51</f>
        <v>0</v>
      </c>
      <c r="AS51" s="486">
        <f t="shared" si="48"/>
        <v>358435</v>
      </c>
      <c r="AT51" s="486">
        <f t="shared" si="48"/>
        <v>21209</v>
      </c>
      <c r="AU51" s="486">
        <f>O51+AE51</f>
        <v>9000</v>
      </c>
      <c r="AV51" s="501">
        <f>P51+AN51</f>
        <v>3.27</v>
      </c>
      <c r="AW51" s="501">
        <f t="shared" si="49"/>
        <v>3.27</v>
      </c>
      <c r="AX51" s="502">
        <f t="shared" si="49"/>
        <v>0</v>
      </c>
    </row>
    <row r="52" spans="1:50" ht="12.95" customHeight="1" x14ac:dyDescent="0.25">
      <c r="A52" s="154">
        <v>10</v>
      </c>
      <c r="B52" s="83">
        <v>4481</v>
      </c>
      <c r="C52" s="83">
        <v>600074722</v>
      </c>
      <c r="D52" s="83">
        <v>70942692</v>
      </c>
      <c r="E52" s="492" t="s">
        <v>352</v>
      </c>
      <c r="F52" s="83">
        <v>3141</v>
      </c>
      <c r="G52" s="493" t="s">
        <v>321</v>
      </c>
      <c r="H52" s="493" t="s">
        <v>284</v>
      </c>
      <c r="I52" s="495">
        <v>1489667</v>
      </c>
      <c r="J52" s="496">
        <v>1087176</v>
      </c>
      <c r="K52" s="496">
        <v>0</v>
      </c>
      <c r="L52" s="496">
        <v>0</v>
      </c>
      <c r="M52" s="411">
        <v>367465</v>
      </c>
      <c r="N52" s="411">
        <v>21744</v>
      </c>
      <c r="O52" s="496">
        <v>13282</v>
      </c>
      <c r="P52" s="497">
        <v>3.6999999999999997</v>
      </c>
      <c r="Q52" s="412">
        <v>0</v>
      </c>
      <c r="R52" s="498">
        <v>3.6999999999999997</v>
      </c>
      <c r="S52" s="499">
        <f t="shared" si="2"/>
        <v>0</v>
      </c>
      <c r="T52" s="486">
        <v>0</v>
      </c>
      <c r="U52" s="486">
        <v>0</v>
      </c>
      <c r="V52" s="486">
        <f>SUM(S52:U52)</f>
        <v>0</v>
      </c>
      <c r="W52" s="486">
        <v>0</v>
      </c>
      <c r="X52" s="500">
        <v>0</v>
      </c>
      <c r="Y52" s="486">
        <f>SUM(W52:X52)</f>
        <v>0</v>
      </c>
      <c r="Z52" s="499">
        <f>V52+Y52</f>
        <v>0</v>
      </c>
      <c r="AA52" s="319">
        <f>ROUND((V52+W52)*33.8%,0)</f>
        <v>0</v>
      </c>
      <c r="AB52" s="178">
        <f>ROUND(V52*2%,0)</f>
        <v>0</v>
      </c>
      <c r="AC52" s="486">
        <v>0</v>
      </c>
      <c r="AD52" s="486">
        <v>0</v>
      </c>
      <c r="AE52" s="486">
        <f t="shared" si="3"/>
        <v>0</v>
      </c>
      <c r="AF52" s="486">
        <f t="shared" si="4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46"/>
        <v>0</v>
      </c>
      <c r="AM52" s="501">
        <f t="shared" si="47"/>
        <v>0</v>
      </c>
      <c r="AN52" s="502">
        <f t="shared" si="5"/>
        <v>0</v>
      </c>
      <c r="AO52" s="499">
        <f>I52+AF52</f>
        <v>1489667</v>
      </c>
      <c r="AP52" s="486">
        <f>J52+V52</f>
        <v>1087176</v>
      </c>
      <c r="AQ52" s="486">
        <f>K52+Y52</f>
        <v>0</v>
      </c>
      <c r="AR52" s="480">
        <f>L52</f>
        <v>0</v>
      </c>
      <c r="AS52" s="486">
        <f t="shared" si="48"/>
        <v>367465</v>
      </c>
      <c r="AT52" s="486">
        <f t="shared" si="48"/>
        <v>21744</v>
      </c>
      <c r="AU52" s="486">
        <f>O52+AE52</f>
        <v>13282</v>
      </c>
      <c r="AV52" s="501">
        <f>P52+AN52</f>
        <v>3.6999999999999997</v>
      </c>
      <c r="AW52" s="501">
        <f t="shared" si="49"/>
        <v>0</v>
      </c>
      <c r="AX52" s="502">
        <f t="shared" si="49"/>
        <v>3.6999999999999997</v>
      </c>
    </row>
    <row r="53" spans="1:50" ht="12.95" customHeight="1" x14ac:dyDescent="0.25">
      <c r="A53" s="154">
        <v>10</v>
      </c>
      <c r="B53" s="83">
        <v>4481</v>
      </c>
      <c r="C53" s="83">
        <v>600074722</v>
      </c>
      <c r="D53" s="83">
        <v>70942692</v>
      </c>
      <c r="E53" s="492" t="s">
        <v>352</v>
      </c>
      <c r="F53" s="83">
        <v>3143</v>
      </c>
      <c r="G53" s="493" t="s">
        <v>634</v>
      </c>
      <c r="H53" s="493" t="s">
        <v>283</v>
      </c>
      <c r="I53" s="495">
        <v>1576754</v>
      </c>
      <c r="J53" s="496">
        <v>1161085</v>
      </c>
      <c r="K53" s="496">
        <v>0</v>
      </c>
      <c r="L53" s="496">
        <v>0</v>
      </c>
      <c r="M53" s="411">
        <v>392447</v>
      </c>
      <c r="N53" s="411">
        <v>23222</v>
      </c>
      <c r="O53" s="496">
        <v>0</v>
      </c>
      <c r="P53" s="497">
        <v>2.5356999999999998</v>
      </c>
      <c r="Q53" s="412">
        <v>2.5356999999999998</v>
      </c>
      <c r="R53" s="498">
        <v>0</v>
      </c>
      <c r="S53" s="499">
        <f t="shared" si="2"/>
        <v>0</v>
      </c>
      <c r="T53" s="486">
        <v>0</v>
      </c>
      <c r="U53" s="486">
        <v>0</v>
      </c>
      <c r="V53" s="486">
        <f>SUM(S53:U53)</f>
        <v>0</v>
      </c>
      <c r="W53" s="486">
        <v>0</v>
      </c>
      <c r="X53" s="500">
        <v>0</v>
      </c>
      <c r="Y53" s="486">
        <f>SUM(W53:X53)</f>
        <v>0</v>
      </c>
      <c r="Z53" s="499">
        <f>V53+Y53</f>
        <v>0</v>
      </c>
      <c r="AA53" s="319">
        <f>ROUND((V53+W53)*33.8%,0)</f>
        <v>0</v>
      </c>
      <c r="AB53" s="178">
        <f>ROUND(V53*2%,0)</f>
        <v>0</v>
      </c>
      <c r="AC53" s="486">
        <v>0</v>
      </c>
      <c r="AD53" s="486">
        <v>0</v>
      </c>
      <c r="AE53" s="486">
        <f t="shared" si="3"/>
        <v>0</v>
      </c>
      <c r="AF53" s="486">
        <f t="shared" si="4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si="46"/>
        <v>0</v>
      </c>
      <c r="AM53" s="501">
        <f t="shared" si="47"/>
        <v>0</v>
      </c>
      <c r="AN53" s="502">
        <f t="shared" si="5"/>
        <v>0</v>
      </c>
      <c r="AO53" s="499">
        <f>I53+AF53</f>
        <v>1576754</v>
      </c>
      <c r="AP53" s="486">
        <f>J53+V53</f>
        <v>1161085</v>
      </c>
      <c r="AQ53" s="486">
        <f>K53+Y53</f>
        <v>0</v>
      </c>
      <c r="AR53" s="480">
        <f>L53</f>
        <v>0</v>
      </c>
      <c r="AS53" s="486">
        <f t="shared" si="48"/>
        <v>392447</v>
      </c>
      <c r="AT53" s="486">
        <f t="shared" si="48"/>
        <v>23222</v>
      </c>
      <c r="AU53" s="486">
        <f>O53+AE53</f>
        <v>0</v>
      </c>
      <c r="AV53" s="501">
        <f>P53+AN53</f>
        <v>2.5356999999999998</v>
      </c>
      <c r="AW53" s="501">
        <f t="shared" si="49"/>
        <v>2.5356999999999998</v>
      </c>
      <c r="AX53" s="502">
        <f t="shared" si="49"/>
        <v>0</v>
      </c>
    </row>
    <row r="54" spans="1:50" ht="12.95" customHeight="1" x14ac:dyDescent="0.25">
      <c r="A54" s="154">
        <v>10</v>
      </c>
      <c r="B54" s="83">
        <v>4481</v>
      </c>
      <c r="C54" s="83">
        <v>600074722</v>
      </c>
      <c r="D54" s="83">
        <v>70942692</v>
      </c>
      <c r="E54" s="492" t="s">
        <v>352</v>
      </c>
      <c r="F54" s="83">
        <v>3143</v>
      </c>
      <c r="G54" s="493" t="s">
        <v>635</v>
      </c>
      <c r="H54" s="493" t="s">
        <v>284</v>
      </c>
      <c r="I54" s="495">
        <v>53368</v>
      </c>
      <c r="J54" s="496">
        <v>37620</v>
      </c>
      <c r="K54" s="496">
        <v>0</v>
      </c>
      <c r="L54" s="496">
        <v>0</v>
      </c>
      <c r="M54" s="411">
        <v>12716</v>
      </c>
      <c r="N54" s="411">
        <v>752</v>
      </c>
      <c r="O54" s="496">
        <v>2280</v>
      </c>
      <c r="P54" s="497">
        <v>0.16</v>
      </c>
      <c r="Q54" s="412">
        <v>0</v>
      </c>
      <c r="R54" s="498">
        <v>0.16</v>
      </c>
      <c r="S54" s="499">
        <f t="shared" si="2"/>
        <v>0</v>
      </c>
      <c r="T54" s="486">
        <v>0</v>
      </c>
      <c r="U54" s="486">
        <v>0</v>
      </c>
      <c r="V54" s="486">
        <f>SUM(S54:U54)</f>
        <v>0</v>
      </c>
      <c r="W54" s="486">
        <v>0</v>
      </c>
      <c r="X54" s="500">
        <v>0</v>
      </c>
      <c r="Y54" s="486">
        <f>SUM(W54:X54)</f>
        <v>0</v>
      </c>
      <c r="Z54" s="499">
        <f>V54+Y54</f>
        <v>0</v>
      </c>
      <c r="AA54" s="319">
        <f>ROUND((V54+W54)*33.8%,0)</f>
        <v>0</v>
      </c>
      <c r="AB54" s="178">
        <f>ROUND(V54*2%,0)</f>
        <v>0</v>
      </c>
      <c r="AC54" s="486">
        <v>0</v>
      </c>
      <c r="AD54" s="486">
        <v>0</v>
      </c>
      <c r="AE54" s="486">
        <f t="shared" si="3"/>
        <v>0</v>
      </c>
      <c r="AF54" s="486">
        <f t="shared" si="4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46"/>
        <v>0</v>
      </c>
      <c r="AM54" s="501">
        <f t="shared" si="47"/>
        <v>0</v>
      </c>
      <c r="AN54" s="502">
        <f t="shared" si="5"/>
        <v>0</v>
      </c>
      <c r="AO54" s="499">
        <f>I54+AF54</f>
        <v>53368</v>
      </c>
      <c r="AP54" s="486">
        <f>J54+V54</f>
        <v>37620</v>
      </c>
      <c r="AQ54" s="486">
        <f>K54+Y54</f>
        <v>0</v>
      </c>
      <c r="AR54" s="480">
        <f>L54</f>
        <v>0</v>
      </c>
      <c r="AS54" s="486">
        <f t="shared" si="48"/>
        <v>12716</v>
      </c>
      <c r="AT54" s="486">
        <f t="shared" si="48"/>
        <v>752</v>
      </c>
      <c r="AU54" s="486">
        <f>O54+AE54</f>
        <v>2280</v>
      </c>
      <c r="AV54" s="501">
        <f>P54+AN54</f>
        <v>0.16</v>
      </c>
      <c r="AW54" s="501">
        <f t="shared" si="49"/>
        <v>0</v>
      </c>
      <c r="AX54" s="502">
        <f t="shared" si="49"/>
        <v>0.16</v>
      </c>
    </row>
    <row r="55" spans="1:50" ht="12.95" customHeight="1" x14ac:dyDescent="0.25">
      <c r="A55" s="155">
        <v>10</v>
      </c>
      <c r="B55" s="85">
        <v>4481</v>
      </c>
      <c r="C55" s="85">
        <v>600074722</v>
      </c>
      <c r="D55" s="85">
        <v>70942692</v>
      </c>
      <c r="E55" s="89" t="s">
        <v>353</v>
      </c>
      <c r="F55" s="92"/>
      <c r="G55" s="93"/>
      <c r="H55" s="93"/>
      <c r="I55" s="147">
        <v>28722047</v>
      </c>
      <c r="J55" s="91">
        <v>20470211</v>
      </c>
      <c r="K55" s="91">
        <v>101904</v>
      </c>
      <c r="L55" s="91">
        <v>51504</v>
      </c>
      <c r="M55" s="91">
        <v>6935966</v>
      </c>
      <c r="N55" s="91">
        <v>409404</v>
      </c>
      <c r="O55" s="91">
        <v>804562</v>
      </c>
      <c r="P55" s="94">
        <v>42.051900000000003</v>
      </c>
      <c r="Q55" s="94">
        <v>30.389299999999999</v>
      </c>
      <c r="R55" s="275">
        <v>11.662600000000001</v>
      </c>
      <c r="S55" s="142">
        <f t="shared" ref="S55:AN55" si="50">SUM(S50:S54)</f>
        <v>0</v>
      </c>
      <c r="T55" s="91">
        <f t="shared" si="50"/>
        <v>0</v>
      </c>
      <c r="U55" s="91">
        <f t="shared" si="50"/>
        <v>0</v>
      </c>
      <c r="V55" s="91">
        <f t="shared" si="50"/>
        <v>0</v>
      </c>
      <c r="W55" s="91">
        <f t="shared" si="50"/>
        <v>0</v>
      </c>
      <c r="X55" s="442">
        <f t="shared" si="50"/>
        <v>0</v>
      </c>
      <c r="Y55" s="91">
        <f t="shared" si="50"/>
        <v>0</v>
      </c>
      <c r="Z55" s="142">
        <f t="shared" si="50"/>
        <v>0</v>
      </c>
      <c r="AA55" s="91">
        <f t="shared" si="50"/>
        <v>0</v>
      </c>
      <c r="AB55" s="91">
        <f t="shared" si="50"/>
        <v>0</v>
      </c>
      <c r="AC55" s="91">
        <f t="shared" si="50"/>
        <v>0</v>
      </c>
      <c r="AD55" s="91">
        <f t="shared" si="50"/>
        <v>0</v>
      </c>
      <c r="AE55" s="91">
        <f t="shared" si="50"/>
        <v>0</v>
      </c>
      <c r="AF55" s="91">
        <f t="shared" si="50"/>
        <v>0</v>
      </c>
      <c r="AG55" s="94">
        <f t="shared" si="50"/>
        <v>0</v>
      </c>
      <c r="AH55" s="94">
        <f t="shared" si="50"/>
        <v>0</v>
      </c>
      <c r="AI55" s="94">
        <f t="shared" si="50"/>
        <v>0</v>
      </c>
      <c r="AJ55" s="94">
        <f t="shared" si="50"/>
        <v>0</v>
      </c>
      <c r="AK55" s="94">
        <f t="shared" si="50"/>
        <v>0</v>
      </c>
      <c r="AL55" s="94">
        <f t="shared" si="50"/>
        <v>0</v>
      </c>
      <c r="AM55" s="94">
        <f t="shared" si="50"/>
        <v>0</v>
      </c>
      <c r="AN55" s="275">
        <f t="shared" si="50"/>
        <v>0</v>
      </c>
      <c r="AO55" s="142">
        <f t="shared" ref="AO55:AX55" si="51">SUM(AO50:AO54)</f>
        <v>28722047</v>
      </c>
      <c r="AP55" s="91">
        <f t="shared" si="51"/>
        <v>20470211</v>
      </c>
      <c r="AQ55" s="91">
        <f t="shared" si="51"/>
        <v>101904</v>
      </c>
      <c r="AR55" s="91">
        <f t="shared" si="51"/>
        <v>51504</v>
      </c>
      <c r="AS55" s="91">
        <f t="shared" si="51"/>
        <v>6935966</v>
      </c>
      <c r="AT55" s="91">
        <f t="shared" si="51"/>
        <v>409404</v>
      </c>
      <c r="AU55" s="91">
        <f t="shared" si="51"/>
        <v>804562</v>
      </c>
      <c r="AV55" s="94">
        <f t="shared" si="51"/>
        <v>42.051900000000003</v>
      </c>
      <c r="AW55" s="94">
        <f t="shared" si="51"/>
        <v>30.389299999999999</v>
      </c>
      <c r="AX55" s="275">
        <f t="shared" si="51"/>
        <v>11.662600000000001</v>
      </c>
    </row>
    <row r="56" spans="1:50" ht="12.95" customHeight="1" x14ac:dyDescent="0.25">
      <c r="A56" s="154">
        <v>11</v>
      </c>
      <c r="B56" s="83">
        <v>4469</v>
      </c>
      <c r="C56" s="83">
        <v>600075079</v>
      </c>
      <c r="D56" s="83">
        <v>70695334</v>
      </c>
      <c r="E56" s="492" t="s">
        <v>354</v>
      </c>
      <c r="F56" s="83">
        <v>3231</v>
      </c>
      <c r="G56" s="493" t="s">
        <v>424</v>
      </c>
      <c r="H56" s="493" t="s">
        <v>283</v>
      </c>
      <c r="I56" s="495">
        <v>3032626</v>
      </c>
      <c r="J56" s="496">
        <v>2225553</v>
      </c>
      <c r="K56" s="496">
        <v>0</v>
      </c>
      <c r="L56" s="496">
        <v>0</v>
      </c>
      <c r="M56" s="411">
        <v>752237</v>
      </c>
      <c r="N56" s="411">
        <v>44511</v>
      </c>
      <c r="O56" s="496">
        <v>10325</v>
      </c>
      <c r="P56" s="497">
        <v>4.3783000000000003</v>
      </c>
      <c r="Q56" s="412">
        <v>3.8812000000000002</v>
      </c>
      <c r="R56" s="498">
        <v>0.49709999999999999</v>
      </c>
      <c r="S56" s="499">
        <f t="shared" si="2"/>
        <v>0</v>
      </c>
      <c r="T56" s="486">
        <v>0</v>
      </c>
      <c r="U56" s="486">
        <v>0</v>
      </c>
      <c r="V56" s="486">
        <f>SUM(S56:U56)</f>
        <v>0</v>
      </c>
      <c r="W56" s="486">
        <v>0</v>
      </c>
      <c r="X56" s="500">
        <v>0</v>
      </c>
      <c r="Y56" s="486">
        <f>SUM(W56:X56)</f>
        <v>0</v>
      </c>
      <c r="Z56" s="499">
        <f>V56+Y56</f>
        <v>0</v>
      </c>
      <c r="AA56" s="319">
        <f>ROUND((V56+W56)*33.8%,0)</f>
        <v>0</v>
      </c>
      <c r="AB56" s="178">
        <f>ROUND(V56*2%,0)</f>
        <v>0</v>
      </c>
      <c r="AC56" s="486">
        <v>0</v>
      </c>
      <c r="AD56" s="486">
        <v>0</v>
      </c>
      <c r="AE56" s="486">
        <f t="shared" si="3"/>
        <v>0</v>
      </c>
      <c r="AF56" s="486">
        <f t="shared" si="4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>AG56+AI56+AJ56</f>
        <v>0</v>
      </c>
      <c r="AM56" s="501">
        <f>AH56+AK56</f>
        <v>0</v>
      </c>
      <c r="AN56" s="502">
        <f t="shared" si="5"/>
        <v>0</v>
      </c>
      <c r="AO56" s="499">
        <f>I56+AF56</f>
        <v>3032626</v>
      </c>
      <c r="AP56" s="486">
        <f>J56+V56</f>
        <v>2225553</v>
      </c>
      <c r="AQ56" s="486">
        <f>K56+Y56</f>
        <v>0</v>
      </c>
      <c r="AR56" s="480">
        <f>L56</f>
        <v>0</v>
      </c>
      <c r="AS56" s="486">
        <f>M56+AA56</f>
        <v>752237</v>
      </c>
      <c r="AT56" s="486">
        <f>N56+AB56</f>
        <v>44511</v>
      </c>
      <c r="AU56" s="486">
        <f>O56+AE56</f>
        <v>10325</v>
      </c>
      <c r="AV56" s="501">
        <f>P56+AN56</f>
        <v>4.3783000000000003</v>
      </c>
      <c r="AW56" s="501">
        <f>Q56+AL56</f>
        <v>3.8812000000000002</v>
      </c>
      <c r="AX56" s="502">
        <f>R56+AM56</f>
        <v>0.49709999999999999</v>
      </c>
    </row>
    <row r="57" spans="1:50" ht="12.95" customHeight="1" x14ac:dyDescent="0.25">
      <c r="A57" s="155">
        <v>11</v>
      </c>
      <c r="B57" s="85">
        <v>4469</v>
      </c>
      <c r="C57" s="85">
        <v>600075079</v>
      </c>
      <c r="D57" s="85">
        <v>70695334</v>
      </c>
      <c r="E57" s="89" t="s">
        <v>355</v>
      </c>
      <c r="F57" s="92"/>
      <c r="G57" s="93"/>
      <c r="H57" s="93"/>
      <c r="I57" s="147">
        <v>3032626</v>
      </c>
      <c r="J57" s="91">
        <v>2225553</v>
      </c>
      <c r="K57" s="91">
        <v>0</v>
      </c>
      <c r="L57" s="91">
        <v>0</v>
      </c>
      <c r="M57" s="91">
        <v>752237</v>
      </c>
      <c r="N57" s="91">
        <v>44511</v>
      </c>
      <c r="O57" s="91">
        <v>10325</v>
      </c>
      <c r="P57" s="94">
        <v>4.3783000000000003</v>
      </c>
      <c r="Q57" s="94">
        <v>3.8812000000000002</v>
      </c>
      <c r="R57" s="275">
        <v>0.49709999999999999</v>
      </c>
      <c r="S57" s="142">
        <f t="shared" ref="S57:AN57" si="52">SUM(S56)</f>
        <v>0</v>
      </c>
      <c r="T57" s="91">
        <f t="shared" si="52"/>
        <v>0</v>
      </c>
      <c r="U57" s="91">
        <f t="shared" si="52"/>
        <v>0</v>
      </c>
      <c r="V57" s="91">
        <f t="shared" si="52"/>
        <v>0</v>
      </c>
      <c r="W57" s="91">
        <f t="shared" si="52"/>
        <v>0</v>
      </c>
      <c r="X57" s="442">
        <f t="shared" si="52"/>
        <v>0</v>
      </c>
      <c r="Y57" s="91">
        <f t="shared" si="52"/>
        <v>0</v>
      </c>
      <c r="Z57" s="142">
        <f t="shared" si="52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91">
        <f t="shared" si="52"/>
        <v>0</v>
      </c>
      <c r="AE57" s="91">
        <f t="shared" si="52"/>
        <v>0</v>
      </c>
      <c r="AF57" s="91">
        <f t="shared" si="52"/>
        <v>0</v>
      </c>
      <c r="AG57" s="94">
        <f t="shared" si="52"/>
        <v>0</v>
      </c>
      <c r="AH57" s="94">
        <f t="shared" si="52"/>
        <v>0</v>
      </c>
      <c r="AI57" s="94">
        <f t="shared" si="52"/>
        <v>0</v>
      </c>
      <c r="AJ57" s="94">
        <f t="shared" si="52"/>
        <v>0</v>
      </c>
      <c r="AK57" s="94">
        <f t="shared" si="52"/>
        <v>0</v>
      </c>
      <c r="AL57" s="94">
        <f t="shared" si="52"/>
        <v>0</v>
      </c>
      <c r="AM57" s="94">
        <f t="shared" si="52"/>
        <v>0</v>
      </c>
      <c r="AN57" s="275">
        <f t="shared" si="52"/>
        <v>0</v>
      </c>
      <c r="AO57" s="142">
        <f t="shared" ref="AO57:AX57" si="53">SUM(AO56)</f>
        <v>3032626</v>
      </c>
      <c r="AP57" s="91">
        <f t="shared" si="53"/>
        <v>2225553</v>
      </c>
      <c r="AQ57" s="91">
        <f t="shared" si="53"/>
        <v>0</v>
      </c>
      <c r="AR57" s="91">
        <f t="shared" si="53"/>
        <v>0</v>
      </c>
      <c r="AS57" s="91">
        <f t="shared" si="53"/>
        <v>752237</v>
      </c>
      <c r="AT57" s="91">
        <f t="shared" si="53"/>
        <v>44511</v>
      </c>
      <c r="AU57" s="91">
        <f t="shared" si="53"/>
        <v>10325</v>
      </c>
      <c r="AV57" s="94">
        <f t="shared" si="53"/>
        <v>4.3783000000000003</v>
      </c>
      <c r="AW57" s="94">
        <f t="shared" si="53"/>
        <v>3.8812000000000002</v>
      </c>
      <c r="AX57" s="275">
        <f t="shared" si="53"/>
        <v>0.49709999999999999</v>
      </c>
    </row>
    <row r="58" spans="1:50" ht="12.95" customHeight="1" x14ac:dyDescent="0.25">
      <c r="A58" s="154">
        <v>12</v>
      </c>
      <c r="B58" s="83">
        <v>4451</v>
      </c>
      <c r="C58" s="83">
        <v>600074927</v>
      </c>
      <c r="D58" s="83">
        <v>49864653</v>
      </c>
      <c r="E58" s="492" t="s">
        <v>356</v>
      </c>
      <c r="F58" s="83">
        <v>3111</v>
      </c>
      <c r="G58" s="493" t="s">
        <v>331</v>
      </c>
      <c r="H58" s="493" t="s">
        <v>283</v>
      </c>
      <c r="I58" s="495">
        <v>7557188</v>
      </c>
      <c r="J58" s="496">
        <v>5487217</v>
      </c>
      <c r="K58" s="496">
        <v>18720</v>
      </c>
      <c r="L58" s="496">
        <v>0</v>
      </c>
      <c r="M58" s="411">
        <v>1861007</v>
      </c>
      <c r="N58" s="411">
        <v>109744</v>
      </c>
      <c r="O58" s="496">
        <v>80500</v>
      </c>
      <c r="P58" s="497">
        <v>12.699800000000002</v>
      </c>
      <c r="Q58" s="412">
        <v>10.145200000000001</v>
      </c>
      <c r="R58" s="498">
        <v>2.5546000000000002</v>
      </c>
      <c r="S58" s="499">
        <f t="shared" si="2"/>
        <v>0</v>
      </c>
      <c r="T58" s="486">
        <v>0</v>
      </c>
      <c r="U58" s="486">
        <v>0</v>
      </c>
      <c r="V58" s="486">
        <f t="shared" ref="V58:V63" si="54">SUM(S58:U58)</f>
        <v>0</v>
      </c>
      <c r="W58" s="486">
        <v>0</v>
      </c>
      <c r="X58" s="500">
        <v>0</v>
      </c>
      <c r="Y58" s="486">
        <f t="shared" ref="Y58:Y63" si="55">SUM(W58:X58)</f>
        <v>0</v>
      </c>
      <c r="Z58" s="499">
        <f t="shared" ref="Z58:Z63" si="56">V58+Y58</f>
        <v>0</v>
      </c>
      <c r="AA58" s="319">
        <f t="shared" ref="AA58:AA63" si="57">ROUND((V58+W58)*33.8%,0)</f>
        <v>0</v>
      </c>
      <c r="AB58" s="178">
        <f t="shared" ref="AB58:AB63" si="58">ROUND(V58*2%,0)</f>
        <v>0</v>
      </c>
      <c r="AC58" s="486">
        <v>0</v>
      </c>
      <c r="AD58" s="486">
        <v>0</v>
      </c>
      <c r="AE58" s="486">
        <f t="shared" si="3"/>
        <v>0</v>
      </c>
      <c r="AF58" s="486">
        <f t="shared" si="4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ref="AL58:AL63" si="59">AG58+AI58+AJ58</f>
        <v>0</v>
      </c>
      <c r="AM58" s="501">
        <f t="shared" ref="AM58:AM63" si="60">AH58+AK58</f>
        <v>0</v>
      </c>
      <c r="AN58" s="502">
        <f t="shared" si="5"/>
        <v>0</v>
      </c>
      <c r="AO58" s="499">
        <f t="shared" ref="AO58:AO63" si="61">I58+AF58</f>
        <v>7557188</v>
      </c>
      <c r="AP58" s="486">
        <f t="shared" ref="AP58:AP63" si="62">J58+V58</f>
        <v>5487217</v>
      </c>
      <c r="AQ58" s="486">
        <f t="shared" ref="AQ58:AQ63" si="63">K58+Y58</f>
        <v>18720</v>
      </c>
      <c r="AR58" s="480">
        <f t="shared" ref="AR58:AR63" si="64">L58</f>
        <v>0</v>
      </c>
      <c r="AS58" s="486">
        <f t="shared" ref="AS58:AT63" si="65">M58+AA58</f>
        <v>1861007</v>
      </c>
      <c r="AT58" s="486">
        <f t="shared" si="65"/>
        <v>109744</v>
      </c>
      <c r="AU58" s="486">
        <f t="shared" ref="AU58:AU63" si="66">O58+AE58</f>
        <v>80500</v>
      </c>
      <c r="AV58" s="501">
        <f t="shared" ref="AV58:AV63" si="67">P58+AN58</f>
        <v>12.699800000000002</v>
      </c>
      <c r="AW58" s="501">
        <f t="shared" ref="AW58:AX63" si="68">Q58+AL58</f>
        <v>10.145200000000001</v>
      </c>
      <c r="AX58" s="502">
        <f t="shared" si="68"/>
        <v>2.5546000000000002</v>
      </c>
    </row>
    <row r="59" spans="1:50" ht="12.95" customHeight="1" x14ac:dyDescent="0.25">
      <c r="A59" s="154">
        <v>12</v>
      </c>
      <c r="B59" s="83">
        <v>4451</v>
      </c>
      <c r="C59" s="83">
        <v>600074927</v>
      </c>
      <c r="D59" s="83">
        <v>49864653</v>
      </c>
      <c r="E59" s="492" t="s">
        <v>356</v>
      </c>
      <c r="F59" s="83">
        <v>3113</v>
      </c>
      <c r="G59" s="493" t="s">
        <v>335</v>
      </c>
      <c r="H59" s="493" t="s">
        <v>283</v>
      </c>
      <c r="I59" s="495">
        <v>25272354</v>
      </c>
      <c r="J59" s="496">
        <v>17859805</v>
      </c>
      <c r="K59" s="496">
        <v>161658</v>
      </c>
      <c r="L59" s="496">
        <v>54908</v>
      </c>
      <c r="M59" s="411">
        <v>6072696</v>
      </c>
      <c r="N59" s="411">
        <v>357195</v>
      </c>
      <c r="O59" s="496">
        <v>821000</v>
      </c>
      <c r="P59" s="497">
        <v>35.479799999999997</v>
      </c>
      <c r="Q59" s="412">
        <v>26.400099999999998</v>
      </c>
      <c r="R59" s="498">
        <v>9.079699999999999</v>
      </c>
      <c r="S59" s="499">
        <f t="shared" si="2"/>
        <v>0</v>
      </c>
      <c r="T59" s="486">
        <v>0</v>
      </c>
      <c r="U59" s="486">
        <v>0</v>
      </c>
      <c r="V59" s="486">
        <f t="shared" si="54"/>
        <v>0</v>
      </c>
      <c r="W59" s="486">
        <v>0</v>
      </c>
      <c r="X59" s="500">
        <v>0</v>
      </c>
      <c r="Y59" s="486">
        <f t="shared" si="55"/>
        <v>0</v>
      </c>
      <c r="Z59" s="499">
        <f t="shared" si="56"/>
        <v>0</v>
      </c>
      <c r="AA59" s="319">
        <f t="shared" si="57"/>
        <v>0</v>
      </c>
      <c r="AB59" s="178">
        <f t="shared" si="58"/>
        <v>0</v>
      </c>
      <c r="AC59" s="486">
        <v>0</v>
      </c>
      <c r="AD59" s="486">
        <v>0</v>
      </c>
      <c r="AE59" s="486">
        <f t="shared" si="3"/>
        <v>0</v>
      </c>
      <c r="AF59" s="486">
        <f t="shared" si="4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59"/>
        <v>0</v>
      </c>
      <c r="AM59" s="501">
        <f t="shared" si="60"/>
        <v>0</v>
      </c>
      <c r="AN59" s="502">
        <f t="shared" si="5"/>
        <v>0</v>
      </c>
      <c r="AO59" s="499">
        <f t="shared" si="61"/>
        <v>25272354</v>
      </c>
      <c r="AP59" s="486">
        <f t="shared" si="62"/>
        <v>17859805</v>
      </c>
      <c r="AQ59" s="486">
        <f t="shared" si="63"/>
        <v>161658</v>
      </c>
      <c r="AR59" s="480">
        <f t="shared" si="64"/>
        <v>54908</v>
      </c>
      <c r="AS59" s="486">
        <f t="shared" si="65"/>
        <v>6072696</v>
      </c>
      <c r="AT59" s="486">
        <f t="shared" si="65"/>
        <v>357195</v>
      </c>
      <c r="AU59" s="486">
        <f t="shared" si="66"/>
        <v>821000</v>
      </c>
      <c r="AV59" s="501">
        <f t="shared" si="67"/>
        <v>35.479799999999997</v>
      </c>
      <c r="AW59" s="501">
        <f t="shared" si="68"/>
        <v>26.400099999999998</v>
      </c>
      <c r="AX59" s="502">
        <f t="shared" si="68"/>
        <v>9.079699999999999</v>
      </c>
    </row>
    <row r="60" spans="1:50" ht="12.95" customHeight="1" x14ac:dyDescent="0.25">
      <c r="A60" s="154">
        <v>12</v>
      </c>
      <c r="B60" s="83">
        <v>4451</v>
      </c>
      <c r="C60" s="83">
        <v>600074927</v>
      </c>
      <c r="D60" s="83">
        <v>49864653</v>
      </c>
      <c r="E60" s="492" t="s">
        <v>356</v>
      </c>
      <c r="F60" s="83">
        <v>3113</v>
      </c>
      <c r="G60" s="493" t="s">
        <v>325</v>
      </c>
      <c r="H60" s="493" t="s">
        <v>284</v>
      </c>
      <c r="I60" s="495">
        <v>3305860</v>
      </c>
      <c r="J60" s="496">
        <v>2431414</v>
      </c>
      <c r="K60" s="496">
        <v>0</v>
      </c>
      <c r="L60" s="496">
        <v>0</v>
      </c>
      <c r="M60" s="411">
        <v>821818</v>
      </c>
      <c r="N60" s="411">
        <v>48628</v>
      </c>
      <c r="O60" s="496">
        <v>4000</v>
      </c>
      <c r="P60" s="497">
        <v>8.39</v>
      </c>
      <c r="Q60" s="412">
        <v>8.39</v>
      </c>
      <c r="R60" s="498">
        <v>0</v>
      </c>
      <c r="S60" s="499">
        <f t="shared" si="2"/>
        <v>0</v>
      </c>
      <c r="T60" s="486">
        <v>0</v>
      </c>
      <c r="U60" s="486">
        <v>0</v>
      </c>
      <c r="V60" s="486">
        <f t="shared" si="54"/>
        <v>0</v>
      </c>
      <c r="W60" s="486">
        <v>0</v>
      </c>
      <c r="X60" s="500">
        <v>0</v>
      </c>
      <c r="Y60" s="486">
        <f t="shared" si="55"/>
        <v>0</v>
      </c>
      <c r="Z60" s="499">
        <f t="shared" si="56"/>
        <v>0</v>
      </c>
      <c r="AA60" s="319">
        <f t="shared" si="57"/>
        <v>0</v>
      </c>
      <c r="AB60" s="178">
        <f t="shared" si="58"/>
        <v>0</v>
      </c>
      <c r="AC60" s="486">
        <v>0</v>
      </c>
      <c r="AD60" s="486">
        <v>0</v>
      </c>
      <c r="AE60" s="486">
        <f t="shared" si="3"/>
        <v>0</v>
      </c>
      <c r="AF60" s="486">
        <f t="shared" si="4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59"/>
        <v>0</v>
      </c>
      <c r="AM60" s="501">
        <f t="shared" si="60"/>
        <v>0</v>
      </c>
      <c r="AN60" s="502">
        <f t="shared" si="5"/>
        <v>0</v>
      </c>
      <c r="AO60" s="499">
        <f t="shared" si="61"/>
        <v>3305860</v>
      </c>
      <c r="AP60" s="486">
        <f t="shared" si="62"/>
        <v>2431414</v>
      </c>
      <c r="AQ60" s="486">
        <f t="shared" si="63"/>
        <v>0</v>
      </c>
      <c r="AR60" s="480">
        <f t="shared" si="64"/>
        <v>0</v>
      </c>
      <c r="AS60" s="486">
        <f t="shared" si="65"/>
        <v>821818</v>
      </c>
      <c r="AT60" s="486">
        <f t="shared" si="65"/>
        <v>48628</v>
      </c>
      <c r="AU60" s="486">
        <f t="shared" si="66"/>
        <v>4000</v>
      </c>
      <c r="AV60" s="501">
        <f t="shared" si="67"/>
        <v>8.39</v>
      </c>
      <c r="AW60" s="501">
        <f t="shared" si="68"/>
        <v>8.39</v>
      </c>
      <c r="AX60" s="502">
        <f t="shared" si="68"/>
        <v>0</v>
      </c>
    </row>
    <row r="61" spans="1:50" ht="12.95" customHeight="1" x14ac:dyDescent="0.25">
      <c r="A61" s="154">
        <v>12</v>
      </c>
      <c r="B61" s="83">
        <v>4451</v>
      </c>
      <c r="C61" s="83">
        <v>600074927</v>
      </c>
      <c r="D61" s="83">
        <v>49864653</v>
      </c>
      <c r="E61" s="492" t="s">
        <v>356</v>
      </c>
      <c r="F61" s="83">
        <v>3141</v>
      </c>
      <c r="G61" s="493" t="s">
        <v>321</v>
      </c>
      <c r="H61" s="493" t="s">
        <v>284</v>
      </c>
      <c r="I61" s="495">
        <v>4156574</v>
      </c>
      <c r="J61" s="496">
        <v>3037096</v>
      </c>
      <c r="K61" s="496">
        <v>0</v>
      </c>
      <c r="L61" s="496">
        <v>0</v>
      </c>
      <c r="M61" s="411">
        <v>1026539</v>
      </c>
      <c r="N61" s="411">
        <v>60741</v>
      </c>
      <c r="O61" s="496">
        <v>32198</v>
      </c>
      <c r="P61" s="497">
        <v>10.33</v>
      </c>
      <c r="Q61" s="412">
        <v>0</v>
      </c>
      <c r="R61" s="498">
        <v>10.33</v>
      </c>
      <c r="S61" s="499">
        <f t="shared" si="2"/>
        <v>0</v>
      </c>
      <c r="T61" s="486">
        <v>0</v>
      </c>
      <c r="U61" s="486">
        <v>0</v>
      </c>
      <c r="V61" s="486">
        <f t="shared" si="54"/>
        <v>0</v>
      </c>
      <c r="W61" s="486">
        <v>0</v>
      </c>
      <c r="X61" s="500">
        <v>0</v>
      </c>
      <c r="Y61" s="486">
        <f t="shared" si="55"/>
        <v>0</v>
      </c>
      <c r="Z61" s="499">
        <f t="shared" si="56"/>
        <v>0</v>
      </c>
      <c r="AA61" s="319">
        <f t="shared" si="57"/>
        <v>0</v>
      </c>
      <c r="AB61" s="178">
        <f t="shared" si="58"/>
        <v>0</v>
      </c>
      <c r="AC61" s="486">
        <v>0</v>
      </c>
      <c r="AD61" s="486">
        <v>0</v>
      </c>
      <c r="AE61" s="486">
        <f t="shared" si="3"/>
        <v>0</v>
      </c>
      <c r="AF61" s="486">
        <f t="shared" si="4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59"/>
        <v>0</v>
      </c>
      <c r="AM61" s="501">
        <f t="shared" si="60"/>
        <v>0</v>
      </c>
      <c r="AN61" s="502">
        <f t="shared" si="5"/>
        <v>0</v>
      </c>
      <c r="AO61" s="499">
        <f t="shared" si="61"/>
        <v>4156574</v>
      </c>
      <c r="AP61" s="486">
        <f t="shared" si="62"/>
        <v>3037096</v>
      </c>
      <c r="AQ61" s="486">
        <f t="shared" si="63"/>
        <v>0</v>
      </c>
      <c r="AR61" s="480">
        <f t="shared" si="64"/>
        <v>0</v>
      </c>
      <c r="AS61" s="486">
        <f t="shared" si="65"/>
        <v>1026539</v>
      </c>
      <c r="AT61" s="486">
        <f t="shared" si="65"/>
        <v>60741</v>
      </c>
      <c r="AU61" s="486">
        <f t="shared" si="66"/>
        <v>32198</v>
      </c>
      <c r="AV61" s="501">
        <f t="shared" si="67"/>
        <v>10.33</v>
      </c>
      <c r="AW61" s="501">
        <f t="shared" si="68"/>
        <v>0</v>
      </c>
      <c r="AX61" s="502">
        <f t="shared" si="68"/>
        <v>10.33</v>
      </c>
    </row>
    <row r="62" spans="1:50" ht="12.95" customHeight="1" x14ac:dyDescent="0.25">
      <c r="A62" s="154">
        <v>12</v>
      </c>
      <c r="B62" s="83">
        <v>4451</v>
      </c>
      <c r="C62" s="83">
        <v>600074927</v>
      </c>
      <c r="D62" s="83">
        <v>49864653</v>
      </c>
      <c r="E62" s="492" t="s">
        <v>356</v>
      </c>
      <c r="F62" s="83">
        <v>3143</v>
      </c>
      <c r="G62" s="493" t="s">
        <v>634</v>
      </c>
      <c r="H62" s="493" t="s">
        <v>283</v>
      </c>
      <c r="I62" s="495">
        <v>2001199</v>
      </c>
      <c r="J62" s="496">
        <v>1473637</v>
      </c>
      <c r="K62" s="496">
        <v>0</v>
      </c>
      <c r="L62" s="496">
        <v>0</v>
      </c>
      <c r="M62" s="411">
        <v>498089</v>
      </c>
      <c r="N62" s="411">
        <v>29473</v>
      </c>
      <c r="O62" s="496">
        <v>0</v>
      </c>
      <c r="P62" s="497">
        <v>3.25</v>
      </c>
      <c r="Q62" s="412">
        <v>3.25</v>
      </c>
      <c r="R62" s="498">
        <v>0</v>
      </c>
      <c r="S62" s="499">
        <f t="shared" si="2"/>
        <v>0</v>
      </c>
      <c r="T62" s="486">
        <v>0</v>
      </c>
      <c r="U62" s="486">
        <v>0</v>
      </c>
      <c r="V62" s="486">
        <f t="shared" si="54"/>
        <v>0</v>
      </c>
      <c r="W62" s="486">
        <v>0</v>
      </c>
      <c r="X62" s="500">
        <v>0</v>
      </c>
      <c r="Y62" s="486">
        <f t="shared" si="55"/>
        <v>0</v>
      </c>
      <c r="Z62" s="499">
        <f t="shared" si="56"/>
        <v>0</v>
      </c>
      <c r="AA62" s="319">
        <f t="shared" si="57"/>
        <v>0</v>
      </c>
      <c r="AB62" s="178">
        <f t="shared" si="58"/>
        <v>0</v>
      </c>
      <c r="AC62" s="486">
        <v>0</v>
      </c>
      <c r="AD62" s="486">
        <v>0</v>
      </c>
      <c r="AE62" s="486">
        <f t="shared" si="3"/>
        <v>0</v>
      </c>
      <c r="AF62" s="486">
        <f t="shared" si="4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59"/>
        <v>0</v>
      </c>
      <c r="AM62" s="501">
        <f t="shared" si="60"/>
        <v>0</v>
      </c>
      <c r="AN62" s="502">
        <f t="shared" si="5"/>
        <v>0</v>
      </c>
      <c r="AO62" s="499">
        <f t="shared" si="61"/>
        <v>2001199</v>
      </c>
      <c r="AP62" s="486">
        <f t="shared" si="62"/>
        <v>1473637</v>
      </c>
      <c r="AQ62" s="486">
        <f t="shared" si="63"/>
        <v>0</v>
      </c>
      <c r="AR62" s="480">
        <f t="shared" si="64"/>
        <v>0</v>
      </c>
      <c r="AS62" s="486">
        <f t="shared" si="65"/>
        <v>498089</v>
      </c>
      <c r="AT62" s="486">
        <f t="shared" si="65"/>
        <v>29473</v>
      </c>
      <c r="AU62" s="486">
        <f t="shared" si="66"/>
        <v>0</v>
      </c>
      <c r="AV62" s="501">
        <f t="shared" si="67"/>
        <v>3.25</v>
      </c>
      <c r="AW62" s="501">
        <f t="shared" si="68"/>
        <v>3.25</v>
      </c>
      <c r="AX62" s="502">
        <f t="shared" si="68"/>
        <v>0</v>
      </c>
    </row>
    <row r="63" spans="1:50" ht="12.95" customHeight="1" x14ac:dyDescent="0.25">
      <c r="A63" s="154">
        <v>12</v>
      </c>
      <c r="B63" s="83">
        <v>4451</v>
      </c>
      <c r="C63" s="83">
        <v>600074927</v>
      </c>
      <c r="D63" s="83">
        <v>49864653</v>
      </c>
      <c r="E63" s="492" t="s">
        <v>356</v>
      </c>
      <c r="F63" s="83">
        <v>3143</v>
      </c>
      <c r="G63" s="493" t="s">
        <v>635</v>
      </c>
      <c r="H63" s="493" t="s">
        <v>284</v>
      </c>
      <c r="I63" s="495">
        <v>64604</v>
      </c>
      <c r="J63" s="496">
        <v>45540</v>
      </c>
      <c r="K63" s="496">
        <v>0</v>
      </c>
      <c r="L63" s="496">
        <v>0</v>
      </c>
      <c r="M63" s="411">
        <v>15393</v>
      </c>
      <c r="N63" s="411">
        <v>911</v>
      </c>
      <c r="O63" s="496">
        <v>2760</v>
      </c>
      <c r="P63" s="497">
        <v>0.19</v>
      </c>
      <c r="Q63" s="412">
        <v>0</v>
      </c>
      <c r="R63" s="498">
        <v>0.19</v>
      </c>
      <c r="S63" s="499">
        <f t="shared" si="2"/>
        <v>0</v>
      </c>
      <c r="T63" s="486">
        <v>0</v>
      </c>
      <c r="U63" s="486">
        <v>0</v>
      </c>
      <c r="V63" s="486">
        <f t="shared" si="54"/>
        <v>0</v>
      </c>
      <c r="W63" s="486">
        <v>0</v>
      </c>
      <c r="X63" s="500">
        <v>0</v>
      </c>
      <c r="Y63" s="486">
        <f t="shared" si="55"/>
        <v>0</v>
      </c>
      <c r="Z63" s="499">
        <f t="shared" si="56"/>
        <v>0</v>
      </c>
      <c r="AA63" s="319">
        <f t="shared" si="57"/>
        <v>0</v>
      </c>
      <c r="AB63" s="178">
        <f t="shared" si="58"/>
        <v>0</v>
      </c>
      <c r="AC63" s="486">
        <v>0</v>
      </c>
      <c r="AD63" s="486">
        <v>0</v>
      </c>
      <c r="AE63" s="486">
        <f t="shared" si="3"/>
        <v>0</v>
      </c>
      <c r="AF63" s="486">
        <f t="shared" si="4"/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si="59"/>
        <v>0</v>
      </c>
      <c r="AM63" s="501">
        <f t="shared" si="60"/>
        <v>0</v>
      </c>
      <c r="AN63" s="502">
        <f t="shared" si="5"/>
        <v>0</v>
      </c>
      <c r="AO63" s="499">
        <f t="shared" si="61"/>
        <v>64604</v>
      </c>
      <c r="AP63" s="486">
        <f t="shared" si="62"/>
        <v>45540</v>
      </c>
      <c r="AQ63" s="486">
        <f t="shared" si="63"/>
        <v>0</v>
      </c>
      <c r="AR63" s="480">
        <f t="shared" si="64"/>
        <v>0</v>
      </c>
      <c r="AS63" s="486">
        <f t="shared" si="65"/>
        <v>15393</v>
      </c>
      <c r="AT63" s="486">
        <f t="shared" si="65"/>
        <v>911</v>
      </c>
      <c r="AU63" s="486">
        <f t="shared" si="66"/>
        <v>2760</v>
      </c>
      <c r="AV63" s="501">
        <f t="shared" si="67"/>
        <v>0.19</v>
      </c>
      <c r="AW63" s="501">
        <f t="shared" si="68"/>
        <v>0</v>
      </c>
      <c r="AX63" s="502">
        <f t="shared" si="68"/>
        <v>0.19</v>
      </c>
    </row>
    <row r="64" spans="1:50" ht="12.95" customHeight="1" x14ac:dyDescent="0.25">
      <c r="A64" s="155">
        <v>12</v>
      </c>
      <c r="B64" s="85">
        <v>4451</v>
      </c>
      <c r="C64" s="85">
        <v>600074927</v>
      </c>
      <c r="D64" s="85">
        <v>49864653</v>
      </c>
      <c r="E64" s="89" t="s">
        <v>357</v>
      </c>
      <c r="F64" s="92"/>
      <c r="G64" s="93"/>
      <c r="H64" s="93"/>
      <c r="I64" s="147">
        <v>42357779</v>
      </c>
      <c r="J64" s="91">
        <v>30334709</v>
      </c>
      <c r="K64" s="91">
        <v>180378</v>
      </c>
      <c r="L64" s="91">
        <v>54908</v>
      </c>
      <c r="M64" s="91">
        <v>10295542</v>
      </c>
      <c r="N64" s="91">
        <v>606692</v>
      </c>
      <c r="O64" s="91">
        <v>940458</v>
      </c>
      <c r="P64" s="94">
        <v>70.339600000000004</v>
      </c>
      <c r="Q64" s="94">
        <v>48.185299999999998</v>
      </c>
      <c r="R64" s="275">
        <v>22.154300000000003</v>
      </c>
      <c r="S64" s="142">
        <f t="shared" ref="S64:AN64" si="69">SUM(S58:S63)</f>
        <v>0</v>
      </c>
      <c r="T64" s="91">
        <f t="shared" si="69"/>
        <v>0</v>
      </c>
      <c r="U64" s="91">
        <f t="shared" si="69"/>
        <v>0</v>
      </c>
      <c r="V64" s="91">
        <f t="shared" si="69"/>
        <v>0</v>
      </c>
      <c r="W64" s="91">
        <f t="shared" si="69"/>
        <v>0</v>
      </c>
      <c r="X64" s="442">
        <f t="shared" si="69"/>
        <v>0</v>
      </c>
      <c r="Y64" s="91">
        <f t="shared" si="69"/>
        <v>0</v>
      </c>
      <c r="Z64" s="142">
        <f t="shared" si="69"/>
        <v>0</v>
      </c>
      <c r="AA64" s="91">
        <f t="shared" si="69"/>
        <v>0</v>
      </c>
      <c r="AB64" s="91">
        <f t="shared" si="69"/>
        <v>0</v>
      </c>
      <c r="AC64" s="91">
        <f t="shared" si="69"/>
        <v>0</v>
      </c>
      <c r="AD64" s="91">
        <f t="shared" si="69"/>
        <v>0</v>
      </c>
      <c r="AE64" s="91">
        <f t="shared" si="69"/>
        <v>0</v>
      </c>
      <c r="AF64" s="91">
        <f t="shared" si="69"/>
        <v>0</v>
      </c>
      <c r="AG64" s="94">
        <f t="shared" si="69"/>
        <v>0</v>
      </c>
      <c r="AH64" s="94">
        <f t="shared" si="69"/>
        <v>0</v>
      </c>
      <c r="AI64" s="94">
        <f t="shared" si="69"/>
        <v>0</v>
      </c>
      <c r="AJ64" s="94">
        <f t="shared" si="69"/>
        <v>0</v>
      </c>
      <c r="AK64" s="94">
        <f t="shared" si="69"/>
        <v>0</v>
      </c>
      <c r="AL64" s="94">
        <f t="shared" si="69"/>
        <v>0</v>
      </c>
      <c r="AM64" s="94">
        <f t="shared" si="69"/>
        <v>0</v>
      </c>
      <c r="AN64" s="275">
        <f t="shared" si="69"/>
        <v>0</v>
      </c>
      <c r="AO64" s="142">
        <f t="shared" ref="AO64:AX64" si="70">SUM(AO58:AO63)</f>
        <v>42357779</v>
      </c>
      <c r="AP64" s="91">
        <f t="shared" si="70"/>
        <v>30334709</v>
      </c>
      <c r="AQ64" s="91">
        <f t="shared" si="70"/>
        <v>180378</v>
      </c>
      <c r="AR64" s="91">
        <f t="shared" si="70"/>
        <v>54908</v>
      </c>
      <c r="AS64" s="91">
        <f t="shared" si="70"/>
        <v>10295542</v>
      </c>
      <c r="AT64" s="91">
        <f t="shared" si="70"/>
        <v>606692</v>
      </c>
      <c r="AU64" s="91">
        <f t="shared" si="70"/>
        <v>940458</v>
      </c>
      <c r="AV64" s="94">
        <f t="shared" si="70"/>
        <v>70.339600000000004</v>
      </c>
      <c r="AW64" s="94">
        <f t="shared" si="70"/>
        <v>48.185299999999998</v>
      </c>
      <c r="AX64" s="275">
        <f t="shared" si="70"/>
        <v>22.154300000000003</v>
      </c>
    </row>
    <row r="65" spans="1:50" ht="12.95" customHeight="1" x14ac:dyDescent="0.25">
      <c r="A65" s="154">
        <v>13</v>
      </c>
      <c r="B65" s="83">
        <v>4450</v>
      </c>
      <c r="C65" s="83">
        <v>650033841</v>
      </c>
      <c r="D65" s="83">
        <v>72744995</v>
      </c>
      <c r="E65" s="492" t="s">
        <v>358</v>
      </c>
      <c r="F65" s="83">
        <v>3111</v>
      </c>
      <c r="G65" s="493" t="s">
        <v>359</v>
      </c>
      <c r="H65" s="493" t="s">
        <v>283</v>
      </c>
      <c r="I65" s="495">
        <v>1481821</v>
      </c>
      <c r="J65" s="496">
        <v>1058587</v>
      </c>
      <c r="K65" s="496">
        <v>20000</v>
      </c>
      <c r="L65" s="496">
        <v>0</v>
      </c>
      <c r="M65" s="411">
        <v>364562</v>
      </c>
      <c r="N65" s="411">
        <v>21172</v>
      </c>
      <c r="O65" s="496">
        <v>17500</v>
      </c>
      <c r="P65" s="497">
        <v>2.4464000000000001</v>
      </c>
      <c r="Q65" s="412">
        <v>1.9355</v>
      </c>
      <c r="R65" s="498">
        <v>0.51090000000000002</v>
      </c>
      <c r="S65" s="499">
        <f t="shared" si="2"/>
        <v>0</v>
      </c>
      <c r="T65" s="486">
        <v>0</v>
      </c>
      <c r="U65" s="486">
        <v>0</v>
      </c>
      <c r="V65" s="486">
        <f t="shared" ref="V65:V70" si="71">SUM(S65:U65)</f>
        <v>0</v>
      </c>
      <c r="W65" s="486">
        <v>0</v>
      </c>
      <c r="X65" s="500">
        <v>0</v>
      </c>
      <c r="Y65" s="486">
        <f t="shared" ref="Y65:Y70" si="72">SUM(W65:X65)</f>
        <v>0</v>
      </c>
      <c r="Z65" s="499">
        <f t="shared" ref="Z65:Z70" si="73">V65+Y65</f>
        <v>0</v>
      </c>
      <c r="AA65" s="319">
        <f t="shared" ref="AA65:AA70" si="74">ROUND((V65+W65)*33.8%,0)</f>
        <v>0</v>
      </c>
      <c r="AB65" s="178">
        <f t="shared" ref="AB65:AB70" si="75">ROUND(V65*2%,0)</f>
        <v>0</v>
      </c>
      <c r="AC65" s="486">
        <v>0</v>
      </c>
      <c r="AD65" s="486">
        <v>0</v>
      </c>
      <c r="AE65" s="486">
        <f t="shared" si="3"/>
        <v>0</v>
      </c>
      <c r="AF65" s="486">
        <f t="shared" si="4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ref="AL65:AL70" si="76">AG65+AI65+AJ65</f>
        <v>0</v>
      </c>
      <c r="AM65" s="501">
        <f t="shared" ref="AM65:AM70" si="77">AH65+AK65</f>
        <v>0</v>
      </c>
      <c r="AN65" s="502">
        <f t="shared" si="5"/>
        <v>0</v>
      </c>
      <c r="AO65" s="499">
        <f t="shared" ref="AO65:AO70" si="78">I65+AF65</f>
        <v>1481821</v>
      </c>
      <c r="AP65" s="486">
        <f t="shared" ref="AP65:AP70" si="79">J65+V65</f>
        <v>1058587</v>
      </c>
      <c r="AQ65" s="486">
        <f t="shared" ref="AQ65:AQ70" si="80">K65+Y65</f>
        <v>20000</v>
      </c>
      <c r="AR65" s="480">
        <f t="shared" ref="AR65:AR70" si="81">L65</f>
        <v>0</v>
      </c>
      <c r="AS65" s="486">
        <f t="shared" ref="AS65:AT70" si="82">M65+AA65</f>
        <v>364562</v>
      </c>
      <c r="AT65" s="486">
        <f t="shared" si="82"/>
        <v>21172</v>
      </c>
      <c r="AU65" s="486">
        <f t="shared" ref="AU65:AU70" si="83">O65+AE65</f>
        <v>17500</v>
      </c>
      <c r="AV65" s="501">
        <f t="shared" ref="AV65:AV70" si="84">P65+AN65</f>
        <v>2.4464000000000001</v>
      </c>
      <c r="AW65" s="501">
        <f t="shared" ref="AW65:AX70" si="85">Q65+AL65</f>
        <v>1.9355</v>
      </c>
      <c r="AX65" s="502">
        <f t="shared" si="85"/>
        <v>0.51090000000000002</v>
      </c>
    </row>
    <row r="66" spans="1:50" ht="12.95" customHeight="1" x14ac:dyDescent="0.25">
      <c r="A66" s="154">
        <v>13</v>
      </c>
      <c r="B66" s="83">
        <v>4450</v>
      </c>
      <c r="C66" s="83">
        <v>650033841</v>
      </c>
      <c r="D66" s="83">
        <v>72744995</v>
      </c>
      <c r="E66" s="492" t="s">
        <v>358</v>
      </c>
      <c r="F66" s="83">
        <v>3117</v>
      </c>
      <c r="G66" s="493" t="s">
        <v>335</v>
      </c>
      <c r="H66" s="493" t="s">
        <v>283</v>
      </c>
      <c r="I66" s="495">
        <v>2920937</v>
      </c>
      <c r="J66" s="496">
        <v>2083105</v>
      </c>
      <c r="K66" s="496">
        <v>13700</v>
      </c>
      <c r="L66" s="496">
        <v>3700</v>
      </c>
      <c r="M66" s="411">
        <v>707470</v>
      </c>
      <c r="N66" s="411">
        <v>41662</v>
      </c>
      <c r="O66" s="496">
        <v>75000</v>
      </c>
      <c r="P66" s="497">
        <v>4.2004000000000001</v>
      </c>
      <c r="Q66" s="412">
        <v>3</v>
      </c>
      <c r="R66" s="498">
        <v>1.2004000000000001</v>
      </c>
      <c r="S66" s="499">
        <f t="shared" si="2"/>
        <v>0</v>
      </c>
      <c r="T66" s="486">
        <v>0</v>
      </c>
      <c r="U66" s="486">
        <v>0</v>
      </c>
      <c r="V66" s="486">
        <f t="shared" si="71"/>
        <v>0</v>
      </c>
      <c r="W66" s="486">
        <v>0</v>
      </c>
      <c r="X66" s="500">
        <v>0</v>
      </c>
      <c r="Y66" s="486">
        <f t="shared" si="72"/>
        <v>0</v>
      </c>
      <c r="Z66" s="499">
        <f t="shared" si="73"/>
        <v>0</v>
      </c>
      <c r="AA66" s="319">
        <f t="shared" si="74"/>
        <v>0</v>
      </c>
      <c r="AB66" s="178">
        <f t="shared" si="75"/>
        <v>0</v>
      </c>
      <c r="AC66" s="486">
        <v>0</v>
      </c>
      <c r="AD66" s="486">
        <v>0</v>
      </c>
      <c r="AE66" s="486">
        <f t="shared" si="3"/>
        <v>0</v>
      </c>
      <c r="AF66" s="486">
        <f t="shared" si="4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76"/>
        <v>0</v>
      </c>
      <c r="AM66" s="501">
        <f t="shared" si="77"/>
        <v>0</v>
      </c>
      <c r="AN66" s="502">
        <f t="shared" si="5"/>
        <v>0</v>
      </c>
      <c r="AO66" s="499">
        <f t="shared" si="78"/>
        <v>2920937</v>
      </c>
      <c r="AP66" s="486">
        <f t="shared" si="79"/>
        <v>2083105</v>
      </c>
      <c r="AQ66" s="486">
        <f t="shared" si="80"/>
        <v>13700</v>
      </c>
      <c r="AR66" s="480">
        <f t="shared" si="81"/>
        <v>3700</v>
      </c>
      <c r="AS66" s="486">
        <f t="shared" si="82"/>
        <v>707470</v>
      </c>
      <c r="AT66" s="486">
        <f t="shared" si="82"/>
        <v>41662</v>
      </c>
      <c r="AU66" s="486">
        <f t="shared" si="83"/>
        <v>75000</v>
      </c>
      <c r="AV66" s="501">
        <f t="shared" si="84"/>
        <v>4.2004000000000001</v>
      </c>
      <c r="AW66" s="501">
        <f t="shared" si="85"/>
        <v>3</v>
      </c>
      <c r="AX66" s="502">
        <f t="shared" si="85"/>
        <v>1.2004000000000001</v>
      </c>
    </row>
    <row r="67" spans="1:50" ht="12.95" customHeight="1" x14ac:dyDescent="0.25">
      <c r="A67" s="154">
        <v>13</v>
      </c>
      <c r="B67" s="83">
        <v>4450</v>
      </c>
      <c r="C67" s="83">
        <v>650033841</v>
      </c>
      <c r="D67" s="83">
        <v>72744995</v>
      </c>
      <c r="E67" s="492" t="s">
        <v>358</v>
      </c>
      <c r="F67" s="83">
        <v>3117</v>
      </c>
      <c r="G67" s="493" t="s">
        <v>325</v>
      </c>
      <c r="H67" s="493" t="s">
        <v>284</v>
      </c>
      <c r="I67" s="495">
        <v>1356597</v>
      </c>
      <c r="J67" s="496">
        <v>974483</v>
      </c>
      <c r="K67" s="496">
        <v>0</v>
      </c>
      <c r="L67" s="496">
        <v>0</v>
      </c>
      <c r="M67" s="411">
        <v>329375</v>
      </c>
      <c r="N67" s="411">
        <v>19489</v>
      </c>
      <c r="O67" s="496">
        <v>33250</v>
      </c>
      <c r="P67" s="497">
        <v>2.87</v>
      </c>
      <c r="Q67" s="412">
        <v>2.87</v>
      </c>
      <c r="R67" s="498">
        <v>0</v>
      </c>
      <c r="S67" s="499">
        <f t="shared" si="2"/>
        <v>0</v>
      </c>
      <c r="T67" s="486">
        <v>0</v>
      </c>
      <c r="U67" s="486">
        <v>0</v>
      </c>
      <c r="V67" s="486">
        <f t="shared" si="71"/>
        <v>0</v>
      </c>
      <c r="W67" s="486">
        <v>0</v>
      </c>
      <c r="X67" s="500">
        <v>0</v>
      </c>
      <c r="Y67" s="486">
        <f t="shared" si="72"/>
        <v>0</v>
      </c>
      <c r="Z67" s="499">
        <f t="shared" si="73"/>
        <v>0</v>
      </c>
      <c r="AA67" s="319">
        <f t="shared" si="74"/>
        <v>0</v>
      </c>
      <c r="AB67" s="178">
        <f t="shared" si="75"/>
        <v>0</v>
      </c>
      <c r="AC67" s="486">
        <v>3250</v>
      </c>
      <c r="AD67" s="486">
        <v>0</v>
      </c>
      <c r="AE67" s="486">
        <f t="shared" si="3"/>
        <v>3250</v>
      </c>
      <c r="AF67" s="486">
        <f t="shared" si="4"/>
        <v>3250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76"/>
        <v>0</v>
      </c>
      <c r="AM67" s="501">
        <f t="shared" si="77"/>
        <v>0</v>
      </c>
      <c r="AN67" s="502">
        <f t="shared" si="5"/>
        <v>0</v>
      </c>
      <c r="AO67" s="499">
        <f t="shared" si="78"/>
        <v>1359847</v>
      </c>
      <c r="AP67" s="486">
        <f t="shared" si="79"/>
        <v>974483</v>
      </c>
      <c r="AQ67" s="486">
        <f t="shared" si="80"/>
        <v>0</v>
      </c>
      <c r="AR67" s="480">
        <f t="shared" si="81"/>
        <v>0</v>
      </c>
      <c r="AS67" s="486">
        <f t="shared" si="82"/>
        <v>329375</v>
      </c>
      <c r="AT67" s="486">
        <f t="shared" si="82"/>
        <v>19489</v>
      </c>
      <c r="AU67" s="486">
        <f t="shared" si="83"/>
        <v>36500</v>
      </c>
      <c r="AV67" s="501">
        <f t="shared" si="84"/>
        <v>2.87</v>
      </c>
      <c r="AW67" s="501">
        <f t="shared" si="85"/>
        <v>2.87</v>
      </c>
      <c r="AX67" s="502">
        <f t="shared" si="85"/>
        <v>0</v>
      </c>
    </row>
    <row r="68" spans="1:50" ht="12.95" customHeight="1" x14ac:dyDescent="0.25">
      <c r="A68" s="154">
        <v>13</v>
      </c>
      <c r="B68" s="83">
        <v>4450</v>
      </c>
      <c r="C68" s="83">
        <v>650033841</v>
      </c>
      <c r="D68" s="83">
        <v>72744995</v>
      </c>
      <c r="E68" s="492" t="s">
        <v>358</v>
      </c>
      <c r="F68" s="83">
        <v>3141</v>
      </c>
      <c r="G68" s="493" t="s">
        <v>321</v>
      </c>
      <c r="H68" s="493" t="s">
        <v>284</v>
      </c>
      <c r="I68" s="495">
        <v>261302</v>
      </c>
      <c r="J68" s="496">
        <v>179278</v>
      </c>
      <c r="K68" s="496">
        <v>12000</v>
      </c>
      <c r="L68" s="496">
        <v>0</v>
      </c>
      <c r="M68" s="411">
        <v>64652</v>
      </c>
      <c r="N68" s="411">
        <v>3586</v>
      </c>
      <c r="O68" s="496">
        <v>1786</v>
      </c>
      <c r="P68" s="497">
        <v>0.62</v>
      </c>
      <c r="Q68" s="412">
        <v>0</v>
      </c>
      <c r="R68" s="498">
        <v>0.62</v>
      </c>
      <c r="S68" s="499">
        <f t="shared" si="2"/>
        <v>0</v>
      </c>
      <c r="T68" s="486">
        <v>0</v>
      </c>
      <c r="U68" s="486">
        <v>0</v>
      </c>
      <c r="V68" s="486">
        <f t="shared" si="71"/>
        <v>0</v>
      </c>
      <c r="W68" s="486">
        <v>0</v>
      </c>
      <c r="X68" s="500">
        <v>0</v>
      </c>
      <c r="Y68" s="486">
        <f t="shared" si="72"/>
        <v>0</v>
      </c>
      <c r="Z68" s="499">
        <f t="shared" si="73"/>
        <v>0</v>
      </c>
      <c r="AA68" s="319">
        <f t="shared" si="74"/>
        <v>0</v>
      </c>
      <c r="AB68" s="178">
        <f t="shared" si="75"/>
        <v>0</v>
      </c>
      <c r="AC68" s="486">
        <v>0</v>
      </c>
      <c r="AD68" s="486">
        <v>0</v>
      </c>
      <c r="AE68" s="486">
        <f t="shared" si="3"/>
        <v>0</v>
      </c>
      <c r="AF68" s="486">
        <f t="shared" si="4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76"/>
        <v>0</v>
      </c>
      <c r="AM68" s="501">
        <f t="shared" si="77"/>
        <v>0</v>
      </c>
      <c r="AN68" s="502">
        <f t="shared" si="5"/>
        <v>0</v>
      </c>
      <c r="AO68" s="499">
        <f t="shared" si="78"/>
        <v>261302</v>
      </c>
      <c r="AP68" s="486">
        <f t="shared" si="79"/>
        <v>179278</v>
      </c>
      <c r="AQ68" s="486">
        <f t="shared" si="80"/>
        <v>12000</v>
      </c>
      <c r="AR68" s="480">
        <f t="shared" si="81"/>
        <v>0</v>
      </c>
      <c r="AS68" s="486">
        <f t="shared" si="82"/>
        <v>64652</v>
      </c>
      <c r="AT68" s="486">
        <f t="shared" si="82"/>
        <v>3586</v>
      </c>
      <c r="AU68" s="486">
        <f t="shared" si="83"/>
        <v>1786</v>
      </c>
      <c r="AV68" s="501">
        <f t="shared" si="84"/>
        <v>0.62</v>
      </c>
      <c r="AW68" s="501">
        <f t="shared" si="85"/>
        <v>0</v>
      </c>
      <c r="AX68" s="502">
        <f t="shared" si="85"/>
        <v>0.62</v>
      </c>
    </row>
    <row r="69" spans="1:50" ht="12.95" customHeight="1" x14ac:dyDescent="0.25">
      <c r="A69" s="154">
        <v>13</v>
      </c>
      <c r="B69" s="83">
        <v>4450</v>
      </c>
      <c r="C69" s="83">
        <v>650033841</v>
      </c>
      <c r="D69" s="83">
        <v>72744995</v>
      </c>
      <c r="E69" s="492" t="s">
        <v>358</v>
      </c>
      <c r="F69" s="83">
        <v>3143</v>
      </c>
      <c r="G69" s="493" t="s">
        <v>634</v>
      </c>
      <c r="H69" s="493" t="s">
        <v>283</v>
      </c>
      <c r="I69" s="495">
        <v>388950</v>
      </c>
      <c r="J69" s="496">
        <v>286414</v>
      </c>
      <c r="K69" s="496">
        <v>0</v>
      </c>
      <c r="L69" s="496">
        <v>0</v>
      </c>
      <c r="M69" s="411">
        <v>96808</v>
      </c>
      <c r="N69" s="411">
        <v>5728</v>
      </c>
      <c r="O69" s="496">
        <v>0</v>
      </c>
      <c r="P69" s="497">
        <v>0.66669999999999996</v>
      </c>
      <c r="Q69" s="412">
        <v>0.66669999999999996</v>
      </c>
      <c r="R69" s="498">
        <v>0</v>
      </c>
      <c r="S69" s="499">
        <f t="shared" si="2"/>
        <v>0</v>
      </c>
      <c r="T69" s="486">
        <v>0</v>
      </c>
      <c r="U69" s="486">
        <v>0</v>
      </c>
      <c r="V69" s="486">
        <f t="shared" si="71"/>
        <v>0</v>
      </c>
      <c r="W69" s="486">
        <v>0</v>
      </c>
      <c r="X69" s="500">
        <v>0</v>
      </c>
      <c r="Y69" s="486">
        <f t="shared" si="72"/>
        <v>0</v>
      </c>
      <c r="Z69" s="499">
        <f t="shared" si="73"/>
        <v>0</v>
      </c>
      <c r="AA69" s="319">
        <f t="shared" si="74"/>
        <v>0</v>
      </c>
      <c r="AB69" s="178">
        <f t="shared" si="75"/>
        <v>0</v>
      </c>
      <c r="AC69" s="486">
        <v>0</v>
      </c>
      <c r="AD69" s="486">
        <v>0</v>
      </c>
      <c r="AE69" s="486">
        <f t="shared" si="3"/>
        <v>0</v>
      </c>
      <c r="AF69" s="486">
        <f t="shared" si="4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si="76"/>
        <v>0</v>
      </c>
      <c r="AM69" s="501">
        <f t="shared" si="77"/>
        <v>0</v>
      </c>
      <c r="AN69" s="502">
        <f t="shared" si="5"/>
        <v>0</v>
      </c>
      <c r="AO69" s="499">
        <f t="shared" si="78"/>
        <v>388950</v>
      </c>
      <c r="AP69" s="486">
        <f t="shared" si="79"/>
        <v>286414</v>
      </c>
      <c r="AQ69" s="486">
        <f t="shared" si="80"/>
        <v>0</v>
      </c>
      <c r="AR69" s="480">
        <f t="shared" si="81"/>
        <v>0</v>
      </c>
      <c r="AS69" s="486">
        <f t="shared" si="82"/>
        <v>96808</v>
      </c>
      <c r="AT69" s="486">
        <f t="shared" si="82"/>
        <v>5728</v>
      </c>
      <c r="AU69" s="486">
        <f t="shared" si="83"/>
        <v>0</v>
      </c>
      <c r="AV69" s="501">
        <f t="shared" si="84"/>
        <v>0.66669999999999996</v>
      </c>
      <c r="AW69" s="501">
        <f t="shared" si="85"/>
        <v>0.66669999999999996</v>
      </c>
      <c r="AX69" s="502">
        <f t="shared" si="85"/>
        <v>0</v>
      </c>
    </row>
    <row r="70" spans="1:50" ht="12.95" customHeight="1" x14ac:dyDescent="0.25">
      <c r="A70" s="154">
        <v>13</v>
      </c>
      <c r="B70" s="83">
        <v>4450</v>
      </c>
      <c r="C70" s="83">
        <v>650033841</v>
      </c>
      <c r="D70" s="83">
        <v>72744995</v>
      </c>
      <c r="E70" s="492" t="s">
        <v>358</v>
      </c>
      <c r="F70" s="83">
        <v>3143</v>
      </c>
      <c r="G70" s="493" t="s">
        <v>635</v>
      </c>
      <c r="H70" s="493" t="s">
        <v>284</v>
      </c>
      <c r="I70" s="495">
        <v>11937</v>
      </c>
      <c r="J70" s="496">
        <v>8415</v>
      </c>
      <c r="K70" s="496">
        <v>0</v>
      </c>
      <c r="L70" s="496">
        <v>0</v>
      </c>
      <c r="M70" s="411">
        <v>2844</v>
      </c>
      <c r="N70" s="411">
        <v>168</v>
      </c>
      <c r="O70" s="496">
        <v>510</v>
      </c>
      <c r="P70" s="497">
        <v>0.04</v>
      </c>
      <c r="Q70" s="412">
        <v>0</v>
      </c>
      <c r="R70" s="498">
        <v>0.04</v>
      </c>
      <c r="S70" s="499">
        <f t="shared" si="2"/>
        <v>0</v>
      </c>
      <c r="T70" s="486">
        <v>0</v>
      </c>
      <c r="U70" s="486">
        <v>0</v>
      </c>
      <c r="V70" s="486">
        <f t="shared" si="71"/>
        <v>0</v>
      </c>
      <c r="W70" s="486">
        <v>0</v>
      </c>
      <c r="X70" s="500">
        <v>0</v>
      </c>
      <c r="Y70" s="486">
        <f t="shared" si="72"/>
        <v>0</v>
      </c>
      <c r="Z70" s="499">
        <f t="shared" si="73"/>
        <v>0</v>
      </c>
      <c r="AA70" s="319">
        <f t="shared" si="74"/>
        <v>0</v>
      </c>
      <c r="AB70" s="178">
        <f t="shared" si="75"/>
        <v>0</v>
      </c>
      <c r="AC70" s="486">
        <v>0</v>
      </c>
      <c r="AD70" s="486">
        <v>0</v>
      </c>
      <c r="AE70" s="486">
        <f t="shared" si="3"/>
        <v>0</v>
      </c>
      <c r="AF70" s="486">
        <f t="shared" si="4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si="76"/>
        <v>0</v>
      </c>
      <c r="AM70" s="501">
        <f t="shared" si="77"/>
        <v>0</v>
      </c>
      <c r="AN70" s="502">
        <f t="shared" si="5"/>
        <v>0</v>
      </c>
      <c r="AO70" s="499">
        <f t="shared" si="78"/>
        <v>11937</v>
      </c>
      <c r="AP70" s="486">
        <f t="shared" si="79"/>
        <v>8415</v>
      </c>
      <c r="AQ70" s="486">
        <f t="shared" si="80"/>
        <v>0</v>
      </c>
      <c r="AR70" s="480">
        <f t="shared" si="81"/>
        <v>0</v>
      </c>
      <c r="AS70" s="486">
        <f t="shared" si="82"/>
        <v>2844</v>
      </c>
      <c r="AT70" s="486">
        <f t="shared" si="82"/>
        <v>168</v>
      </c>
      <c r="AU70" s="486">
        <f t="shared" si="83"/>
        <v>510</v>
      </c>
      <c r="AV70" s="501">
        <f t="shared" si="84"/>
        <v>0.04</v>
      </c>
      <c r="AW70" s="501">
        <f t="shared" si="85"/>
        <v>0</v>
      </c>
      <c r="AX70" s="502">
        <f t="shared" si="85"/>
        <v>0.04</v>
      </c>
    </row>
    <row r="71" spans="1:50" ht="12.95" customHeight="1" x14ac:dyDescent="0.25">
      <c r="A71" s="155">
        <v>13</v>
      </c>
      <c r="B71" s="85">
        <v>4450</v>
      </c>
      <c r="C71" s="85">
        <v>650033841</v>
      </c>
      <c r="D71" s="85">
        <v>72744995</v>
      </c>
      <c r="E71" s="89" t="s">
        <v>360</v>
      </c>
      <c r="F71" s="92"/>
      <c r="G71" s="93"/>
      <c r="H71" s="93"/>
      <c r="I71" s="147">
        <v>6421544</v>
      </c>
      <c r="J71" s="91">
        <v>4590282</v>
      </c>
      <c r="K71" s="91">
        <v>45700</v>
      </c>
      <c r="L71" s="91">
        <v>3700</v>
      </c>
      <c r="M71" s="91">
        <v>1565711</v>
      </c>
      <c r="N71" s="91">
        <v>91805</v>
      </c>
      <c r="O71" s="91">
        <v>128046</v>
      </c>
      <c r="P71" s="94">
        <v>10.843499999999999</v>
      </c>
      <c r="Q71" s="94">
        <v>8.4722000000000008</v>
      </c>
      <c r="R71" s="275">
        <v>2.3713000000000002</v>
      </c>
      <c r="S71" s="142">
        <f t="shared" ref="S71:AN71" si="86">SUM(S65:S70)</f>
        <v>0</v>
      </c>
      <c r="T71" s="91">
        <f t="shared" si="86"/>
        <v>0</v>
      </c>
      <c r="U71" s="91">
        <f t="shared" si="86"/>
        <v>0</v>
      </c>
      <c r="V71" s="91">
        <f t="shared" si="86"/>
        <v>0</v>
      </c>
      <c r="W71" s="91">
        <f t="shared" si="86"/>
        <v>0</v>
      </c>
      <c r="X71" s="442">
        <f t="shared" si="86"/>
        <v>0</v>
      </c>
      <c r="Y71" s="91">
        <f t="shared" si="86"/>
        <v>0</v>
      </c>
      <c r="Z71" s="142">
        <f t="shared" si="86"/>
        <v>0</v>
      </c>
      <c r="AA71" s="91">
        <f t="shared" si="86"/>
        <v>0</v>
      </c>
      <c r="AB71" s="91">
        <f t="shared" si="86"/>
        <v>0</v>
      </c>
      <c r="AC71" s="91">
        <f t="shared" si="86"/>
        <v>3250</v>
      </c>
      <c r="AD71" s="91">
        <f t="shared" si="86"/>
        <v>0</v>
      </c>
      <c r="AE71" s="91">
        <f t="shared" si="86"/>
        <v>3250</v>
      </c>
      <c r="AF71" s="91">
        <f t="shared" si="86"/>
        <v>3250</v>
      </c>
      <c r="AG71" s="94">
        <f t="shared" si="86"/>
        <v>0</v>
      </c>
      <c r="AH71" s="94">
        <f t="shared" si="86"/>
        <v>0</v>
      </c>
      <c r="AI71" s="94">
        <f t="shared" si="86"/>
        <v>0</v>
      </c>
      <c r="AJ71" s="94">
        <f t="shared" si="86"/>
        <v>0</v>
      </c>
      <c r="AK71" s="94">
        <f t="shared" si="86"/>
        <v>0</v>
      </c>
      <c r="AL71" s="94">
        <f t="shared" si="86"/>
        <v>0</v>
      </c>
      <c r="AM71" s="94">
        <f t="shared" si="86"/>
        <v>0</v>
      </c>
      <c r="AN71" s="275">
        <f t="shared" si="86"/>
        <v>0</v>
      </c>
      <c r="AO71" s="142">
        <f t="shared" ref="AO71:AX71" si="87">SUM(AO65:AO70)</f>
        <v>6424794</v>
      </c>
      <c r="AP71" s="91">
        <f t="shared" si="87"/>
        <v>4590282</v>
      </c>
      <c r="AQ71" s="91">
        <f t="shared" si="87"/>
        <v>45700</v>
      </c>
      <c r="AR71" s="91">
        <f t="shared" si="87"/>
        <v>3700</v>
      </c>
      <c r="AS71" s="91">
        <f t="shared" si="87"/>
        <v>1565711</v>
      </c>
      <c r="AT71" s="91">
        <f t="shared" si="87"/>
        <v>91805</v>
      </c>
      <c r="AU71" s="91">
        <f t="shared" si="87"/>
        <v>131296</v>
      </c>
      <c r="AV71" s="94">
        <f t="shared" si="87"/>
        <v>10.843499999999999</v>
      </c>
      <c r="AW71" s="94">
        <f t="shared" si="87"/>
        <v>8.4722000000000008</v>
      </c>
      <c r="AX71" s="275">
        <f t="shared" si="87"/>
        <v>2.3713000000000002</v>
      </c>
    </row>
    <row r="72" spans="1:50" ht="12.95" customHeight="1" x14ac:dyDescent="0.25">
      <c r="A72" s="154">
        <v>14</v>
      </c>
      <c r="B72" s="83">
        <v>4430</v>
      </c>
      <c r="C72" s="83">
        <v>600074862</v>
      </c>
      <c r="D72" s="83">
        <v>70695024</v>
      </c>
      <c r="E72" s="492" t="s">
        <v>361</v>
      </c>
      <c r="F72" s="83">
        <v>3111</v>
      </c>
      <c r="G72" s="493" t="s">
        <v>359</v>
      </c>
      <c r="H72" s="493" t="s">
        <v>283</v>
      </c>
      <c r="I72" s="495">
        <v>801099</v>
      </c>
      <c r="J72" s="496">
        <v>581664</v>
      </c>
      <c r="K72" s="496">
        <v>0</v>
      </c>
      <c r="L72" s="496">
        <v>0</v>
      </c>
      <c r="M72" s="411">
        <v>196602</v>
      </c>
      <c r="N72" s="411">
        <v>11633</v>
      </c>
      <c r="O72" s="496">
        <v>11200</v>
      </c>
      <c r="P72" s="497">
        <v>1.4609000000000001</v>
      </c>
      <c r="Q72" s="412">
        <v>1</v>
      </c>
      <c r="R72" s="498">
        <v>0.46089999999999998</v>
      </c>
      <c r="S72" s="499">
        <f t="shared" si="2"/>
        <v>0</v>
      </c>
      <c r="T72" s="486">
        <v>0</v>
      </c>
      <c r="U72" s="486">
        <v>0</v>
      </c>
      <c r="V72" s="486">
        <f t="shared" ref="V72:V77" si="88">SUM(S72:U72)</f>
        <v>0</v>
      </c>
      <c r="W72" s="486">
        <v>0</v>
      </c>
      <c r="X72" s="500">
        <v>0</v>
      </c>
      <c r="Y72" s="486">
        <f t="shared" ref="Y72:Y77" si="89">SUM(W72:X72)</f>
        <v>0</v>
      </c>
      <c r="Z72" s="499">
        <f t="shared" ref="Z72:Z77" si="90">V72+Y72</f>
        <v>0</v>
      </c>
      <c r="AA72" s="319">
        <f t="shared" ref="AA72:AA77" si="91">ROUND((V72+W72)*33.8%,0)</f>
        <v>0</v>
      </c>
      <c r="AB72" s="178">
        <f t="shared" ref="AB72:AB77" si="92">ROUND(V72*2%,0)</f>
        <v>0</v>
      </c>
      <c r="AC72" s="486">
        <v>0</v>
      </c>
      <c r="AD72" s="486">
        <v>0</v>
      </c>
      <c r="AE72" s="486">
        <f t="shared" si="3"/>
        <v>0</v>
      </c>
      <c r="AF72" s="486">
        <f t="shared" si="4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ref="AL72:AL77" si="93">AG72+AI72+AJ72</f>
        <v>0</v>
      </c>
      <c r="AM72" s="501">
        <f t="shared" ref="AM72:AM77" si="94">AH72+AK72</f>
        <v>0</v>
      </c>
      <c r="AN72" s="502">
        <f t="shared" si="5"/>
        <v>0</v>
      </c>
      <c r="AO72" s="499">
        <f t="shared" ref="AO72:AO77" si="95">I72+AF72</f>
        <v>801099</v>
      </c>
      <c r="AP72" s="486">
        <f t="shared" ref="AP72:AP77" si="96">J72+V72</f>
        <v>581664</v>
      </c>
      <c r="AQ72" s="486">
        <f t="shared" ref="AQ72:AQ77" si="97">K72+Y72</f>
        <v>0</v>
      </c>
      <c r="AR72" s="480">
        <f t="shared" ref="AR72:AR77" si="98">L72</f>
        <v>0</v>
      </c>
      <c r="AS72" s="486">
        <f t="shared" ref="AS72:AT77" si="99">M72+AA72</f>
        <v>196602</v>
      </c>
      <c r="AT72" s="486">
        <f t="shared" si="99"/>
        <v>11633</v>
      </c>
      <c r="AU72" s="486">
        <f t="shared" ref="AU72:AU77" si="100">O72+AE72</f>
        <v>11200</v>
      </c>
      <c r="AV72" s="501">
        <f t="shared" ref="AV72:AV77" si="101">P72+AN72</f>
        <v>1.4609000000000001</v>
      </c>
      <c r="AW72" s="501">
        <f t="shared" ref="AW72:AX77" si="102">Q72+AL72</f>
        <v>1</v>
      </c>
      <c r="AX72" s="502">
        <f t="shared" si="102"/>
        <v>0.46089999999999998</v>
      </c>
    </row>
    <row r="73" spans="1:50" ht="12.95" customHeight="1" x14ac:dyDescent="0.25">
      <c r="A73" s="154">
        <v>14</v>
      </c>
      <c r="B73" s="83">
        <v>4430</v>
      </c>
      <c r="C73" s="83">
        <v>600074862</v>
      </c>
      <c r="D73" s="83">
        <v>70695024</v>
      </c>
      <c r="E73" s="492" t="s">
        <v>361</v>
      </c>
      <c r="F73" s="83">
        <v>3117</v>
      </c>
      <c r="G73" s="493" t="s">
        <v>320</v>
      </c>
      <c r="H73" s="493" t="s">
        <v>283</v>
      </c>
      <c r="I73" s="495">
        <v>2992739</v>
      </c>
      <c r="J73" s="496">
        <v>2145831</v>
      </c>
      <c r="K73" s="496">
        <v>3700</v>
      </c>
      <c r="L73" s="496">
        <v>3700</v>
      </c>
      <c r="M73" s="411">
        <v>725291</v>
      </c>
      <c r="N73" s="411">
        <v>42917</v>
      </c>
      <c r="O73" s="496">
        <v>75000</v>
      </c>
      <c r="P73" s="497">
        <v>4.1538000000000004</v>
      </c>
      <c r="Q73" s="412">
        <v>2.9533999999999998</v>
      </c>
      <c r="R73" s="498">
        <v>1.2004000000000001</v>
      </c>
      <c r="S73" s="499">
        <f t="shared" si="2"/>
        <v>0</v>
      </c>
      <c r="T73" s="486">
        <v>0</v>
      </c>
      <c r="U73" s="486">
        <v>0</v>
      </c>
      <c r="V73" s="486">
        <f t="shared" si="88"/>
        <v>0</v>
      </c>
      <c r="W73" s="486">
        <v>0</v>
      </c>
      <c r="X73" s="500">
        <v>0</v>
      </c>
      <c r="Y73" s="486">
        <f t="shared" si="89"/>
        <v>0</v>
      </c>
      <c r="Z73" s="499">
        <f t="shared" si="90"/>
        <v>0</v>
      </c>
      <c r="AA73" s="319">
        <f t="shared" si="91"/>
        <v>0</v>
      </c>
      <c r="AB73" s="178">
        <f t="shared" si="92"/>
        <v>0</v>
      </c>
      <c r="AC73" s="486">
        <v>0</v>
      </c>
      <c r="AD73" s="486">
        <v>0</v>
      </c>
      <c r="AE73" s="486">
        <f t="shared" si="3"/>
        <v>0</v>
      </c>
      <c r="AF73" s="486">
        <f t="shared" si="4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93"/>
        <v>0</v>
      </c>
      <c r="AM73" s="501">
        <f t="shared" si="94"/>
        <v>0</v>
      </c>
      <c r="AN73" s="502">
        <f t="shared" si="5"/>
        <v>0</v>
      </c>
      <c r="AO73" s="499">
        <f t="shared" si="95"/>
        <v>2992739</v>
      </c>
      <c r="AP73" s="486">
        <f t="shared" si="96"/>
        <v>2145831</v>
      </c>
      <c r="AQ73" s="486">
        <f t="shared" si="97"/>
        <v>3700</v>
      </c>
      <c r="AR73" s="480">
        <f t="shared" si="98"/>
        <v>3700</v>
      </c>
      <c r="AS73" s="486">
        <f t="shared" si="99"/>
        <v>725291</v>
      </c>
      <c r="AT73" s="486">
        <f t="shared" si="99"/>
        <v>42917</v>
      </c>
      <c r="AU73" s="486">
        <f t="shared" si="100"/>
        <v>75000</v>
      </c>
      <c r="AV73" s="501">
        <f t="shared" si="101"/>
        <v>4.1538000000000004</v>
      </c>
      <c r="AW73" s="501">
        <f t="shared" si="102"/>
        <v>2.9533999999999998</v>
      </c>
      <c r="AX73" s="502">
        <f t="shared" si="102"/>
        <v>1.2004000000000001</v>
      </c>
    </row>
    <row r="74" spans="1:50" ht="12.95" customHeight="1" x14ac:dyDescent="0.25">
      <c r="A74" s="154">
        <v>14</v>
      </c>
      <c r="B74" s="83">
        <v>4430</v>
      </c>
      <c r="C74" s="83">
        <v>600074862</v>
      </c>
      <c r="D74" s="83">
        <v>70695024</v>
      </c>
      <c r="E74" s="492" t="s">
        <v>361</v>
      </c>
      <c r="F74" s="83">
        <v>3117</v>
      </c>
      <c r="G74" s="493" t="s">
        <v>325</v>
      </c>
      <c r="H74" s="493" t="s">
        <v>284</v>
      </c>
      <c r="I74" s="495">
        <v>2567</v>
      </c>
      <c r="J74" s="496">
        <v>1890</v>
      </c>
      <c r="K74" s="496">
        <v>0</v>
      </c>
      <c r="L74" s="496">
        <v>0</v>
      </c>
      <c r="M74" s="411">
        <v>639</v>
      </c>
      <c r="N74" s="411">
        <v>38</v>
      </c>
      <c r="O74" s="496">
        <v>0</v>
      </c>
      <c r="P74" s="497">
        <v>0</v>
      </c>
      <c r="Q74" s="412">
        <v>0</v>
      </c>
      <c r="R74" s="498">
        <v>0</v>
      </c>
      <c r="S74" s="499">
        <f t="shared" si="2"/>
        <v>0</v>
      </c>
      <c r="T74" s="486">
        <v>0</v>
      </c>
      <c r="U74" s="486">
        <v>0</v>
      </c>
      <c r="V74" s="486">
        <f t="shared" si="88"/>
        <v>0</v>
      </c>
      <c r="W74" s="486">
        <v>0</v>
      </c>
      <c r="X74" s="500">
        <v>0</v>
      </c>
      <c r="Y74" s="486">
        <f t="shared" si="89"/>
        <v>0</v>
      </c>
      <c r="Z74" s="499">
        <f t="shared" si="90"/>
        <v>0</v>
      </c>
      <c r="AA74" s="319">
        <f t="shared" si="91"/>
        <v>0</v>
      </c>
      <c r="AB74" s="178">
        <f t="shared" si="92"/>
        <v>0</v>
      </c>
      <c r="AC74" s="486">
        <v>0</v>
      </c>
      <c r="AD74" s="486">
        <v>0</v>
      </c>
      <c r="AE74" s="486">
        <f t="shared" si="3"/>
        <v>0</v>
      </c>
      <c r="AF74" s="486">
        <f t="shared" si="4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93"/>
        <v>0</v>
      </c>
      <c r="AM74" s="501">
        <f t="shared" si="94"/>
        <v>0</v>
      </c>
      <c r="AN74" s="502">
        <f t="shared" si="5"/>
        <v>0</v>
      </c>
      <c r="AO74" s="499">
        <f t="shared" si="95"/>
        <v>2567</v>
      </c>
      <c r="AP74" s="486">
        <f t="shared" si="96"/>
        <v>1890</v>
      </c>
      <c r="AQ74" s="486">
        <f t="shared" si="97"/>
        <v>0</v>
      </c>
      <c r="AR74" s="480">
        <f t="shared" si="98"/>
        <v>0</v>
      </c>
      <c r="AS74" s="486">
        <f t="shared" si="99"/>
        <v>639</v>
      </c>
      <c r="AT74" s="486">
        <f t="shared" si="99"/>
        <v>38</v>
      </c>
      <c r="AU74" s="486">
        <f t="shared" si="100"/>
        <v>0</v>
      </c>
      <c r="AV74" s="501">
        <f t="shared" si="101"/>
        <v>0</v>
      </c>
      <c r="AW74" s="501">
        <f t="shared" si="102"/>
        <v>0</v>
      </c>
      <c r="AX74" s="502">
        <f t="shared" si="102"/>
        <v>0</v>
      </c>
    </row>
    <row r="75" spans="1:50" ht="12.95" customHeight="1" x14ac:dyDescent="0.25">
      <c r="A75" s="154">
        <v>14</v>
      </c>
      <c r="B75" s="83">
        <v>4430</v>
      </c>
      <c r="C75" s="83">
        <v>600074862</v>
      </c>
      <c r="D75" s="83">
        <v>70695024</v>
      </c>
      <c r="E75" s="492" t="s">
        <v>361</v>
      </c>
      <c r="F75" s="83">
        <v>3141</v>
      </c>
      <c r="G75" s="493" t="s">
        <v>321</v>
      </c>
      <c r="H75" s="493" t="s">
        <v>284</v>
      </c>
      <c r="I75" s="495">
        <v>562206</v>
      </c>
      <c r="J75" s="496">
        <v>412244</v>
      </c>
      <c r="K75" s="496">
        <v>0</v>
      </c>
      <c r="L75" s="496">
        <v>0</v>
      </c>
      <c r="M75" s="411">
        <v>139339</v>
      </c>
      <c r="N75" s="411">
        <v>8245</v>
      </c>
      <c r="O75" s="496">
        <v>2378</v>
      </c>
      <c r="P75" s="497">
        <v>1.4</v>
      </c>
      <c r="Q75" s="412">
        <v>0</v>
      </c>
      <c r="R75" s="498">
        <v>1.4</v>
      </c>
      <c r="S75" s="499">
        <f t="shared" si="2"/>
        <v>0</v>
      </c>
      <c r="T75" s="486">
        <v>0</v>
      </c>
      <c r="U75" s="486">
        <v>0</v>
      </c>
      <c r="V75" s="486">
        <f t="shared" si="88"/>
        <v>0</v>
      </c>
      <c r="W75" s="486">
        <v>0</v>
      </c>
      <c r="X75" s="500">
        <v>0</v>
      </c>
      <c r="Y75" s="486">
        <f t="shared" si="89"/>
        <v>0</v>
      </c>
      <c r="Z75" s="499">
        <f t="shared" si="90"/>
        <v>0</v>
      </c>
      <c r="AA75" s="319">
        <f t="shared" si="91"/>
        <v>0</v>
      </c>
      <c r="AB75" s="178">
        <f t="shared" si="92"/>
        <v>0</v>
      </c>
      <c r="AC75" s="486">
        <v>0</v>
      </c>
      <c r="AD75" s="486">
        <v>0</v>
      </c>
      <c r="AE75" s="486">
        <f t="shared" si="3"/>
        <v>0</v>
      </c>
      <c r="AF75" s="486">
        <f t="shared" si="4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93"/>
        <v>0</v>
      </c>
      <c r="AM75" s="501">
        <f t="shared" si="94"/>
        <v>0</v>
      </c>
      <c r="AN75" s="502">
        <f t="shared" si="5"/>
        <v>0</v>
      </c>
      <c r="AO75" s="499">
        <f t="shared" si="95"/>
        <v>562206</v>
      </c>
      <c r="AP75" s="486">
        <f t="shared" si="96"/>
        <v>412244</v>
      </c>
      <c r="AQ75" s="486">
        <f t="shared" si="97"/>
        <v>0</v>
      </c>
      <c r="AR75" s="480">
        <f t="shared" si="98"/>
        <v>0</v>
      </c>
      <c r="AS75" s="486">
        <f t="shared" si="99"/>
        <v>139339</v>
      </c>
      <c r="AT75" s="486">
        <f t="shared" si="99"/>
        <v>8245</v>
      </c>
      <c r="AU75" s="486">
        <f t="shared" si="100"/>
        <v>2378</v>
      </c>
      <c r="AV75" s="501">
        <f t="shared" si="101"/>
        <v>1.4</v>
      </c>
      <c r="AW75" s="501">
        <f t="shared" si="102"/>
        <v>0</v>
      </c>
      <c r="AX75" s="502">
        <f t="shared" si="102"/>
        <v>1.4</v>
      </c>
    </row>
    <row r="76" spans="1:50" ht="12.95" customHeight="1" x14ac:dyDescent="0.25">
      <c r="A76" s="154">
        <v>14</v>
      </c>
      <c r="B76" s="83">
        <v>4430</v>
      </c>
      <c r="C76" s="83">
        <v>600074862</v>
      </c>
      <c r="D76" s="83">
        <v>70695024</v>
      </c>
      <c r="E76" s="492" t="s">
        <v>361</v>
      </c>
      <c r="F76" s="83">
        <v>3143</v>
      </c>
      <c r="G76" s="493" t="s">
        <v>634</v>
      </c>
      <c r="H76" s="493" t="s">
        <v>283</v>
      </c>
      <c r="I76" s="495">
        <v>462567</v>
      </c>
      <c r="J76" s="496">
        <v>340624</v>
      </c>
      <c r="K76" s="496">
        <v>0</v>
      </c>
      <c r="L76" s="496">
        <v>0</v>
      </c>
      <c r="M76" s="411">
        <v>115131</v>
      </c>
      <c r="N76" s="411">
        <v>6812</v>
      </c>
      <c r="O76" s="496">
        <v>0</v>
      </c>
      <c r="P76" s="497">
        <v>0.75</v>
      </c>
      <c r="Q76" s="412">
        <v>0.75</v>
      </c>
      <c r="R76" s="498">
        <v>0</v>
      </c>
      <c r="S76" s="499">
        <f t="shared" si="2"/>
        <v>0</v>
      </c>
      <c r="T76" s="486">
        <v>0</v>
      </c>
      <c r="U76" s="486">
        <v>0</v>
      </c>
      <c r="V76" s="486">
        <f t="shared" si="88"/>
        <v>0</v>
      </c>
      <c r="W76" s="486">
        <v>0</v>
      </c>
      <c r="X76" s="500">
        <v>0</v>
      </c>
      <c r="Y76" s="486">
        <f t="shared" si="89"/>
        <v>0</v>
      </c>
      <c r="Z76" s="499">
        <f t="shared" si="90"/>
        <v>0</v>
      </c>
      <c r="AA76" s="319">
        <f t="shared" si="91"/>
        <v>0</v>
      </c>
      <c r="AB76" s="178">
        <f t="shared" si="92"/>
        <v>0</v>
      </c>
      <c r="AC76" s="486">
        <v>0</v>
      </c>
      <c r="AD76" s="486">
        <v>0</v>
      </c>
      <c r="AE76" s="486">
        <f t="shared" si="3"/>
        <v>0</v>
      </c>
      <c r="AF76" s="486">
        <f t="shared" si="4"/>
        <v>0</v>
      </c>
      <c r="AG76" s="501">
        <v>0</v>
      </c>
      <c r="AH76" s="501">
        <v>0</v>
      </c>
      <c r="AI76" s="501">
        <v>0</v>
      </c>
      <c r="AJ76" s="501">
        <v>0</v>
      </c>
      <c r="AK76" s="501">
        <v>0</v>
      </c>
      <c r="AL76" s="501">
        <f t="shared" si="93"/>
        <v>0</v>
      </c>
      <c r="AM76" s="501">
        <f t="shared" si="94"/>
        <v>0</v>
      </c>
      <c r="AN76" s="502">
        <f t="shared" si="5"/>
        <v>0</v>
      </c>
      <c r="AO76" s="499">
        <f t="shared" si="95"/>
        <v>462567</v>
      </c>
      <c r="AP76" s="486">
        <f t="shared" si="96"/>
        <v>340624</v>
      </c>
      <c r="AQ76" s="486">
        <f t="shared" si="97"/>
        <v>0</v>
      </c>
      <c r="AR76" s="480">
        <f t="shared" si="98"/>
        <v>0</v>
      </c>
      <c r="AS76" s="486">
        <f t="shared" si="99"/>
        <v>115131</v>
      </c>
      <c r="AT76" s="486">
        <f t="shared" si="99"/>
        <v>6812</v>
      </c>
      <c r="AU76" s="486">
        <f t="shared" si="100"/>
        <v>0</v>
      </c>
      <c r="AV76" s="501">
        <f t="shared" si="101"/>
        <v>0.75</v>
      </c>
      <c r="AW76" s="501">
        <f t="shared" si="102"/>
        <v>0.75</v>
      </c>
      <c r="AX76" s="502">
        <f t="shared" si="102"/>
        <v>0</v>
      </c>
    </row>
    <row r="77" spans="1:50" ht="12.95" customHeight="1" x14ac:dyDescent="0.25">
      <c r="A77" s="154">
        <v>14</v>
      </c>
      <c r="B77" s="83">
        <v>4430</v>
      </c>
      <c r="C77" s="83">
        <v>600074862</v>
      </c>
      <c r="D77" s="83">
        <v>70695024</v>
      </c>
      <c r="E77" s="492" t="s">
        <v>361</v>
      </c>
      <c r="F77" s="83">
        <v>3143</v>
      </c>
      <c r="G77" s="493" t="s">
        <v>635</v>
      </c>
      <c r="H77" s="493" t="s">
        <v>284</v>
      </c>
      <c r="I77" s="495">
        <v>14747</v>
      </c>
      <c r="J77" s="496">
        <v>10395</v>
      </c>
      <c r="K77" s="496">
        <v>0</v>
      </c>
      <c r="L77" s="496">
        <v>0</v>
      </c>
      <c r="M77" s="411">
        <v>3514</v>
      </c>
      <c r="N77" s="411">
        <v>208</v>
      </c>
      <c r="O77" s="496">
        <v>630</v>
      </c>
      <c r="P77" s="497">
        <v>0.04</v>
      </c>
      <c r="Q77" s="412">
        <v>0</v>
      </c>
      <c r="R77" s="498">
        <v>0.04</v>
      </c>
      <c r="S77" s="499">
        <f t="shared" si="2"/>
        <v>0</v>
      </c>
      <c r="T77" s="486">
        <v>0</v>
      </c>
      <c r="U77" s="486">
        <v>0</v>
      </c>
      <c r="V77" s="486">
        <f t="shared" si="88"/>
        <v>0</v>
      </c>
      <c r="W77" s="486">
        <v>0</v>
      </c>
      <c r="X77" s="500">
        <v>0</v>
      </c>
      <c r="Y77" s="486">
        <f t="shared" si="89"/>
        <v>0</v>
      </c>
      <c r="Z77" s="499">
        <f t="shared" si="90"/>
        <v>0</v>
      </c>
      <c r="AA77" s="319">
        <f t="shared" si="91"/>
        <v>0</v>
      </c>
      <c r="AB77" s="178">
        <f t="shared" si="92"/>
        <v>0</v>
      </c>
      <c r="AC77" s="486">
        <v>0</v>
      </c>
      <c r="AD77" s="486">
        <v>0</v>
      </c>
      <c r="AE77" s="486">
        <f t="shared" si="3"/>
        <v>0</v>
      </c>
      <c r="AF77" s="486">
        <f t="shared" si="4"/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si="93"/>
        <v>0</v>
      </c>
      <c r="AM77" s="501">
        <f t="shared" si="94"/>
        <v>0</v>
      </c>
      <c r="AN77" s="502">
        <f t="shared" si="5"/>
        <v>0</v>
      </c>
      <c r="AO77" s="499">
        <f t="shared" si="95"/>
        <v>14747</v>
      </c>
      <c r="AP77" s="486">
        <f t="shared" si="96"/>
        <v>10395</v>
      </c>
      <c r="AQ77" s="486">
        <f t="shared" si="97"/>
        <v>0</v>
      </c>
      <c r="AR77" s="480">
        <f t="shared" si="98"/>
        <v>0</v>
      </c>
      <c r="AS77" s="486">
        <f t="shared" si="99"/>
        <v>3514</v>
      </c>
      <c r="AT77" s="486">
        <f t="shared" si="99"/>
        <v>208</v>
      </c>
      <c r="AU77" s="486">
        <f t="shared" si="100"/>
        <v>630</v>
      </c>
      <c r="AV77" s="501">
        <f t="shared" si="101"/>
        <v>0.04</v>
      </c>
      <c r="AW77" s="501">
        <f t="shared" si="102"/>
        <v>0</v>
      </c>
      <c r="AX77" s="502">
        <f t="shared" si="102"/>
        <v>0.04</v>
      </c>
    </row>
    <row r="78" spans="1:50" ht="12.95" customHeight="1" x14ac:dyDescent="0.25">
      <c r="A78" s="155">
        <v>14</v>
      </c>
      <c r="B78" s="85">
        <v>4430</v>
      </c>
      <c r="C78" s="85">
        <v>600074862</v>
      </c>
      <c r="D78" s="85">
        <v>70695024</v>
      </c>
      <c r="E78" s="89" t="s">
        <v>362</v>
      </c>
      <c r="F78" s="92"/>
      <c r="G78" s="93"/>
      <c r="H78" s="93"/>
      <c r="I78" s="147">
        <v>4835925</v>
      </c>
      <c r="J78" s="91">
        <v>3492648</v>
      </c>
      <c r="K78" s="91">
        <v>3700</v>
      </c>
      <c r="L78" s="91">
        <v>3700</v>
      </c>
      <c r="M78" s="91">
        <v>1180516</v>
      </c>
      <c r="N78" s="91">
        <v>69853</v>
      </c>
      <c r="O78" s="91">
        <v>89208</v>
      </c>
      <c r="P78" s="94">
        <v>7.8047000000000013</v>
      </c>
      <c r="Q78" s="94">
        <v>4.7034000000000002</v>
      </c>
      <c r="R78" s="275">
        <v>3.1013000000000002</v>
      </c>
      <c r="S78" s="142">
        <f t="shared" ref="S78:AN78" si="103">SUM(S72:S77)</f>
        <v>0</v>
      </c>
      <c r="T78" s="91">
        <f t="shared" si="103"/>
        <v>0</v>
      </c>
      <c r="U78" s="91">
        <f t="shared" si="103"/>
        <v>0</v>
      </c>
      <c r="V78" s="91">
        <f t="shared" si="103"/>
        <v>0</v>
      </c>
      <c r="W78" s="91">
        <f t="shared" si="103"/>
        <v>0</v>
      </c>
      <c r="X78" s="442">
        <f t="shared" si="103"/>
        <v>0</v>
      </c>
      <c r="Y78" s="91">
        <f t="shared" si="103"/>
        <v>0</v>
      </c>
      <c r="Z78" s="142">
        <f t="shared" si="103"/>
        <v>0</v>
      </c>
      <c r="AA78" s="91">
        <f t="shared" si="103"/>
        <v>0</v>
      </c>
      <c r="AB78" s="91">
        <f t="shared" si="103"/>
        <v>0</v>
      </c>
      <c r="AC78" s="91">
        <f t="shared" si="103"/>
        <v>0</v>
      </c>
      <c r="AD78" s="91">
        <f t="shared" si="103"/>
        <v>0</v>
      </c>
      <c r="AE78" s="91">
        <f t="shared" si="103"/>
        <v>0</v>
      </c>
      <c r="AF78" s="91">
        <f t="shared" si="103"/>
        <v>0</v>
      </c>
      <c r="AG78" s="94">
        <f t="shared" si="103"/>
        <v>0</v>
      </c>
      <c r="AH78" s="94">
        <f t="shared" si="103"/>
        <v>0</v>
      </c>
      <c r="AI78" s="94">
        <f t="shared" si="103"/>
        <v>0</v>
      </c>
      <c r="AJ78" s="94">
        <f t="shared" si="103"/>
        <v>0</v>
      </c>
      <c r="AK78" s="94">
        <f t="shared" si="103"/>
        <v>0</v>
      </c>
      <c r="AL78" s="94">
        <f t="shared" si="103"/>
        <v>0</v>
      </c>
      <c r="AM78" s="94">
        <f t="shared" si="103"/>
        <v>0</v>
      </c>
      <c r="AN78" s="275">
        <f t="shared" si="103"/>
        <v>0</v>
      </c>
      <c r="AO78" s="142">
        <f t="shared" ref="AO78:AX78" si="104">SUM(AO72:AO77)</f>
        <v>4835925</v>
      </c>
      <c r="AP78" s="91">
        <f t="shared" si="104"/>
        <v>3492648</v>
      </c>
      <c r="AQ78" s="91">
        <f t="shared" si="104"/>
        <v>3700</v>
      </c>
      <c r="AR78" s="91">
        <f t="shared" si="104"/>
        <v>3700</v>
      </c>
      <c r="AS78" s="91">
        <f t="shared" si="104"/>
        <v>1180516</v>
      </c>
      <c r="AT78" s="91">
        <f t="shared" si="104"/>
        <v>69853</v>
      </c>
      <c r="AU78" s="91">
        <f t="shared" si="104"/>
        <v>89208</v>
      </c>
      <c r="AV78" s="94">
        <f t="shared" si="104"/>
        <v>7.8047000000000013</v>
      </c>
      <c r="AW78" s="94">
        <f t="shared" si="104"/>
        <v>4.7034000000000002</v>
      </c>
      <c r="AX78" s="275">
        <f t="shared" si="104"/>
        <v>3.1013000000000002</v>
      </c>
    </row>
    <row r="79" spans="1:50" ht="12.95" customHeight="1" x14ac:dyDescent="0.25">
      <c r="A79" s="154">
        <v>15</v>
      </c>
      <c r="B79" s="83">
        <v>4433</v>
      </c>
      <c r="C79" s="83">
        <v>600075001</v>
      </c>
      <c r="D79" s="83">
        <v>70695440</v>
      </c>
      <c r="E79" s="492" t="s">
        <v>363</v>
      </c>
      <c r="F79" s="83">
        <v>3111</v>
      </c>
      <c r="G79" s="493" t="s">
        <v>331</v>
      </c>
      <c r="H79" s="493" t="s">
        <v>283</v>
      </c>
      <c r="I79" s="495">
        <v>1488667</v>
      </c>
      <c r="J79" s="496">
        <v>1085395</v>
      </c>
      <c r="K79" s="496">
        <v>0</v>
      </c>
      <c r="L79" s="496">
        <v>0</v>
      </c>
      <c r="M79" s="411">
        <v>366864</v>
      </c>
      <c r="N79" s="411">
        <v>21708</v>
      </c>
      <c r="O79" s="496">
        <v>14700</v>
      </c>
      <c r="P79" s="497">
        <v>2.5108999999999999</v>
      </c>
      <c r="Q79" s="412">
        <v>2</v>
      </c>
      <c r="R79" s="498">
        <v>0.51090000000000002</v>
      </c>
      <c r="S79" s="499">
        <f t="shared" si="2"/>
        <v>0</v>
      </c>
      <c r="T79" s="486">
        <v>0</v>
      </c>
      <c r="U79" s="486">
        <v>0</v>
      </c>
      <c r="V79" s="486">
        <f t="shared" ref="V79:V84" si="105">SUM(S79:U79)</f>
        <v>0</v>
      </c>
      <c r="W79" s="486">
        <v>0</v>
      </c>
      <c r="X79" s="500">
        <v>0</v>
      </c>
      <c r="Y79" s="486">
        <f t="shared" ref="Y79:Y84" si="106">SUM(W79:X79)</f>
        <v>0</v>
      </c>
      <c r="Z79" s="499">
        <f t="shared" ref="Z79:Z84" si="107">V79+Y79</f>
        <v>0</v>
      </c>
      <c r="AA79" s="319">
        <f t="shared" ref="AA79:AA84" si="108">ROUND((V79+W79)*33.8%,0)</f>
        <v>0</v>
      </c>
      <c r="AB79" s="178">
        <f t="shared" ref="AB79:AB84" si="109">ROUND(V79*2%,0)</f>
        <v>0</v>
      </c>
      <c r="AC79" s="486">
        <v>0</v>
      </c>
      <c r="AD79" s="486">
        <v>0</v>
      </c>
      <c r="AE79" s="486">
        <f t="shared" ref="AE79:AE120" si="110">SUM(AC79:AD79)</f>
        <v>0</v>
      </c>
      <c r="AF79" s="486">
        <f t="shared" ref="AF79:AF120" si="111">Z79+AA79+AB79+AE79</f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ref="AL79:AL84" si="112">AG79+AI79+AJ79</f>
        <v>0</v>
      </c>
      <c r="AM79" s="501">
        <f t="shared" ref="AM79:AM84" si="113">AH79+AK79</f>
        <v>0</v>
      </c>
      <c r="AN79" s="502">
        <f t="shared" ref="AN79:AN120" si="114">SUM(AL79:AM79)</f>
        <v>0</v>
      </c>
      <c r="AO79" s="499">
        <f t="shared" ref="AO79:AO84" si="115">I79+AF79</f>
        <v>1488667</v>
      </c>
      <c r="AP79" s="486">
        <f t="shared" ref="AP79:AP84" si="116">J79+V79</f>
        <v>1085395</v>
      </c>
      <c r="AQ79" s="486">
        <f t="shared" ref="AQ79:AQ84" si="117">K79+Y79</f>
        <v>0</v>
      </c>
      <c r="AR79" s="480">
        <f t="shared" ref="AR79:AR84" si="118">L79</f>
        <v>0</v>
      </c>
      <c r="AS79" s="486">
        <f t="shared" ref="AS79:AT84" si="119">M79+AA79</f>
        <v>366864</v>
      </c>
      <c r="AT79" s="486">
        <f t="shared" si="119"/>
        <v>21708</v>
      </c>
      <c r="AU79" s="486">
        <f t="shared" ref="AU79:AU84" si="120">O79+AE79</f>
        <v>14700</v>
      </c>
      <c r="AV79" s="501">
        <f t="shared" ref="AV79:AV84" si="121">P79+AN79</f>
        <v>2.5108999999999999</v>
      </c>
      <c r="AW79" s="501">
        <f t="shared" ref="AW79:AX84" si="122">Q79+AL79</f>
        <v>2</v>
      </c>
      <c r="AX79" s="502">
        <f t="shared" si="122"/>
        <v>0.51090000000000002</v>
      </c>
    </row>
    <row r="80" spans="1:50" ht="12.95" customHeight="1" x14ac:dyDescent="0.25">
      <c r="A80" s="154">
        <v>15</v>
      </c>
      <c r="B80" s="83">
        <v>4433</v>
      </c>
      <c r="C80" s="83">
        <v>600075001</v>
      </c>
      <c r="D80" s="83">
        <v>70695440</v>
      </c>
      <c r="E80" s="492" t="s">
        <v>363</v>
      </c>
      <c r="F80" s="83">
        <v>3117</v>
      </c>
      <c r="G80" s="493" t="s">
        <v>335</v>
      </c>
      <c r="H80" s="493" t="s">
        <v>283</v>
      </c>
      <c r="I80" s="495">
        <v>1572211</v>
      </c>
      <c r="J80" s="496">
        <v>1134559</v>
      </c>
      <c r="K80" s="496">
        <v>1480</v>
      </c>
      <c r="L80" s="496">
        <v>1480</v>
      </c>
      <c r="M80" s="411">
        <v>383481</v>
      </c>
      <c r="N80" s="411">
        <v>22691</v>
      </c>
      <c r="O80" s="496">
        <v>30000</v>
      </c>
      <c r="P80" s="497">
        <v>2.3726000000000003</v>
      </c>
      <c r="Q80" s="412">
        <v>1.5455000000000001</v>
      </c>
      <c r="R80" s="498">
        <v>0.82710000000000006</v>
      </c>
      <c r="S80" s="499">
        <f t="shared" ref="S80:S84" si="123">W80*-1</f>
        <v>0</v>
      </c>
      <c r="T80" s="486">
        <v>0</v>
      </c>
      <c r="U80" s="486">
        <v>0</v>
      </c>
      <c r="V80" s="486">
        <f t="shared" si="105"/>
        <v>0</v>
      </c>
      <c r="W80" s="486">
        <v>0</v>
      </c>
      <c r="X80" s="500">
        <v>0</v>
      </c>
      <c r="Y80" s="486">
        <f t="shared" si="106"/>
        <v>0</v>
      </c>
      <c r="Z80" s="499">
        <f t="shared" si="107"/>
        <v>0</v>
      </c>
      <c r="AA80" s="319">
        <f t="shared" si="108"/>
        <v>0</v>
      </c>
      <c r="AB80" s="178">
        <f t="shared" si="109"/>
        <v>0</v>
      </c>
      <c r="AC80" s="486">
        <v>0</v>
      </c>
      <c r="AD80" s="486">
        <v>0</v>
      </c>
      <c r="AE80" s="486">
        <f t="shared" si="110"/>
        <v>0</v>
      </c>
      <c r="AF80" s="486">
        <f t="shared" si="111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12"/>
        <v>0</v>
      </c>
      <c r="AM80" s="501">
        <f t="shared" si="113"/>
        <v>0</v>
      </c>
      <c r="AN80" s="502">
        <f t="shared" si="114"/>
        <v>0</v>
      </c>
      <c r="AO80" s="499">
        <f t="shared" si="115"/>
        <v>1572211</v>
      </c>
      <c r="AP80" s="486">
        <f t="shared" si="116"/>
        <v>1134559</v>
      </c>
      <c r="AQ80" s="486">
        <f t="shared" si="117"/>
        <v>1480</v>
      </c>
      <c r="AR80" s="480">
        <f t="shared" si="118"/>
        <v>1480</v>
      </c>
      <c r="AS80" s="486">
        <f t="shared" si="119"/>
        <v>383481</v>
      </c>
      <c r="AT80" s="486">
        <f t="shared" si="119"/>
        <v>22691</v>
      </c>
      <c r="AU80" s="486">
        <f t="shared" si="120"/>
        <v>30000</v>
      </c>
      <c r="AV80" s="501">
        <f t="shared" si="121"/>
        <v>2.3726000000000003</v>
      </c>
      <c r="AW80" s="501">
        <f t="shared" si="122"/>
        <v>1.5455000000000001</v>
      </c>
      <c r="AX80" s="502">
        <f t="shared" si="122"/>
        <v>0.82710000000000006</v>
      </c>
    </row>
    <row r="81" spans="1:50" ht="12.95" customHeight="1" x14ac:dyDescent="0.25">
      <c r="A81" s="154">
        <v>15</v>
      </c>
      <c r="B81" s="83">
        <v>4433</v>
      </c>
      <c r="C81" s="83">
        <v>600075001</v>
      </c>
      <c r="D81" s="83">
        <v>70695440</v>
      </c>
      <c r="E81" s="492" t="s">
        <v>363</v>
      </c>
      <c r="F81" s="83">
        <v>3117</v>
      </c>
      <c r="G81" s="493" t="s">
        <v>325</v>
      </c>
      <c r="H81" s="493" t="s">
        <v>284</v>
      </c>
      <c r="I81" s="495">
        <v>28180</v>
      </c>
      <c r="J81" s="496">
        <v>20751</v>
      </c>
      <c r="K81" s="496">
        <v>0</v>
      </c>
      <c r="L81" s="496">
        <v>0</v>
      </c>
      <c r="M81" s="411">
        <v>7014</v>
      </c>
      <c r="N81" s="411">
        <v>415</v>
      </c>
      <c r="O81" s="496">
        <v>0</v>
      </c>
      <c r="P81" s="497">
        <v>0.08</v>
      </c>
      <c r="Q81" s="412">
        <v>0.08</v>
      </c>
      <c r="R81" s="498">
        <v>0</v>
      </c>
      <c r="S81" s="499">
        <f t="shared" si="123"/>
        <v>0</v>
      </c>
      <c r="T81" s="486">
        <v>0</v>
      </c>
      <c r="U81" s="486">
        <v>0</v>
      </c>
      <c r="V81" s="486">
        <f t="shared" si="105"/>
        <v>0</v>
      </c>
      <c r="W81" s="486">
        <v>0</v>
      </c>
      <c r="X81" s="500">
        <v>0</v>
      </c>
      <c r="Y81" s="486">
        <f t="shared" si="106"/>
        <v>0</v>
      </c>
      <c r="Z81" s="499">
        <f t="shared" si="107"/>
        <v>0</v>
      </c>
      <c r="AA81" s="319">
        <f t="shared" si="108"/>
        <v>0</v>
      </c>
      <c r="AB81" s="178">
        <f t="shared" si="109"/>
        <v>0</v>
      </c>
      <c r="AC81" s="486">
        <v>0</v>
      </c>
      <c r="AD81" s="486">
        <v>0</v>
      </c>
      <c r="AE81" s="486">
        <f t="shared" si="110"/>
        <v>0</v>
      </c>
      <c r="AF81" s="486">
        <f t="shared" si="111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112"/>
        <v>0</v>
      </c>
      <c r="AM81" s="501">
        <f t="shared" si="113"/>
        <v>0</v>
      </c>
      <c r="AN81" s="502">
        <f t="shared" si="114"/>
        <v>0</v>
      </c>
      <c r="AO81" s="499">
        <f t="shared" si="115"/>
        <v>28180</v>
      </c>
      <c r="AP81" s="486">
        <f t="shared" si="116"/>
        <v>20751</v>
      </c>
      <c r="AQ81" s="486">
        <f t="shared" si="117"/>
        <v>0</v>
      </c>
      <c r="AR81" s="480">
        <f t="shared" si="118"/>
        <v>0</v>
      </c>
      <c r="AS81" s="486">
        <f t="shared" si="119"/>
        <v>7014</v>
      </c>
      <c r="AT81" s="486">
        <f t="shared" si="119"/>
        <v>415</v>
      </c>
      <c r="AU81" s="486">
        <f t="shared" si="120"/>
        <v>0</v>
      </c>
      <c r="AV81" s="501">
        <f t="shared" si="121"/>
        <v>0.08</v>
      </c>
      <c r="AW81" s="501">
        <f t="shared" si="122"/>
        <v>0.08</v>
      </c>
      <c r="AX81" s="502">
        <f t="shared" si="122"/>
        <v>0</v>
      </c>
    </row>
    <row r="82" spans="1:50" ht="12.95" customHeight="1" x14ac:dyDescent="0.25">
      <c r="A82" s="154">
        <v>15</v>
      </c>
      <c r="B82" s="83">
        <v>4433</v>
      </c>
      <c r="C82" s="83">
        <v>600075001</v>
      </c>
      <c r="D82" s="83">
        <v>70695440</v>
      </c>
      <c r="E82" s="492" t="s">
        <v>363</v>
      </c>
      <c r="F82" s="83">
        <v>3141</v>
      </c>
      <c r="G82" s="493" t="s">
        <v>321</v>
      </c>
      <c r="H82" s="493" t="s">
        <v>284</v>
      </c>
      <c r="I82" s="495">
        <v>461642</v>
      </c>
      <c r="J82" s="496">
        <v>338618</v>
      </c>
      <c r="K82" s="496">
        <v>0</v>
      </c>
      <c r="L82" s="496">
        <v>0</v>
      </c>
      <c r="M82" s="411">
        <v>114453</v>
      </c>
      <c r="N82" s="411">
        <v>6773</v>
      </c>
      <c r="O82" s="496">
        <v>1798</v>
      </c>
      <c r="P82" s="497">
        <v>1.1500000000000001</v>
      </c>
      <c r="Q82" s="412">
        <v>0</v>
      </c>
      <c r="R82" s="498">
        <v>1.1500000000000001</v>
      </c>
      <c r="S82" s="499">
        <f t="shared" si="123"/>
        <v>0</v>
      </c>
      <c r="T82" s="486">
        <v>0</v>
      </c>
      <c r="U82" s="486">
        <v>0</v>
      </c>
      <c r="V82" s="486">
        <f t="shared" si="105"/>
        <v>0</v>
      </c>
      <c r="W82" s="486">
        <v>0</v>
      </c>
      <c r="X82" s="500">
        <v>0</v>
      </c>
      <c r="Y82" s="486">
        <f t="shared" si="106"/>
        <v>0</v>
      </c>
      <c r="Z82" s="499">
        <f t="shared" si="107"/>
        <v>0</v>
      </c>
      <c r="AA82" s="319">
        <f t="shared" si="108"/>
        <v>0</v>
      </c>
      <c r="AB82" s="178">
        <f t="shared" si="109"/>
        <v>0</v>
      </c>
      <c r="AC82" s="486">
        <v>0</v>
      </c>
      <c r="AD82" s="486">
        <v>0</v>
      </c>
      <c r="AE82" s="486">
        <f t="shared" si="110"/>
        <v>0</v>
      </c>
      <c r="AF82" s="486">
        <f t="shared" si="111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112"/>
        <v>0</v>
      </c>
      <c r="AM82" s="501">
        <f t="shared" si="113"/>
        <v>0</v>
      </c>
      <c r="AN82" s="502">
        <f t="shared" si="114"/>
        <v>0</v>
      </c>
      <c r="AO82" s="499">
        <f t="shared" si="115"/>
        <v>461642</v>
      </c>
      <c r="AP82" s="486">
        <f t="shared" si="116"/>
        <v>338618</v>
      </c>
      <c r="AQ82" s="486">
        <f t="shared" si="117"/>
        <v>0</v>
      </c>
      <c r="AR82" s="480">
        <f t="shared" si="118"/>
        <v>0</v>
      </c>
      <c r="AS82" s="486">
        <f t="shared" si="119"/>
        <v>114453</v>
      </c>
      <c r="AT82" s="486">
        <f t="shared" si="119"/>
        <v>6773</v>
      </c>
      <c r="AU82" s="486">
        <f t="shared" si="120"/>
        <v>1798</v>
      </c>
      <c r="AV82" s="501">
        <f t="shared" si="121"/>
        <v>1.1500000000000001</v>
      </c>
      <c r="AW82" s="501">
        <f t="shared" si="122"/>
        <v>0</v>
      </c>
      <c r="AX82" s="502">
        <f t="shared" si="122"/>
        <v>1.1500000000000001</v>
      </c>
    </row>
    <row r="83" spans="1:50" ht="12.95" customHeight="1" x14ac:dyDescent="0.25">
      <c r="A83" s="154">
        <v>15</v>
      </c>
      <c r="B83" s="83">
        <v>4433</v>
      </c>
      <c r="C83" s="83">
        <v>600075001</v>
      </c>
      <c r="D83" s="83">
        <v>70695440</v>
      </c>
      <c r="E83" s="492" t="s">
        <v>363</v>
      </c>
      <c r="F83" s="83">
        <v>3143</v>
      </c>
      <c r="G83" s="493" t="s">
        <v>634</v>
      </c>
      <c r="H83" s="493" t="s">
        <v>283</v>
      </c>
      <c r="I83" s="495">
        <v>220611</v>
      </c>
      <c r="J83" s="496">
        <v>162453</v>
      </c>
      <c r="K83" s="496">
        <v>0</v>
      </c>
      <c r="L83" s="496">
        <v>0</v>
      </c>
      <c r="M83" s="411">
        <v>54909</v>
      </c>
      <c r="N83" s="411">
        <v>3249</v>
      </c>
      <c r="O83" s="496">
        <v>0</v>
      </c>
      <c r="P83" s="497">
        <v>0.5</v>
      </c>
      <c r="Q83" s="412">
        <v>0.5</v>
      </c>
      <c r="R83" s="498">
        <v>0</v>
      </c>
      <c r="S83" s="499">
        <f t="shared" si="123"/>
        <v>0</v>
      </c>
      <c r="T83" s="486">
        <v>0</v>
      </c>
      <c r="U83" s="486">
        <v>0</v>
      </c>
      <c r="V83" s="486">
        <f t="shared" si="105"/>
        <v>0</v>
      </c>
      <c r="W83" s="486">
        <v>0</v>
      </c>
      <c r="X83" s="500">
        <v>0</v>
      </c>
      <c r="Y83" s="486">
        <f t="shared" si="106"/>
        <v>0</v>
      </c>
      <c r="Z83" s="499">
        <f t="shared" si="107"/>
        <v>0</v>
      </c>
      <c r="AA83" s="319">
        <f t="shared" si="108"/>
        <v>0</v>
      </c>
      <c r="AB83" s="178">
        <f t="shared" si="109"/>
        <v>0</v>
      </c>
      <c r="AC83" s="486">
        <v>0</v>
      </c>
      <c r="AD83" s="486">
        <v>0</v>
      </c>
      <c r="AE83" s="486">
        <f t="shared" si="110"/>
        <v>0</v>
      </c>
      <c r="AF83" s="486">
        <f t="shared" si="111"/>
        <v>0</v>
      </c>
      <c r="AG83" s="501">
        <v>0</v>
      </c>
      <c r="AH83" s="501">
        <v>0</v>
      </c>
      <c r="AI83" s="501">
        <v>0</v>
      </c>
      <c r="AJ83" s="501">
        <v>0</v>
      </c>
      <c r="AK83" s="501">
        <v>0</v>
      </c>
      <c r="AL83" s="501">
        <f t="shared" si="112"/>
        <v>0</v>
      </c>
      <c r="AM83" s="501">
        <f t="shared" si="113"/>
        <v>0</v>
      </c>
      <c r="AN83" s="502">
        <f t="shared" si="114"/>
        <v>0</v>
      </c>
      <c r="AO83" s="499">
        <f t="shared" si="115"/>
        <v>220611</v>
      </c>
      <c r="AP83" s="486">
        <f t="shared" si="116"/>
        <v>162453</v>
      </c>
      <c r="AQ83" s="486">
        <f t="shared" si="117"/>
        <v>0</v>
      </c>
      <c r="AR83" s="480">
        <f t="shared" si="118"/>
        <v>0</v>
      </c>
      <c r="AS83" s="486">
        <f t="shared" si="119"/>
        <v>54909</v>
      </c>
      <c r="AT83" s="486">
        <f t="shared" si="119"/>
        <v>3249</v>
      </c>
      <c r="AU83" s="486">
        <f t="shared" si="120"/>
        <v>0</v>
      </c>
      <c r="AV83" s="501">
        <f t="shared" si="121"/>
        <v>0.5</v>
      </c>
      <c r="AW83" s="501">
        <f t="shared" si="122"/>
        <v>0.5</v>
      </c>
      <c r="AX83" s="502">
        <f t="shared" si="122"/>
        <v>0</v>
      </c>
    </row>
    <row r="84" spans="1:50" ht="12.95" customHeight="1" x14ac:dyDescent="0.25">
      <c r="A84" s="154">
        <v>15</v>
      </c>
      <c r="B84" s="83">
        <v>4433</v>
      </c>
      <c r="C84" s="83">
        <v>600075001</v>
      </c>
      <c r="D84" s="83">
        <v>70695440</v>
      </c>
      <c r="E84" s="492" t="s">
        <v>363</v>
      </c>
      <c r="F84" s="83">
        <v>3143</v>
      </c>
      <c r="G84" s="493" t="s">
        <v>635</v>
      </c>
      <c r="H84" s="493" t="s">
        <v>284</v>
      </c>
      <c r="I84" s="495">
        <v>7022</v>
      </c>
      <c r="J84" s="496">
        <v>4950</v>
      </c>
      <c r="K84" s="496">
        <v>0</v>
      </c>
      <c r="L84" s="496">
        <v>0</v>
      </c>
      <c r="M84" s="411">
        <v>1673</v>
      </c>
      <c r="N84" s="411">
        <v>99</v>
      </c>
      <c r="O84" s="496">
        <v>300</v>
      </c>
      <c r="P84" s="497">
        <v>0.02</v>
      </c>
      <c r="Q84" s="412">
        <v>0</v>
      </c>
      <c r="R84" s="498">
        <v>0.02</v>
      </c>
      <c r="S84" s="499">
        <f t="shared" si="123"/>
        <v>0</v>
      </c>
      <c r="T84" s="486">
        <v>0</v>
      </c>
      <c r="U84" s="486">
        <v>0</v>
      </c>
      <c r="V84" s="486">
        <f t="shared" si="105"/>
        <v>0</v>
      </c>
      <c r="W84" s="486">
        <v>0</v>
      </c>
      <c r="X84" s="500">
        <v>0</v>
      </c>
      <c r="Y84" s="486">
        <f t="shared" si="106"/>
        <v>0</v>
      </c>
      <c r="Z84" s="499">
        <f t="shared" si="107"/>
        <v>0</v>
      </c>
      <c r="AA84" s="319">
        <f t="shared" si="108"/>
        <v>0</v>
      </c>
      <c r="AB84" s="178">
        <f t="shared" si="109"/>
        <v>0</v>
      </c>
      <c r="AC84" s="486">
        <v>0</v>
      </c>
      <c r="AD84" s="486">
        <v>0</v>
      </c>
      <c r="AE84" s="486">
        <f t="shared" si="110"/>
        <v>0</v>
      </c>
      <c r="AF84" s="486">
        <f t="shared" si="111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si="112"/>
        <v>0</v>
      </c>
      <c r="AM84" s="501">
        <f t="shared" si="113"/>
        <v>0</v>
      </c>
      <c r="AN84" s="502">
        <f t="shared" si="114"/>
        <v>0</v>
      </c>
      <c r="AO84" s="499">
        <f t="shared" si="115"/>
        <v>7022</v>
      </c>
      <c r="AP84" s="486">
        <f t="shared" si="116"/>
        <v>4950</v>
      </c>
      <c r="AQ84" s="486">
        <f t="shared" si="117"/>
        <v>0</v>
      </c>
      <c r="AR84" s="480">
        <f t="shared" si="118"/>
        <v>0</v>
      </c>
      <c r="AS84" s="486">
        <f t="shared" si="119"/>
        <v>1673</v>
      </c>
      <c r="AT84" s="486">
        <f t="shared" si="119"/>
        <v>99</v>
      </c>
      <c r="AU84" s="486">
        <f t="shared" si="120"/>
        <v>300</v>
      </c>
      <c r="AV84" s="501">
        <f t="shared" si="121"/>
        <v>0.02</v>
      </c>
      <c r="AW84" s="501">
        <f t="shared" si="122"/>
        <v>0</v>
      </c>
      <c r="AX84" s="502">
        <f t="shared" si="122"/>
        <v>0.02</v>
      </c>
    </row>
    <row r="85" spans="1:50" ht="12.95" customHeight="1" x14ac:dyDescent="0.25">
      <c r="A85" s="155">
        <v>15</v>
      </c>
      <c r="B85" s="85">
        <v>4433</v>
      </c>
      <c r="C85" s="85">
        <v>600075001</v>
      </c>
      <c r="D85" s="85">
        <v>70695440</v>
      </c>
      <c r="E85" s="89" t="s">
        <v>364</v>
      </c>
      <c r="F85" s="92"/>
      <c r="G85" s="93"/>
      <c r="H85" s="93"/>
      <c r="I85" s="147">
        <v>3778333</v>
      </c>
      <c r="J85" s="91">
        <v>2746726</v>
      </c>
      <c r="K85" s="91">
        <v>1480</v>
      </c>
      <c r="L85" s="91">
        <v>1480</v>
      </c>
      <c r="M85" s="91">
        <v>928394</v>
      </c>
      <c r="N85" s="91">
        <v>54935</v>
      </c>
      <c r="O85" s="91">
        <v>46798</v>
      </c>
      <c r="P85" s="94">
        <v>6.6334999999999997</v>
      </c>
      <c r="Q85" s="94">
        <v>4.1255000000000006</v>
      </c>
      <c r="R85" s="275">
        <v>2.5080000000000005</v>
      </c>
      <c r="S85" s="142">
        <f t="shared" ref="S85:AN85" si="124">SUM(S79:S84)</f>
        <v>0</v>
      </c>
      <c r="T85" s="91">
        <f t="shared" si="124"/>
        <v>0</v>
      </c>
      <c r="U85" s="91">
        <f t="shared" si="124"/>
        <v>0</v>
      </c>
      <c r="V85" s="91">
        <f t="shared" si="124"/>
        <v>0</v>
      </c>
      <c r="W85" s="91">
        <f t="shared" si="124"/>
        <v>0</v>
      </c>
      <c r="X85" s="442">
        <f t="shared" si="124"/>
        <v>0</v>
      </c>
      <c r="Y85" s="91">
        <f t="shared" si="124"/>
        <v>0</v>
      </c>
      <c r="Z85" s="142">
        <f t="shared" si="124"/>
        <v>0</v>
      </c>
      <c r="AA85" s="91">
        <f t="shared" si="124"/>
        <v>0</v>
      </c>
      <c r="AB85" s="91">
        <f t="shared" si="124"/>
        <v>0</v>
      </c>
      <c r="AC85" s="91">
        <f t="shared" si="124"/>
        <v>0</v>
      </c>
      <c r="AD85" s="91">
        <f t="shared" si="124"/>
        <v>0</v>
      </c>
      <c r="AE85" s="91">
        <f t="shared" si="124"/>
        <v>0</v>
      </c>
      <c r="AF85" s="91">
        <f t="shared" si="124"/>
        <v>0</v>
      </c>
      <c r="AG85" s="94">
        <f t="shared" si="124"/>
        <v>0</v>
      </c>
      <c r="AH85" s="94">
        <f t="shared" si="124"/>
        <v>0</v>
      </c>
      <c r="AI85" s="94">
        <f t="shared" si="124"/>
        <v>0</v>
      </c>
      <c r="AJ85" s="94">
        <f t="shared" si="124"/>
        <v>0</v>
      </c>
      <c r="AK85" s="94">
        <f t="shared" si="124"/>
        <v>0</v>
      </c>
      <c r="AL85" s="94">
        <f t="shared" si="124"/>
        <v>0</v>
      </c>
      <c r="AM85" s="94">
        <f t="shared" si="124"/>
        <v>0</v>
      </c>
      <c r="AN85" s="275">
        <f t="shared" si="124"/>
        <v>0</v>
      </c>
      <c r="AO85" s="142">
        <f t="shared" ref="AO85:AX85" si="125">SUM(AO79:AO84)</f>
        <v>3778333</v>
      </c>
      <c r="AP85" s="91">
        <f t="shared" si="125"/>
        <v>2746726</v>
      </c>
      <c r="AQ85" s="91">
        <f t="shared" si="125"/>
        <v>1480</v>
      </c>
      <c r="AR85" s="91">
        <f t="shared" si="125"/>
        <v>1480</v>
      </c>
      <c r="AS85" s="91">
        <f t="shared" si="125"/>
        <v>928394</v>
      </c>
      <c r="AT85" s="91">
        <f t="shared" si="125"/>
        <v>54935</v>
      </c>
      <c r="AU85" s="91">
        <f t="shared" si="125"/>
        <v>46798</v>
      </c>
      <c r="AV85" s="94">
        <f t="shared" si="125"/>
        <v>6.6334999999999997</v>
      </c>
      <c r="AW85" s="94">
        <f t="shared" si="125"/>
        <v>4.1255000000000006</v>
      </c>
      <c r="AX85" s="275">
        <f t="shared" si="125"/>
        <v>2.5080000000000005</v>
      </c>
    </row>
    <row r="86" spans="1:50" ht="12.95" customHeight="1" x14ac:dyDescent="0.25">
      <c r="A86" s="154">
        <v>16</v>
      </c>
      <c r="B86" s="83">
        <v>4487</v>
      </c>
      <c r="C86" s="83">
        <v>600074854</v>
      </c>
      <c r="D86" s="83">
        <v>70698503</v>
      </c>
      <c r="E86" s="492" t="s">
        <v>365</v>
      </c>
      <c r="F86" s="83">
        <v>3111</v>
      </c>
      <c r="G86" s="493" t="s">
        <v>331</v>
      </c>
      <c r="H86" s="493" t="s">
        <v>283</v>
      </c>
      <c r="I86" s="495">
        <v>2361240</v>
      </c>
      <c r="J86" s="496">
        <v>1676384</v>
      </c>
      <c r="K86" s="496">
        <v>45000</v>
      </c>
      <c r="L86" s="496">
        <v>0</v>
      </c>
      <c r="M86" s="411">
        <v>581828</v>
      </c>
      <c r="N86" s="411">
        <v>33528</v>
      </c>
      <c r="O86" s="496">
        <v>24500</v>
      </c>
      <c r="P86" s="497">
        <v>4.0918000000000001</v>
      </c>
      <c r="Q86" s="412">
        <v>3.3</v>
      </c>
      <c r="R86" s="498">
        <v>0.79179999999999995</v>
      </c>
      <c r="S86" s="499">
        <f t="shared" ref="S86:S91" si="126">W86*-1</f>
        <v>0</v>
      </c>
      <c r="T86" s="486">
        <v>0</v>
      </c>
      <c r="U86" s="486">
        <v>0</v>
      </c>
      <c r="V86" s="486">
        <f t="shared" ref="V86:V91" si="127">SUM(S86:U86)</f>
        <v>0</v>
      </c>
      <c r="W86" s="486">
        <v>0</v>
      </c>
      <c r="X86" s="500">
        <v>0</v>
      </c>
      <c r="Y86" s="486">
        <f t="shared" ref="Y86:Y91" si="128">SUM(W86:X86)</f>
        <v>0</v>
      </c>
      <c r="Z86" s="499">
        <f t="shared" ref="Z86:Z91" si="129">V86+Y86</f>
        <v>0</v>
      </c>
      <c r="AA86" s="319">
        <f t="shared" ref="AA86:AA91" si="130">ROUND((V86+W86)*33.8%,0)</f>
        <v>0</v>
      </c>
      <c r="AB86" s="178">
        <f t="shared" ref="AB86:AB91" si="131">ROUND(V86*2%,0)</f>
        <v>0</v>
      </c>
      <c r="AC86" s="486">
        <v>0</v>
      </c>
      <c r="AD86" s="486">
        <v>0</v>
      </c>
      <c r="AE86" s="486">
        <f t="shared" si="110"/>
        <v>0</v>
      </c>
      <c r="AF86" s="486">
        <f t="shared" si="111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ref="AL86:AL91" si="132">AG86+AI86+AJ86</f>
        <v>0</v>
      </c>
      <c r="AM86" s="501">
        <f t="shared" ref="AM86:AM91" si="133">AH86+AK86</f>
        <v>0</v>
      </c>
      <c r="AN86" s="502">
        <f t="shared" si="114"/>
        <v>0</v>
      </c>
      <c r="AO86" s="499">
        <f t="shared" ref="AO86:AO91" si="134">I86+AF86</f>
        <v>2361240</v>
      </c>
      <c r="AP86" s="486">
        <f t="shared" ref="AP86:AP91" si="135">J86+V86</f>
        <v>1676384</v>
      </c>
      <c r="AQ86" s="486">
        <f t="shared" ref="AQ86:AQ91" si="136">K86+Y86</f>
        <v>45000</v>
      </c>
      <c r="AR86" s="480">
        <f t="shared" ref="AR86:AR91" si="137">L86</f>
        <v>0</v>
      </c>
      <c r="AS86" s="486">
        <f t="shared" ref="AS86:AT91" si="138">M86+AA86</f>
        <v>581828</v>
      </c>
      <c r="AT86" s="486">
        <f t="shared" si="138"/>
        <v>33528</v>
      </c>
      <c r="AU86" s="486">
        <f t="shared" ref="AU86:AU91" si="139">O86+AE86</f>
        <v>24500</v>
      </c>
      <c r="AV86" s="501">
        <f t="shared" ref="AV86:AV91" si="140">P86+AN86</f>
        <v>4.0918000000000001</v>
      </c>
      <c r="AW86" s="501">
        <f t="shared" ref="AW86:AX91" si="141">Q86+AL86</f>
        <v>3.3</v>
      </c>
      <c r="AX86" s="502">
        <f t="shared" si="141"/>
        <v>0.79179999999999995</v>
      </c>
    </row>
    <row r="87" spans="1:50" ht="12.95" customHeight="1" x14ac:dyDescent="0.25">
      <c r="A87" s="154">
        <v>16</v>
      </c>
      <c r="B87" s="83">
        <v>4487</v>
      </c>
      <c r="C87" s="83">
        <v>600074854</v>
      </c>
      <c r="D87" s="83">
        <v>70698503</v>
      </c>
      <c r="E87" s="492" t="s">
        <v>365</v>
      </c>
      <c r="F87" s="83">
        <v>3117</v>
      </c>
      <c r="G87" s="493" t="s">
        <v>335</v>
      </c>
      <c r="H87" s="493" t="s">
        <v>283</v>
      </c>
      <c r="I87" s="495">
        <v>4462879</v>
      </c>
      <c r="J87" s="496">
        <v>3165820</v>
      </c>
      <c r="K87" s="496">
        <v>7696</v>
      </c>
      <c r="L87" s="496">
        <v>7696</v>
      </c>
      <c r="M87" s="411">
        <v>1070047</v>
      </c>
      <c r="N87" s="411">
        <v>63316</v>
      </c>
      <c r="O87" s="496">
        <v>156000</v>
      </c>
      <c r="P87" s="497">
        <v>6.5366999999999997</v>
      </c>
      <c r="Q87" s="412">
        <v>4.3362999999999996</v>
      </c>
      <c r="R87" s="498">
        <v>2.2004000000000001</v>
      </c>
      <c r="S87" s="499">
        <f t="shared" si="126"/>
        <v>0</v>
      </c>
      <c r="T87" s="486">
        <v>0</v>
      </c>
      <c r="U87" s="486">
        <v>0</v>
      </c>
      <c r="V87" s="486">
        <f t="shared" si="127"/>
        <v>0</v>
      </c>
      <c r="W87" s="486">
        <v>0</v>
      </c>
      <c r="X87" s="500">
        <v>0</v>
      </c>
      <c r="Y87" s="486">
        <f t="shared" si="128"/>
        <v>0</v>
      </c>
      <c r="Z87" s="499">
        <f t="shared" si="129"/>
        <v>0</v>
      </c>
      <c r="AA87" s="319">
        <f t="shared" si="130"/>
        <v>0</v>
      </c>
      <c r="AB87" s="178">
        <f t="shared" si="131"/>
        <v>0</v>
      </c>
      <c r="AC87" s="486">
        <v>0</v>
      </c>
      <c r="AD87" s="486">
        <v>0</v>
      </c>
      <c r="AE87" s="486">
        <f t="shared" si="110"/>
        <v>0</v>
      </c>
      <c r="AF87" s="486">
        <f t="shared" si="111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32"/>
        <v>0</v>
      </c>
      <c r="AM87" s="501">
        <f t="shared" si="133"/>
        <v>0</v>
      </c>
      <c r="AN87" s="502">
        <f t="shared" si="114"/>
        <v>0</v>
      </c>
      <c r="AO87" s="499">
        <f t="shared" si="134"/>
        <v>4462879</v>
      </c>
      <c r="AP87" s="486">
        <f t="shared" si="135"/>
        <v>3165820</v>
      </c>
      <c r="AQ87" s="486">
        <f t="shared" si="136"/>
        <v>7696</v>
      </c>
      <c r="AR87" s="480">
        <f t="shared" si="137"/>
        <v>7696</v>
      </c>
      <c r="AS87" s="486">
        <f t="shared" si="138"/>
        <v>1070047</v>
      </c>
      <c r="AT87" s="486">
        <f t="shared" si="138"/>
        <v>63316</v>
      </c>
      <c r="AU87" s="486">
        <f t="shared" si="139"/>
        <v>156000</v>
      </c>
      <c r="AV87" s="501">
        <f t="shared" si="140"/>
        <v>6.5366999999999997</v>
      </c>
      <c r="AW87" s="501">
        <f t="shared" si="141"/>
        <v>4.3362999999999996</v>
      </c>
      <c r="AX87" s="502">
        <f t="shared" si="141"/>
        <v>2.2004000000000001</v>
      </c>
    </row>
    <row r="88" spans="1:50" ht="12.95" customHeight="1" x14ac:dyDescent="0.25">
      <c r="A88" s="154">
        <v>16</v>
      </c>
      <c r="B88" s="83">
        <v>4487</v>
      </c>
      <c r="C88" s="83">
        <v>600074854</v>
      </c>
      <c r="D88" s="83">
        <v>70698503</v>
      </c>
      <c r="E88" s="492" t="s">
        <v>365</v>
      </c>
      <c r="F88" s="83">
        <v>3117</v>
      </c>
      <c r="G88" s="493" t="s">
        <v>325</v>
      </c>
      <c r="H88" s="493" t="s">
        <v>284</v>
      </c>
      <c r="I88" s="495">
        <v>1298611</v>
      </c>
      <c r="J88" s="496">
        <v>955899</v>
      </c>
      <c r="K88" s="496">
        <v>0</v>
      </c>
      <c r="L88" s="496">
        <v>0</v>
      </c>
      <c r="M88" s="411">
        <v>323094</v>
      </c>
      <c r="N88" s="411">
        <v>19118</v>
      </c>
      <c r="O88" s="496">
        <v>500</v>
      </c>
      <c r="P88" s="497">
        <v>3.07</v>
      </c>
      <c r="Q88" s="412">
        <v>3.07</v>
      </c>
      <c r="R88" s="498">
        <v>0</v>
      </c>
      <c r="S88" s="499">
        <f t="shared" si="126"/>
        <v>0</v>
      </c>
      <c r="T88" s="486">
        <v>0</v>
      </c>
      <c r="U88" s="486">
        <v>0</v>
      </c>
      <c r="V88" s="486">
        <f t="shared" si="127"/>
        <v>0</v>
      </c>
      <c r="W88" s="486">
        <v>0</v>
      </c>
      <c r="X88" s="500">
        <v>0</v>
      </c>
      <c r="Y88" s="486">
        <f t="shared" si="128"/>
        <v>0</v>
      </c>
      <c r="Z88" s="499">
        <f t="shared" si="129"/>
        <v>0</v>
      </c>
      <c r="AA88" s="319">
        <f t="shared" si="130"/>
        <v>0</v>
      </c>
      <c r="AB88" s="178">
        <f t="shared" si="131"/>
        <v>0</v>
      </c>
      <c r="AC88" s="486">
        <v>0</v>
      </c>
      <c r="AD88" s="486">
        <v>0</v>
      </c>
      <c r="AE88" s="486">
        <f t="shared" si="110"/>
        <v>0</v>
      </c>
      <c r="AF88" s="486">
        <f t="shared" si="111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32"/>
        <v>0</v>
      </c>
      <c r="AM88" s="501">
        <f t="shared" si="133"/>
        <v>0</v>
      </c>
      <c r="AN88" s="502">
        <f t="shared" si="114"/>
        <v>0</v>
      </c>
      <c r="AO88" s="499">
        <f t="shared" si="134"/>
        <v>1298611</v>
      </c>
      <c r="AP88" s="486">
        <f t="shared" si="135"/>
        <v>955899</v>
      </c>
      <c r="AQ88" s="486">
        <f t="shared" si="136"/>
        <v>0</v>
      </c>
      <c r="AR88" s="480">
        <f t="shared" si="137"/>
        <v>0</v>
      </c>
      <c r="AS88" s="486">
        <f t="shared" si="138"/>
        <v>323094</v>
      </c>
      <c r="AT88" s="486">
        <f t="shared" si="138"/>
        <v>19118</v>
      </c>
      <c r="AU88" s="486">
        <f t="shared" si="139"/>
        <v>500</v>
      </c>
      <c r="AV88" s="501">
        <f t="shared" si="140"/>
        <v>3.07</v>
      </c>
      <c r="AW88" s="501">
        <f t="shared" si="141"/>
        <v>3.07</v>
      </c>
      <c r="AX88" s="502">
        <f t="shared" si="141"/>
        <v>0</v>
      </c>
    </row>
    <row r="89" spans="1:50" ht="12.95" customHeight="1" x14ac:dyDescent="0.25">
      <c r="A89" s="154">
        <v>16</v>
      </c>
      <c r="B89" s="83">
        <v>4487</v>
      </c>
      <c r="C89" s="83">
        <v>600074854</v>
      </c>
      <c r="D89" s="83">
        <v>70698503</v>
      </c>
      <c r="E89" s="492" t="s">
        <v>365</v>
      </c>
      <c r="F89" s="83">
        <v>3141</v>
      </c>
      <c r="G89" s="493" t="s">
        <v>321</v>
      </c>
      <c r="H89" s="493" t="s">
        <v>284</v>
      </c>
      <c r="I89" s="495">
        <v>967544</v>
      </c>
      <c r="J89" s="496">
        <v>708847</v>
      </c>
      <c r="K89" s="496">
        <v>0</v>
      </c>
      <c r="L89" s="496">
        <v>0</v>
      </c>
      <c r="M89" s="411">
        <v>239590</v>
      </c>
      <c r="N89" s="411">
        <v>14177</v>
      </c>
      <c r="O89" s="496">
        <v>4930</v>
      </c>
      <c r="P89" s="497">
        <v>2.41</v>
      </c>
      <c r="Q89" s="412">
        <v>0</v>
      </c>
      <c r="R89" s="498">
        <v>2.41</v>
      </c>
      <c r="S89" s="499">
        <f t="shared" si="126"/>
        <v>0</v>
      </c>
      <c r="T89" s="486">
        <v>0</v>
      </c>
      <c r="U89" s="486">
        <v>0</v>
      </c>
      <c r="V89" s="486">
        <f t="shared" si="127"/>
        <v>0</v>
      </c>
      <c r="W89" s="486">
        <v>0</v>
      </c>
      <c r="X89" s="500">
        <v>0</v>
      </c>
      <c r="Y89" s="486">
        <f t="shared" si="128"/>
        <v>0</v>
      </c>
      <c r="Z89" s="499">
        <f t="shared" si="129"/>
        <v>0</v>
      </c>
      <c r="AA89" s="319">
        <f t="shared" si="130"/>
        <v>0</v>
      </c>
      <c r="AB89" s="178">
        <f t="shared" si="131"/>
        <v>0</v>
      </c>
      <c r="AC89" s="486">
        <v>0</v>
      </c>
      <c r="AD89" s="486">
        <v>0</v>
      </c>
      <c r="AE89" s="486">
        <f t="shared" si="110"/>
        <v>0</v>
      </c>
      <c r="AF89" s="486">
        <f t="shared" si="111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si="132"/>
        <v>0</v>
      </c>
      <c r="AM89" s="501">
        <f t="shared" si="133"/>
        <v>0</v>
      </c>
      <c r="AN89" s="502">
        <f t="shared" si="114"/>
        <v>0</v>
      </c>
      <c r="AO89" s="499">
        <f t="shared" si="134"/>
        <v>967544</v>
      </c>
      <c r="AP89" s="486">
        <f t="shared" si="135"/>
        <v>708847</v>
      </c>
      <c r="AQ89" s="486">
        <f t="shared" si="136"/>
        <v>0</v>
      </c>
      <c r="AR89" s="480">
        <f t="shared" si="137"/>
        <v>0</v>
      </c>
      <c r="AS89" s="486">
        <f t="shared" si="138"/>
        <v>239590</v>
      </c>
      <c r="AT89" s="486">
        <f t="shared" si="138"/>
        <v>14177</v>
      </c>
      <c r="AU89" s="486">
        <f t="shared" si="139"/>
        <v>4930</v>
      </c>
      <c r="AV89" s="501">
        <f t="shared" si="140"/>
        <v>2.41</v>
      </c>
      <c r="AW89" s="501">
        <f t="shared" si="141"/>
        <v>0</v>
      </c>
      <c r="AX89" s="502">
        <f t="shared" si="141"/>
        <v>2.41</v>
      </c>
    </row>
    <row r="90" spans="1:50" ht="12.95" customHeight="1" x14ac:dyDescent="0.25">
      <c r="A90" s="154">
        <v>16</v>
      </c>
      <c r="B90" s="83">
        <v>4487</v>
      </c>
      <c r="C90" s="83">
        <v>600074854</v>
      </c>
      <c r="D90" s="83">
        <v>70698503</v>
      </c>
      <c r="E90" s="492" t="s">
        <v>365</v>
      </c>
      <c r="F90" s="83">
        <v>3143</v>
      </c>
      <c r="G90" s="493" t="s">
        <v>634</v>
      </c>
      <c r="H90" s="493" t="s">
        <v>283</v>
      </c>
      <c r="I90" s="495">
        <v>642054</v>
      </c>
      <c r="J90" s="496">
        <v>472794</v>
      </c>
      <c r="K90" s="496">
        <v>0</v>
      </c>
      <c r="L90" s="496">
        <v>0</v>
      </c>
      <c r="M90" s="411">
        <v>159804</v>
      </c>
      <c r="N90" s="411">
        <v>9456</v>
      </c>
      <c r="O90" s="496">
        <v>0</v>
      </c>
      <c r="P90" s="497">
        <v>1</v>
      </c>
      <c r="Q90" s="412">
        <v>1</v>
      </c>
      <c r="R90" s="498">
        <v>0</v>
      </c>
      <c r="S90" s="499">
        <f t="shared" si="126"/>
        <v>0</v>
      </c>
      <c r="T90" s="486">
        <v>0</v>
      </c>
      <c r="U90" s="486">
        <v>0</v>
      </c>
      <c r="V90" s="486">
        <f t="shared" si="127"/>
        <v>0</v>
      </c>
      <c r="W90" s="486">
        <v>0</v>
      </c>
      <c r="X90" s="500">
        <v>0</v>
      </c>
      <c r="Y90" s="486">
        <f t="shared" si="128"/>
        <v>0</v>
      </c>
      <c r="Z90" s="499">
        <f t="shared" si="129"/>
        <v>0</v>
      </c>
      <c r="AA90" s="319">
        <f t="shared" si="130"/>
        <v>0</v>
      </c>
      <c r="AB90" s="178">
        <f t="shared" si="131"/>
        <v>0</v>
      </c>
      <c r="AC90" s="486">
        <v>0</v>
      </c>
      <c r="AD90" s="486">
        <v>0</v>
      </c>
      <c r="AE90" s="486">
        <f t="shared" si="110"/>
        <v>0</v>
      </c>
      <c r="AF90" s="486">
        <f t="shared" si="111"/>
        <v>0</v>
      </c>
      <c r="AG90" s="501">
        <v>0</v>
      </c>
      <c r="AH90" s="501">
        <v>0</v>
      </c>
      <c r="AI90" s="501">
        <v>0</v>
      </c>
      <c r="AJ90" s="501">
        <v>0</v>
      </c>
      <c r="AK90" s="501">
        <v>0</v>
      </c>
      <c r="AL90" s="501">
        <f t="shared" si="132"/>
        <v>0</v>
      </c>
      <c r="AM90" s="501">
        <f t="shared" si="133"/>
        <v>0</v>
      </c>
      <c r="AN90" s="502">
        <f t="shared" si="114"/>
        <v>0</v>
      </c>
      <c r="AO90" s="499">
        <f t="shared" si="134"/>
        <v>642054</v>
      </c>
      <c r="AP90" s="486">
        <f t="shared" si="135"/>
        <v>472794</v>
      </c>
      <c r="AQ90" s="486">
        <f t="shared" si="136"/>
        <v>0</v>
      </c>
      <c r="AR90" s="480">
        <f t="shared" si="137"/>
        <v>0</v>
      </c>
      <c r="AS90" s="486">
        <f t="shared" si="138"/>
        <v>159804</v>
      </c>
      <c r="AT90" s="486">
        <f t="shared" si="138"/>
        <v>9456</v>
      </c>
      <c r="AU90" s="486">
        <f t="shared" si="139"/>
        <v>0</v>
      </c>
      <c r="AV90" s="501">
        <f t="shared" si="140"/>
        <v>1</v>
      </c>
      <c r="AW90" s="501">
        <f t="shared" si="141"/>
        <v>1</v>
      </c>
      <c r="AX90" s="502">
        <f t="shared" si="141"/>
        <v>0</v>
      </c>
    </row>
    <row r="91" spans="1:50" ht="12.95" customHeight="1" x14ac:dyDescent="0.25">
      <c r="A91" s="154">
        <v>16</v>
      </c>
      <c r="B91" s="83">
        <v>4487</v>
      </c>
      <c r="C91" s="83">
        <v>600074854</v>
      </c>
      <c r="D91" s="83">
        <v>70698503</v>
      </c>
      <c r="E91" s="492" t="s">
        <v>365</v>
      </c>
      <c r="F91" s="83">
        <v>3143</v>
      </c>
      <c r="G91" s="493" t="s">
        <v>635</v>
      </c>
      <c r="H91" s="493" t="s">
        <v>284</v>
      </c>
      <c r="I91" s="495">
        <v>21066</v>
      </c>
      <c r="J91" s="496">
        <v>14850</v>
      </c>
      <c r="K91" s="496">
        <v>0</v>
      </c>
      <c r="L91" s="496">
        <v>0</v>
      </c>
      <c r="M91" s="411">
        <v>5019</v>
      </c>
      <c r="N91" s="411">
        <v>297</v>
      </c>
      <c r="O91" s="496">
        <v>900</v>
      </c>
      <c r="P91" s="497">
        <v>0.06</v>
      </c>
      <c r="Q91" s="412">
        <v>0</v>
      </c>
      <c r="R91" s="498">
        <v>0.06</v>
      </c>
      <c r="S91" s="499">
        <f t="shared" si="126"/>
        <v>0</v>
      </c>
      <c r="T91" s="486">
        <v>0</v>
      </c>
      <c r="U91" s="486">
        <v>0</v>
      </c>
      <c r="V91" s="486">
        <f t="shared" si="127"/>
        <v>0</v>
      </c>
      <c r="W91" s="486">
        <v>0</v>
      </c>
      <c r="X91" s="500">
        <v>0</v>
      </c>
      <c r="Y91" s="486">
        <f t="shared" si="128"/>
        <v>0</v>
      </c>
      <c r="Z91" s="499">
        <f t="shared" si="129"/>
        <v>0</v>
      </c>
      <c r="AA91" s="319">
        <f t="shared" si="130"/>
        <v>0</v>
      </c>
      <c r="AB91" s="178">
        <f t="shared" si="131"/>
        <v>0</v>
      </c>
      <c r="AC91" s="486">
        <v>0</v>
      </c>
      <c r="AD91" s="486">
        <v>0</v>
      </c>
      <c r="AE91" s="486">
        <f t="shared" si="110"/>
        <v>0</v>
      </c>
      <c r="AF91" s="486">
        <f t="shared" si="111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si="132"/>
        <v>0</v>
      </c>
      <c r="AM91" s="501">
        <f t="shared" si="133"/>
        <v>0</v>
      </c>
      <c r="AN91" s="502">
        <f t="shared" si="114"/>
        <v>0</v>
      </c>
      <c r="AO91" s="499">
        <f t="shared" si="134"/>
        <v>21066</v>
      </c>
      <c r="AP91" s="486">
        <f t="shared" si="135"/>
        <v>14850</v>
      </c>
      <c r="AQ91" s="486">
        <f t="shared" si="136"/>
        <v>0</v>
      </c>
      <c r="AR91" s="480">
        <f t="shared" si="137"/>
        <v>0</v>
      </c>
      <c r="AS91" s="486">
        <f t="shared" si="138"/>
        <v>5019</v>
      </c>
      <c r="AT91" s="486">
        <f t="shared" si="138"/>
        <v>297</v>
      </c>
      <c r="AU91" s="486">
        <f t="shared" si="139"/>
        <v>900</v>
      </c>
      <c r="AV91" s="501">
        <f t="shared" si="140"/>
        <v>0.06</v>
      </c>
      <c r="AW91" s="501">
        <f t="shared" si="141"/>
        <v>0</v>
      </c>
      <c r="AX91" s="502">
        <f t="shared" si="141"/>
        <v>0.06</v>
      </c>
    </row>
    <row r="92" spans="1:50" ht="12.95" customHeight="1" x14ac:dyDescent="0.25">
      <c r="A92" s="155">
        <v>16</v>
      </c>
      <c r="B92" s="85">
        <v>4487</v>
      </c>
      <c r="C92" s="85">
        <v>600074854</v>
      </c>
      <c r="D92" s="85">
        <v>70698503</v>
      </c>
      <c r="E92" s="89" t="s">
        <v>366</v>
      </c>
      <c r="F92" s="92"/>
      <c r="G92" s="93"/>
      <c r="H92" s="93"/>
      <c r="I92" s="147">
        <v>9753394</v>
      </c>
      <c r="J92" s="91">
        <v>6994594</v>
      </c>
      <c r="K92" s="91">
        <v>52696</v>
      </c>
      <c r="L92" s="91">
        <v>7696</v>
      </c>
      <c r="M92" s="91">
        <v>2379382</v>
      </c>
      <c r="N92" s="91">
        <v>139892</v>
      </c>
      <c r="O92" s="91">
        <v>186830</v>
      </c>
      <c r="P92" s="94">
        <v>17.168499999999998</v>
      </c>
      <c r="Q92" s="94">
        <v>11.706299999999999</v>
      </c>
      <c r="R92" s="275">
        <v>5.4622000000000002</v>
      </c>
      <c r="S92" s="142">
        <f t="shared" ref="S92:AN92" si="142">SUM(S86:S91)</f>
        <v>0</v>
      </c>
      <c r="T92" s="91">
        <f t="shared" si="142"/>
        <v>0</v>
      </c>
      <c r="U92" s="91">
        <f t="shared" si="142"/>
        <v>0</v>
      </c>
      <c r="V92" s="91">
        <f t="shared" si="142"/>
        <v>0</v>
      </c>
      <c r="W92" s="91">
        <f t="shared" si="142"/>
        <v>0</v>
      </c>
      <c r="X92" s="442">
        <f t="shared" si="142"/>
        <v>0</v>
      </c>
      <c r="Y92" s="91">
        <f t="shared" si="142"/>
        <v>0</v>
      </c>
      <c r="Z92" s="142">
        <f t="shared" si="142"/>
        <v>0</v>
      </c>
      <c r="AA92" s="91">
        <f t="shared" si="142"/>
        <v>0</v>
      </c>
      <c r="AB92" s="91">
        <f t="shared" si="142"/>
        <v>0</v>
      </c>
      <c r="AC92" s="91">
        <f t="shared" si="142"/>
        <v>0</v>
      </c>
      <c r="AD92" s="91">
        <f t="shared" si="142"/>
        <v>0</v>
      </c>
      <c r="AE92" s="91">
        <f t="shared" si="142"/>
        <v>0</v>
      </c>
      <c r="AF92" s="91">
        <f t="shared" si="142"/>
        <v>0</v>
      </c>
      <c r="AG92" s="94">
        <f t="shared" si="142"/>
        <v>0</v>
      </c>
      <c r="AH92" s="94">
        <f t="shared" si="142"/>
        <v>0</v>
      </c>
      <c r="AI92" s="94">
        <f t="shared" si="142"/>
        <v>0</v>
      </c>
      <c r="AJ92" s="94">
        <f t="shared" si="142"/>
        <v>0</v>
      </c>
      <c r="AK92" s="94">
        <f t="shared" si="142"/>
        <v>0</v>
      </c>
      <c r="AL92" s="94">
        <f t="shared" si="142"/>
        <v>0</v>
      </c>
      <c r="AM92" s="94">
        <f t="shared" si="142"/>
        <v>0</v>
      </c>
      <c r="AN92" s="275">
        <f t="shared" si="142"/>
        <v>0</v>
      </c>
      <c r="AO92" s="142">
        <f t="shared" ref="AO92:AX92" si="143">SUM(AO86:AO91)</f>
        <v>9753394</v>
      </c>
      <c r="AP92" s="91">
        <f t="shared" si="143"/>
        <v>6994594</v>
      </c>
      <c r="AQ92" s="91">
        <f t="shared" si="143"/>
        <v>52696</v>
      </c>
      <c r="AR92" s="91">
        <f t="shared" si="143"/>
        <v>7696</v>
      </c>
      <c r="AS92" s="91">
        <f t="shared" si="143"/>
        <v>2379382</v>
      </c>
      <c r="AT92" s="91">
        <f t="shared" si="143"/>
        <v>139892</v>
      </c>
      <c r="AU92" s="91">
        <f t="shared" si="143"/>
        <v>186830</v>
      </c>
      <c r="AV92" s="94">
        <f t="shared" si="143"/>
        <v>17.168499999999998</v>
      </c>
      <c r="AW92" s="94">
        <f t="shared" si="143"/>
        <v>11.706299999999999</v>
      </c>
      <c r="AX92" s="275">
        <f t="shared" si="143"/>
        <v>5.4622000000000002</v>
      </c>
    </row>
    <row r="93" spans="1:50" ht="12.95" customHeight="1" x14ac:dyDescent="0.25">
      <c r="A93" s="154">
        <v>17</v>
      </c>
      <c r="B93" s="83">
        <v>4488</v>
      </c>
      <c r="C93" s="83">
        <v>600074803</v>
      </c>
      <c r="D93" s="83">
        <v>72742089</v>
      </c>
      <c r="E93" s="492" t="s">
        <v>367</v>
      </c>
      <c r="F93" s="83">
        <v>3111</v>
      </c>
      <c r="G93" s="493" t="s">
        <v>331</v>
      </c>
      <c r="H93" s="493" t="s">
        <v>283</v>
      </c>
      <c r="I93" s="495">
        <v>1395029</v>
      </c>
      <c r="J93" s="496">
        <v>1017474</v>
      </c>
      <c r="K93" s="496">
        <v>0</v>
      </c>
      <c r="L93" s="496">
        <v>0</v>
      </c>
      <c r="M93" s="411">
        <v>343906</v>
      </c>
      <c r="N93" s="411">
        <v>20349</v>
      </c>
      <c r="O93" s="496">
        <v>13300</v>
      </c>
      <c r="P93" s="497">
        <v>2.4609000000000001</v>
      </c>
      <c r="Q93" s="412">
        <v>2</v>
      </c>
      <c r="R93" s="498">
        <v>0.46089999999999998</v>
      </c>
      <c r="S93" s="499">
        <f t="shared" ref="S93:S98" si="144">W93*-1</f>
        <v>0</v>
      </c>
      <c r="T93" s="486">
        <v>0</v>
      </c>
      <c r="U93" s="486">
        <v>0</v>
      </c>
      <c r="V93" s="486">
        <f t="shared" ref="V93:V98" si="145">SUM(S93:U93)</f>
        <v>0</v>
      </c>
      <c r="W93" s="486">
        <v>0</v>
      </c>
      <c r="X93" s="500">
        <v>0</v>
      </c>
      <c r="Y93" s="486">
        <f t="shared" ref="Y93:Y98" si="146">SUM(W93:X93)</f>
        <v>0</v>
      </c>
      <c r="Z93" s="499">
        <f t="shared" ref="Z93:Z98" si="147">V93+Y93</f>
        <v>0</v>
      </c>
      <c r="AA93" s="319">
        <f t="shared" ref="AA93:AA98" si="148">ROUND((V93+W93)*33.8%,0)</f>
        <v>0</v>
      </c>
      <c r="AB93" s="178">
        <f t="shared" ref="AB93:AB98" si="149">ROUND(V93*2%,0)</f>
        <v>0</v>
      </c>
      <c r="AC93" s="486">
        <v>0</v>
      </c>
      <c r="AD93" s="486">
        <v>0</v>
      </c>
      <c r="AE93" s="486">
        <f t="shared" si="110"/>
        <v>0</v>
      </c>
      <c r="AF93" s="486">
        <f t="shared" si="111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ref="AL93:AL98" si="150">AG93+AI93+AJ93</f>
        <v>0</v>
      </c>
      <c r="AM93" s="501">
        <f t="shared" ref="AM93:AM98" si="151">AH93+AK93</f>
        <v>0</v>
      </c>
      <c r="AN93" s="502">
        <f t="shared" si="114"/>
        <v>0</v>
      </c>
      <c r="AO93" s="499">
        <f t="shared" ref="AO93:AO98" si="152">I93+AF93</f>
        <v>1395029</v>
      </c>
      <c r="AP93" s="486">
        <f t="shared" ref="AP93:AP98" si="153">J93+V93</f>
        <v>1017474</v>
      </c>
      <c r="AQ93" s="486">
        <f t="shared" ref="AQ93:AQ98" si="154">K93+Y93</f>
        <v>0</v>
      </c>
      <c r="AR93" s="480">
        <f t="shared" ref="AR93:AR98" si="155">L93</f>
        <v>0</v>
      </c>
      <c r="AS93" s="486">
        <f t="shared" ref="AS93:AT98" si="156">M93+AA93</f>
        <v>343906</v>
      </c>
      <c r="AT93" s="486">
        <f t="shared" si="156"/>
        <v>20349</v>
      </c>
      <c r="AU93" s="486">
        <f t="shared" ref="AU93:AU98" si="157">O93+AE93</f>
        <v>13300</v>
      </c>
      <c r="AV93" s="501">
        <f t="shared" ref="AV93:AV98" si="158">P93+AN93</f>
        <v>2.4609000000000001</v>
      </c>
      <c r="AW93" s="501">
        <f t="shared" ref="AW93:AX98" si="159">Q93+AL93</f>
        <v>2</v>
      </c>
      <c r="AX93" s="502">
        <f t="shared" si="159"/>
        <v>0.46089999999999998</v>
      </c>
    </row>
    <row r="94" spans="1:50" ht="12.95" customHeight="1" x14ac:dyDescent="0.25">
      <c r="A94" s="154">
        <v>17</v>
      </c>
      <c r="B94" s="83">
        <v>4488</v>
      </c>
      <c r="C94" s="83">
        <v>600074803</v>
      </c>
      <c r="D94" s="83">
        <v>72742089</v>
      </c>
      <c r="E94" s="492" t="s">
        <v>367</v>
      </c>
      <c r="F94" s="83">
        <v>3117</v>
      </c>
      <c r="G94" s="493" t="s">
        <v>335</v>
      </c>
      <c r="H94" s="493" t="s">
        <v>283</v>
      </c>
      <c r="I94" s="495">
        <v>3373314</v>
      </c>
      <c r="J94" s="496">
        <v>2404635</v>
      </c>
      <c r="K94" s="496">
        <v>14440</v>
      </c>
      <c r="L94" s="496">
        <v>4440</v>
      </c>
      <c r="M94" s="411">
        <v>816146</v>
      </c>
      <c r="N94" s="411">
        <v>48093</v>
      </c>
      <c r="O94" s="496">
        <v>90000</v>
      </c>
      <c r="P94" s="497">
        <v>4.8658999999999999</v>
      </c>
      <c r="Q94" s="412">
        <v>3.3182</v>
      </c>
      <c r="R94" s="498">
        <v>1.5477000000000001</v>
      </c>
      <c r="S94" s="499">
        <f t="shared" si="144"/>
        <v>0</v>
      </c>
      <c r="T94" s="486">
        <v>0</v>
      </c>
      <c r="U94" s="486">
        <v>0</v>
      </c>
      <c r="V94" s="486">
        <f t="shared" si="145"/>
        <v>0</v>
      </c>
      <c r="W94" s="486">
        <v>0</v>
      </c>
      <c r="X94" s="500">
        <v>0</v>
      </c>
      <c r="Y94" s="486">
        <f t="shared" si="146"/>
        <v>0</v>
      </c>
      <c r="Z94" s="499">
        <f t="shared" si="147"/>
        <v>0</v>
      </c>
      <c r="AA94" s="319">
        <f t="shared" si="148"/>
        <v>0</v>
      </c>
      <c r="AB94" s="178">
        <f t="shared" si="149"/>
        <v>0</v>
      </c>
      <c r="AC94" s="486">
        <v>0</v>
      </c>
      <c r="AD94" s="486">
        <v>0</v>
      </c>
      <c r="AE94" s="486">
        <f t="shared" si="110"/>
        <v>0</v>
      </c>
      <c r="AF94" s="486">
        <f t="shared" si="111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si="150"/>
        <v>0</v>
      </c>
      <c r="AM94" s="501">
        <f t="shared" si="151"/>
        <v>0</v>
      </c>
      <c r="AN94" s="502">
        <f t="shared" si="114"/>
        <v>0</v>
      </c>
      <c r="AO94" s="499">
        <f t="shared" si="152"/>
        <v>3373314</v>
      </c>
      <c r="AP94" s="486">
        <f t="shared" si="153"/>
        <v>2404635</v>
      </c>
      <c r="AQ94" s="486">
        <f t="shared" si="154"/>
        <v>14440</v>
      </c>
      <c r="AR94" s="480">
        <f t="shared" si="155"/>
        <v>4440</v>
      </c>
      <c r="AS94" s="486">
        <f t="shared" si="156"/>
        <v>816146</v>
      </c>
      <c r="AT94" s="486">
        <f t="shared" si="156"/>
        <v>48093</v>
      </c>
      <c r="AU94" s="486">
        <f t="shared" si="157"/>
        <v>90000</v>
      </c>
      <c r="AV94" s="501">
        <f t="shared" si="158"/>
        <v>4.8658999999999999</v>
      </c>
      <c r="AW94" s="501">
        <f t="shared" si="159"/>
        <v>3.3182</v>
      </c>
      <c r="AX94" s="502">
        <f t="shared" si="159"/>
        <v>1.5477000000000001</v>
      </c>
    </row>
    <row r="95" spans="1:50" ht="12.95" customHeight="1" x14ac:dyDescent="0.25">
      <c r="A95" s="154">
        <v>17</v>
      </c>
      <c r="B95" s="83">
        <v>4488</v>
      </c>
      <c r="C95" s="83">
        <v>600074803</v>
      </c>
      <c r="D95" s="83">
        <v>72742089</v>
      </c>
      <c r="E95" s="492" t="s">
        <v>367</v>
      </c>
      <c r="F95" s="83">
        <v>3117</v>
      </c>
      <c r="G95" s="493" t="s">
        <v>325</v>
      </c>
      <c r="H95" s="493" t="s">
        <v>284</v>
      </c>
      <c r="I95" s="495">
        <v>351019</v>
      </c>
      <c r="J95" s="496">
        <v>258482</v>
      </c>
      <c r="K95" s="496">
        <v>0</v>
      </c>
      <c r="L95" s="496">
        <v>0</v>
      </c>
      <c r="M95" s="411">
        <v>87367</v>
      </c>
      <c r="N95" s="411">
        <v>5170</v>
      </c>
      <c r="O95" s="496">
        <v>0</v>
      </c>
      <c r="P95" s="497">
        <v>0.76</v>
      </c>
      <c r="Q95" s="412">
        <v>0.76</v>
      </c>
      <c r="R95" s="498">
        <v>0</v>
      </c>
      <c r="S95" s="499">
        <f t="shared" si="144"/>
        <v>0</v>
      </c>
      <c r="T95" s="486">
        <v>0</v>
      </c>
      <c r="U95" s="486">
        <v>0</v>
      </c>
      <c r="V95" s="486">
        <f t="shared" si="145"/>
        <v>0</v>
      </c>
      <c r="W95" s="486">
        <v>0</v>
      </c>
      <c r="X95" s="500">
        <v>0</v>
      </c>
      <c r="Y95" s="486">
        <f t="shared" si="146"/>
        <v>0</v>
      </c>
      <c r="Z95" s="499">
        <f t="shared" si="147"/>
        <v>0</v>
      </c>
      <c r="AA95" s="319">
        <f t="shared" si="148"/>
        <v>0</v>
      </c>
      <c r="AB95" s="178">
        <f t="shared" si="149"/>
        <v>0</v>
      </c>
      <c r="AC95" s="486">
        <v>0</v>
      </c>
      <c r="AD95" s="486">
        <v>0</v>
      </c>
      <c r="AE95" s="486">
        <f t="shared" si="110"/>
        <v>0</v>
      </c>
      <c r="AF95" s="486">
        <f t="shared" si="111"/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si="150"/>
        <v>0</v>
      </c>
      <c r="AM95" s="501">
        <f t="shared" si="151"/>
        <v>0</v>
      </c>
      <c r="AN95" s="502">
        <f t="shared" si="114"/>
        <v>0</v>
      </c>
      <c r="AO95" s="499">
        <f t="shared" si="152"/>
        <v>351019</v>
      </c>
      <c r="AP95" s="486">
        <f t="shared" si="153"/>
        <v>258482</v>
      </c>
      <c r="AQ95" s="486">
        <f t="shared" si="154"/>
        <v>0</v>
      </c>
      <c r="AR95" s="480">
        <f t="shared" si="155"/>
        <v>0</v>
      </c>
      <c r="AS95" s="486">
        <f t="shared" si="156"/>
        <v>87367</v>
      </c>
      <c r="AT95" s="486">
        <f t="shared" si="156"/>
        <v>5170</v>
      </c>
      <c r="AU95" s="486">
        <f t="shared" si="157"/>
        <v>0</v>
      </c>
      <c r="AV95" s="501">
        <f t="shared" si="158"/>
        <v>0.76</v>
      </c>
      <c r="AW95" s="501">
        <f t="shared" si="159"/>
        <v>0.76</v>
      </c>
      <c r="AX95" s="502">
        <f t="shared" si="159"/>
        <v>0</v>
      </c>
    </row>
    <row r="96" spans="1:50" ht="12.95" customHeight="1" x14ac:dyDescent="0.25">
      <c r="A96" s="154">
        <v>17</v>
      </c>
      <c r="B96" s="83">
        <v>4488</v>
      </c>
      <c r="C96" s="83">
        <v>600074803</v>
      </c>
      <c r="D96" s="83">
        <v>72742089</v>
      </c>
      <c r="E96" s="492" t="s">
        <v>367</v>
      </c>
      <c r="F96" s="83">
        <v>3141</v>
      </c>
      <c r="G96" s="493" t="s">
        <v>321</v>
      </c>
      <c r="H96" s="493" t="s">
        <v>284</v>
      </c>
      <c r="I96" s="495">
        <v>261055</v>
      </c>
      <c r="J96" s="496">
        <v>190920</v>
      </c>
      <c r="K96" s="496">
        <v>0</v>
      </c>
      <c r="L96" s="496">
        <v>0</v>
      </c>
      <c r="M96" s="411">
        <v>64531</v>
      </c>
      <c r="N96" s="411">
        <v>3818</v>
      </c>
      <c r="O96" s="496">
        <v>1786</v>
      </c>
      <c r="P96" s="497">
        <v>0.64</v>
      </c>
      <c r="Q96" s="412">
        <v>0</v>
      </c>
      <c r="R96" s="498">
        <v>0.64</v>
      </c>
      <c r="S96" s="499">
        <f t="shared" si="144"/>
        <v>0</v>
      </c>
      <c r="T96" s="486">
        <v>0</v>
      </c>
      <c r="U96" s="486">
        <v>0</v>
      </c>
      <c r="V96" s="486">
        <f t="shared" si="145"/>
        <v>0</v>
      </c>
      <c r="W96" s="486">
        <v>0</v>
      </c>
      <c r="X96" s="500">
        <v>0</v>
      </c>
      <c r="Y96" s="486">
        <f t="shared" si="146"/>
        <v>0</v>
      </c>
      <c r="Z96" s="499">
        <f t="shared" si="147"/>
        <v>0</v>
      </c>
      <c r="AA96" s="319">
        <f t="shared" si="148"/>
        <v>0</v>
      </c>
      <c r="AB96" s="178">
        <f t="shared" si="149"/>
        <v>0</v>
      </c>
      <c r="AC96" s="486">
        <v>0</v>
      </c>
      <c r="AD96" s="486">
        <v>0</v>
      </c>
      <c r="AE96" s="486">
        <f t="shared" si="110"/>
        <v>0</v>
      </c>
      <c r="AF96" s="486">
        <f t="shared" si="111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150"/>
        <v>0</v>
      </c>
      <c r="AM96" s="501">
        <f t="shared" si="151"/>
        <v>0</v>
      </c>
      <c r="AN96" s="502">
        <f t="shared" si="114"/>
        <v>0</v>
      </c>
      <c r="AO96" s="499">
        <f t="shared" si="152"/>
        <v>261055</v>
      </c>
      <c r="AP96" s="486">
        <f t="shared" si="153"/>
        <v>190920</v>
      </c>
      <c r="AQ96" s="486">
        <f t="shared" si="154"/>
        <v>0</v>
      </c>
      <c r="AR96" s="480">
        <f t="shared" si="155"/>
        <v>0</v>
      </c>
      <c r="AS96" s="486">
        <f t="shared" si="156"/>
        <v>64531</v>
      </c>
      <c r="AT96" s="486">
        <f t="shared" si="156"/>
        <v>3818</v>
      </c>
      <c r="AU96" s="486">
        <f t="shared" si="157"/>
        <v>1786</v>
      </c>
      <c r="AV96" s="501">
        <f t="shared" si="158"/>
        <v>0.64</v>
      </c>
      <c r="AW96" s="501">
        <f t="shared" si="159"/>
        <v>0</v>
      </c>
      <c r="AX96" s="502">
        <f t="shared" si="159"/>
        <v>0.64</v>
      </c>
    </row>
    <row r="97" spans="1:50" ht="12.95" customHeight="1" x14ac:dyDescent="0.25">
      <c r="A97" s="154">
        <v>17</v>
      </c>
      <c r="B97" s="83">
        <v>4488</v>
      </c>
      <c r="C97" s="83">
        <v>600074803</v>
      </c>
      <c r="D97" s="83">
        <v>72742089</v>
      </c>
      <c r="E97" s="492" t="s">
        <v>367</v>
      </c>
      <c r="F97" s="83">
        <v>3143</v>
      </c>
      <c r="G97" s="493" t="s">
        <v>634</v>
      </c>
      <c r="H97" s="493" t="s">
        <v>283</v>
      </c>
      <c r="I97" s="495">
        <v>602336</v>
      </c>
      <c r="J97" s="496">
        <v>443546</v>
      </c>
      <c r="K97" s="496">
        <v>0</v>
      </c>
      <c r="L97" s="496">
        <v>0</v>
      </c>
      <c r="M97" s="411">
        <v>149919</v>
      </c>
      <c r="N97" s="411">
        <v>8871</v>
      </c>
      <c r="O97" s="496">
        <v>0</v>
      </c>
      <c r="P97" s="497">
        <v>0.93100000000000005</v>
      </c>
      <c r="Q97" s="412">
        <v>0.93100000000000005</v>
      </c>
      <c r="R97" s="498">
        <v>0</v>
      </c>
      <c r="S97" s="499">
        <f t="shared" si="144"/>
        <v>0</v>
      </c>
      <c r="T97" s="486">
        <v>0</v>
      </c>
      <c r="U97" s="486">
        <v>0</v>
      </c>
      <c r="V97" s="486">
        <f t="shared" si="145"/>
        <v>0</v>
      </c>
      <c r="W97" s="486">
        <v>0</v>
      </c>
      <c r="X97" s="500">
        <v>0</v>
      </c>
      <c r="Y97" s="486">
        <f t="shared" si="146"/>
        <v>0</v>
      </c>
      <c r="Z97" s="499">
        <f t="shared" si="147"/>
        <v>0</v>
      </c>
      <c r="AA97" s="319">
        <f t="shared" si="148"/>
        <v>0</v>
      </c>
      <c r="AB97" s="178">
        <f t="shared" si="149"/>
        <v>0</v>
      </c>
      <c r="AC97" s="486">
        <v>0</v>
      </c>
      <c r="AD97" s="486">
        <v>0</v>
      </c>
      <c r="AE97" s="486">
        <f t="shared" si="110"/>
        <v>0</v>
      </c>
      <c r="AF97" s="486">
        <f t="shared" si="111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50"/>
        <v>0</v>
      </c>
      <c r="AM97" s="501">
        <f t="shared" si="151"/>
        <v>0</v>
      </c>
      <c r="AN97" s="502">
        <f t="shared" si="114"/>
        <v>0</v>
      </c>
      <c r="AO97" s="499">
        <f t="shared" si="152"/>
        <v>602336</v>
      </c>
      <c r="AP97" s="486">
        <f t="shared" si="153"/>
        <v>443546</v>
      </c>
      <c r="AQ97" s="486">
        <f t="shared" si="154"/>
        <v>0</v>
      </c>
      <c r="AR97" s="480">
        <f t="shared" si="155"/>
        <v>0</v>
      </c>
      <c r="AS97" s="486">
        <f t="shared" si="156"/>
        <v>149919</v>
      </c>
      <c r="AT97" s="486">
        <f t="shared" si="156"/>
        <v>8871</v>
      </c>
      <c r="AU97" s="486">
        <f t="shared" si="157"/>
        <v>0</v>
      </c>
      <c r="AV97" s="501">
        <f t="shared" si="158"/>
        <v>0.93100000000000005</v>
      </c>
      <c r="AW97" s="501">
        <f t="shared" si="159"/>
        <v>0.93100000000000005</v>
      </c>
      <c r="AX97" s="502">
        <f t="shared" si="159"/>
        <v>0</v>
      </c>
    </row>
    <row r="98" spans="1:50" ht="12.95" customHeight="1" x14ac:dyDescent="0.25">
      <c r="A98" s="154">
        <v>17</v>
      </c>
      <c r="B98" s="83">
        <v>4488</v>
      </c>
      <c r="C98" s="83">
        <v>600074803</v>
      </c>
      <c r="D98" s="83">
        <v>72742089</v>
      </c>
      <c r="E98" s="492" t="s">
        <v>367</v>
      </c>
      <c r="F98" s="83">
        <v>3143</v>
      </c>
      <c r="G98" s="493" t="s">
        <v>635</v>
      </c>
      <c r="H98" s="493" t="s">
        <v>284</v>
      </c>
      <c r="I98" s="495">
        <v>17556</v>
      </c>
      <c r="J98" s="496">
        <v>12375</v>
      </c>
      <c r="K98" s="496">
        <v>0</v>
      </c>
      <c r="L98" s="496">
        <v>0</v>
      </c>
      <c r="M98" s="411">
        <v>4183</v>
      </c>
      <c r="N98" s="411">
        <v>248</v>
      </c>
      <c r="O98" s="496">
        <v>750</v>
      </c>
      <c r="P98" s="497">
        <v>0.05</v>
      </c>
      <c r="Q98" s="412">
        <v>0</v>
      </c>
      <c r="R98" s="498">
        <v>0.05</v>
      </c>
      <c r="S98" s="499">
        <f t="shared" si="144"/>
        <v>0</v>
      </c>
      <c r="T98" s="486">
        <v>0</v>
      </c>
      <c r="U98" s="486">
        <v>0</v>
      </c>
      <c r="V98" s="486">
        <f t="shared" si="145"/>
        <v>0</v>
      </c>
      <c r="W98" s="486">
        <v>0</v>
      </c>
      <c r="X98" s="500">
        <v>0</v>
      </c>
      <c r="Y98" s="486">
        <f t="shared" si="146"/>
        <v>0</v>
      </c>
      <c r="Z98" s="499">
        <f t="shared" si="147"/>
        <v>0</v>
      </c>
      <c r="AA98" s="319">
        <f t="shared" si="148"/>
        <v>0</v>
      </c>
      <c r="AB98" s="178">
        <f t="shared" si="149"/>
        <v>0</v>
      </c>
      <c r="AC98" s="486">
        <v>0</v>
      </c>
      <c r="AD98" s="486">
        <v>0</v>
      </c>
      <c r="AE98" s="486">
        <f t="shared" si="110"/>
        <v>0</v>
      </c>
      <c r="AF98" s="486">
        <f t="shared" si="111"/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si="150"/>
        <v>0</v>
      </c>
      <c r="AM98" s="501">
        <f t="shared" si="151"/>
        <v>0</v>
      </c>
      <c r="AN98" s="502">
        <f t="shared" si="114"/>
        <v>0</v>
      </c>
      <c r="AO98" s="499">
        <f t="shared" si="152"/>
        <v>17556</v>
      </c>
      <c r="AP98" s="486">
        <f t="shared" si="153"/>
        <v>12375</v>
      </c>
      <c r="AQ98" s="486">
        <f t="shared" si="154"/>
        <v>0</v>
      </c>
      <c r="AR98" s="480">
        <f t="shared" si="155"/>
        <v>0</v>
      </c>
      <c r="AS98" s="486">
        <f t="shared" si="156"/>
        <v>4183</v>
      </c>
      <c r="AT98" s="486">
        <f t="shared" si="156"/>
        <v>248</v>
      </c>
      <c r="AU98" s="486">
        <f t="shared" si="157"/>
        <v>750</v>
      </c>
      <c r="AV98" s="501">
        <f t="shared" si="158"/>
        <v>0.05</v>
      </c>
      <c r="AW98" s="501">
        <f t="shared" si="159"/>
        <v>0</v>
      </c>
      <c r="AX98" s="502">
        <f t="shared" si="159"/>
        <v>0.05</v>
      </c>
    </row>
    <row r="99" spans="1:50" ht="12.95" customHeight="1" x14ac:dyDescent="0.25">
      <c r="A99" s="155">
        <v>17</v>
      </c>
      <c r="B99" s="85">
        <v>4488</v>
      </c>
      <c r="C99" s="85">
        <v>600074803</v>
      </c>
      <c r="D99" s="85">
        <v>72742089</v>
      </c>
      <c r="E99" s="89" t="s">
        <v>368</v>
      </c>
      <c r="F99" s="92"/>
      <c r="G99" s="93"/>
      <c r="H99" s="93"/>
      <c r="I99" s="147">
        <v>6000309</v>
      </c>
      <c r="J99" s="91">
        <v>4327432</v>
      </c>
      <c r="K99" s="91">
        <v>14440</v>
      </c>
      <c r="L99" s="91">
        <v>4440</v>
      </c>
      <c r="M99" s="91">
        <v>1466052</v>
      </c>
      <c r="N99" s="91">
        <v>86549</v>
      </c>
      <c r="O99" s="91">
        <v>105836</v>
      </c>
      <c r="P99" s="94">
        <v>9.7078000000000024</v>
      </c>
      <c r="Q99" s="94">
        <v>7.0091999999999999</v>
      </c>
      <c r="R99" s="275">
        <v>2.6985999999999999</v>
      </c>
      <c r="S99" s="142">
        <f t="shared" ref="S99:AN99" si="160">SUM(S93:S98)</f>
        <v>0</v>
      </c>
      <c r="T99" s="91">
        <f t="shared" si="160"/>
        <v>0</v>
      </c>
      <c r="U99" s="91">
        <f t="shared" si="160"/>
        <v>0</v>
      </c>
      <c r="V99" s="91">
        <f t="shared" si="160"/>
        <v>0</v>
      </c>
      <c r="W99" s="91">
        <f t="shared" si="160"/>
        <v>0</v>
      </c>
      <c r="X99" s="442">
        <f t="shared" si="160"/>
        <v>0</v>
      </c>
      <c r="Y99" s="91">
        <f t="shared" si="160"/>
        <v>0</v>
      </c>
      <c r="Z99" s="142">
        <f t="shared" si="160"/>
        <v>0</v>
      </c>
      <c r="AA99" s="91">
        <f t="shared" si="160"/>
        <v>0</v>
      </c>
      <c r="AB99" s="91">
        <f t="shared" si="160"/>
        <v>0</v>
      </c>
      <c r="AC99" s="91">
        <f t="shared" si="160"/>
        <v>0</v>
      </c>
      <c r="AD99" s="91">
        <f t="shared" si="160"/>
        <v>0</v>
      </c>
      <c r="AE99" s="91">
        <f t="shared" si="160"/>
        <v>0</v>
      </c>
      <c r="AF99" s="91">
        <f t="shared" si="160"/>
        <v>0</v>
      </c>
      <c r="AG99" s="94">
        <f t="shared" si="160"/>
        <v>0</v>
      </c>
      <c r="AH99" s="94">
        <f t="shared" si="160"/>
        <v>0</v>
      </c>
      <c r="AI99" s="94">
        <f t="shared" si="160"/>
        <v>0</v>
      </c>
      <c r="AJ99" s="94">
        <f t="shared" si="160"/>
        <v>0</v>
      </c>
      <c r="AK99" s="94">
        <f t="shared" si="160"/>
        <v>0</v>
      </c>
      <c r="AL99" s="94">
        <f t="shared" si="160"/>
        <v>0</v>
      </c>
      <c r="AM99" s="94">
        <f t="shared" si="160"/>
        <v>0</v>
      </c>
      <c r="AN99" s="275">
        <f t="shared" si="160"/>
        <v>0</v>
      </c>
      <c r="AO99" s="142">
        <f t="shared" ref="AO99:AX99" si="161">SUM(AO93:AO98)</f>
        <v>6000309</v>
      </c>
      <c r="AP99" s="91">
        <f t="shared" si="161"/>
        <v>4327432</v>
      </c>
      <c r="AQ99" s="91">
        <f t="shared" si="161"/>
        <v>14440</v>
      </c>
      <c r="AR99" s="91">
        <f t="shared" si="161"/>
        <v>4440</v>
      </c>
      <c r="AS99" s="91">
        <f t="shared" si="161"/>
        <v>1466052</v>
      </c>
      <c r="AT99" s="91">
        <f t="shared" si="161"/>
        <v>86549</v>
      </c>
      <c r="AU99" s="91">
        <f t="shared" si="161"/>
        <v>105836</v>
      </c>
      <c r="AV99" s="94">
        <f t="shared" si="161"/>
        <v>9.7078000000000024</v>
      </c>
      <c r="AW99" s="94">
        <f t="shared" si="161"/>
        <v>7.0091999999999999</v>
      </c>
      <c r="AX99" s="275">
        <f t="shared" si="161"/>
        <v>2.6985999999999999</v>
      </c>
    </row>
    <row r="100" spans="1:50" ht="12.95" customHeight="1" x14ac:dyDescent="0.25">
      <c r="A100" s="154">
        <v>18</v>
      </c>
      <c r="B100" s="83">
        <v>4434</v>
      </c>
      <c r="C100" s="83">
        <v>650025768</v>
      </c>
      <c r="D100" s="83">
        <v>72744481</v>
      </c>
      <c r="E100" s="492" t="s">
        <v>369</v>
      </c>
      <c r="F100" s="83">
        <v>3111</v>
      </c>
      <c r="G100" s="493" t="s">
        <v>331</v>
      </c>
      <c r="H100" s="493" t="s">
        <v>283</v>
      </c>
      <c r="I100" s="495">
        <v>3073156</v>
      </c>
      <c r="J100" s="496">
        <v>2238259</v>
      </c>
      <c r="K100" s="496">
        <v>0</v>
      </c>
      <c r="L100" s="496">
        <v>0</v>
      </c>
      <c r="M100" s="411">
        <v>756532</v>
      </c>
      <c r="N100" s="411">
        <v>44765</v>
      </c>
      <c r="O100" s="496">
        <v>33600</v>
      </c>
      <c r="P100" s="497">
        <v>5.0217999999999998</v>
      </c>
      <c r="Q100" s="412">
        <v>4</v>
      </c>
      <c r="R100" s="498">
        <v>1.0218</v>
      </c>
      <c r="S100" s="499">
        <f t="shared" ref="S100:S105" si="162">W100*-1</f>
        <v>0</v>
      </c>
      <c r="T100" s="486">
        <v>0</v>
      </c>
      <c r="U100" s="486">
        <v>0</v>
      </c>
      <c r="V100" s="486">
        <f t="shared" ref="V100:V105" si="163">SUM(S100:U100)</f>
        <v>0</v>
      </c>
      <c r="W100" s="486">
        <v>0</v>
      </c>
      <c r="X100" s="500">
        <v>0</v>
      </c>
      <c r="Y100" s="486">
        <f t="shared" ref="Y100:Y105" si="164">SUM(W100:X100)</f>
        <v>0</v>
      </c>
      <c r="Z100" s="499">
        <f t="shared" ref="Z100:Z105" si="165">V100+Y100</f>
        <v>0</v>
      </c>
      <c r="AA100" s="319">
        <f t="shared" ref="AA100:AA105" si="166">ROUND((V100+W100)*33.8%,0)</f>
        <v>0</v>
      </c>
      <c r="AB100" s="178">
        <f t="shared" ref="AB100:AB105" si="167">ROUND(V100*2%,0)</f>
        <v>0</v>
      </c>
      <c r="AC100" s="486">
        <v>0</v>
      </c>
      <c r="AD100" s="486">
        <v>0</v>
      </c>
      <c r="AE100" s="486">
        <f t="shared" si="110"/>
        <v>0</v>
      </c>
      <c r="AF100" s="486">
        <f t="shared" si="111"/>
        <v>0</v>
      </c>
      <c r="AG100" s="501">
        <v>0</v>
      </c>
      <c r="AH100" s="501">
        <v>0</v>
      </c>
      <c r="AI100" s="501">
        <v>0</v>
      </c>
      <c r="AJ100" s="501">
        <v>0</v>
      </c>
      <c r="AK100" s="501">
        <v>0</v>
      </c>
      <c r="AL100" s="501">
        <f t="shared" ref="AL100:AL105" si="168">AG100+AI100+AJ100</f>
        <v>0</v>
      </c>
      <c r="AM100" s="501">
        <f t="shared" ref="AM100:AM105" si="169">AH100+AK100</f>
        <v>0</v>
      </c>
      <c r="AN100" s="502">
        <f t="shared" si="114"/>
        <v>0</v>
      </c>
      <c r="AO100" s="499">
        <f t="shared" ref="AO100:AO105" si="170">I100+AF100</f>
        <v>3073156</v>
      </c>
      <c r="AP100" s="486">
        <f t="shared" ref="AP100:AP105" si="171">J100+V100</f>
        <v>2238259</v>
      </c>
      <c r="AQ100" s="486">
        <f t="shared" ref="AQ100:AQ105" si="172">K100+Y100</f>
        <v>0</v>
      </c>
      <c r="AR100" s="480">
        <f t="shared" ref="AR100:AR105" si="173">L100</f>
        <v>0</v>
      </c>
      <c r="AS100" s="486">
        <f t="shared" ref="AS100:AT105" si="174">M100+AA100</f>
        <v>756532</v>
      </c>
      <c r="AT100" s="486">
        <f t="shared" si="174"/>
        <v>44765</v>
      </c>
      <c r="AU100" s="486">
        <f t="shared" ref="AU100:AU105" si="175">O100+AE100</f>
        <v>33600</v>
      </c>
      <c r="AV100" s="501">
        <f t="shared" ref="AV100:AV105" si="176">P100+AN100</f>
        <v>5.0217999999999998</v>
      </c>
      <c r="AW100" s="501">
        <f t="shared" ref="AW100:AX105" si="177">Q100+AL100</f>
        <v>4</v>
      </c>
      <c r="AX100" s="502">
        <f t="shared" si="177"/>
        <v>1.0218</v>
      </c>
    </row>
    <row r="101" spans="1:50" ht="12.95" customHeight="1" x14ac:dyDescent="0.25">
      <c r="A101" s="154">
        <v>18</v>
      </c>
      <c r="B101" s="83">
        <v>4434</v>
      </c>
      <c r="C101" s="83">
        <v>650025768</v>
      </c>
      <c r="D101" s="83">
        <v>72744481</v>
      </c>
      <c r="E101" s="492" t="s">
        <v>369</v>
      </c>
      <c r="F101" s="83">
        <v>3113</v>
      </c>
      <c r="G101" s="493" t="s">
        <v>335</v>
      </c>
      <c r="H101" s="493" t="s">
        <v>283</v>
      </c>
      <c r="I101" s="495">
        <v>12145898</v>
      </c>
      <c r="J101" s="496">
        <v>8533032</v>
      </c>
      <c r="K101" s="496">
        <v>165018</v>
      </c>
      <c r="L101" s="496">
        <v>22348</v>
      </c>
      <c r="M101" s="411">
        <v>2932387</v>
      </c>
      <c r="N101" s="411">
        <v>170661</v>
      </c>
      <c r="O101" s="496">
        <v>344800</v>
      </c>
      <c r="P101" s="497">
        <v>17.610099999999999</v>
      </c>
      <c r="Q101" s="412">
        <v>12.4999</v>
      </c>
      <c r="R101" s="498">
        <v>5.1101999999999999</v>
      </c>
      <c r="S101" s="499">
        <f t="shared" si="162"/>
        <v>0</v>
      </c>
      <c r="T101" s="486">
        <v>0</v>
      </c>
      <c r="U101" s="486">
        <v>0</v>
      </c>
      <c r="V101" s="486">
        <f t="shared" si="163"/>
        <v>0</v>
      </c>
      <c r="W101" s="486">
        <v>0</v>
      </c>
      <c r="X101" s="500">
        <v>0</v>
      </c>
      <c r="Y101" s="486">
        <f t="shared" si="164"/>
        <v>0</v>
      </c>
      <c r="Z101" s="499">
        <f t="shared" si="165"/>
        <v>0</v>
      </c>
      <c r="AA101" s="319">
        <f t="shared" si="166"/>
        <v>0</v>
      </c>
      <c r="AB101" s="178">
        <f t="shared" si="167"/>
        <v>0</v>
      </c>
      <c r="AC101" s="486">
        <v>0</v>
      </c>
      <c r="AD101" s="486">
        <v>0</v>
      </c>
      <c r="AE101" s="486">
        <f t="shared" si="110"/>
        <v>0</v>
      </c>
      <c r="AF101" s="486">
        <f t="shared" si="111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si="168"/>
        <v>0</v>
      </c>
      <c r="AM101" s="501">
        <f t="shared" si="169"/>
        <v>0</v>
      </c>
      <c r="AN101" s="502">
        <f t="shared" si="114"/>
        <v>0</v>
      </c>
      <c r="AO101" s="499">
        <f t="shared" si="170"/>
        <v>12145898</v>
      </c>
      <c r="AP101" s="486">
        <f t="shared" si="171"/>
        <v>8533032</v>
      </c>
      <c r="AQ101" s="486">
        <f t="shared" si="172"/>
        <v>165018</v>
      </c>
      <c r="AR101" s="480">
        <f t="shared" si="173"/>
        <v>22348</v>
      </c>
      <c r="AS101" s="486">
        <f t="shared" si="174"/>
        <v>2932387</v>
      </c>
      <c r="AT101" s="486">
        <f t="shared" si="174"/>
        <v>170661</v>
      </c>
      <c r="AU101" s="486">
        <f t="shared" si="175"/>
        <v>344800</v>
      </c>
      <c r="AV101" s="501">
        <f t="shared" si="176"/>
        <v>17.610099999999999</v>
      </c>
      <c r="AW101" s="501">
        <f t="shared" si="177"/>
        <v>12.4999</v>
      </c>
      <c r="AX101" s="502">
        <f t="shared" si="177"/>
        <v>5.1101999999999999</v>
      </c>
    </row>
    <row r="102" spans="1:50" ht="12.95" customHeight="1" x14ac:dyDescent="0.25">
      <c r="A102" s="154">
        <v>18</v>
      </c>
      <c r="B102" s="83">
        <v>4434</v>
      </c>
      <c r="C102" s="83">
        <v>650025768</v>
      </c>
      <c r="D102" s="83">
        <v>72744481</v>
      </c>
      <c r="E102" s="492" t="s">
        <v>369</v>
      </c>
      <c r="F102" s="83">
        <v>3113</v>
      </c>
      <c r="G102" s="493" t="s">
        <v>325</v>
      </c>
      <c r="H102" s="493" t="s">
        <v>284</v>
      </c>
      <c r="I102" s="495">
        <v>2930954</v>
      </c>
      <c r="J102" s="496">
        <v>2217719</v>
      </c>
      <c r="K102" s="496">
        <v>-60320</v>
      </c>
      <c r="L102" s="496">
        <v>0</v>
      </c>
      <c r="M102" s="411">
        <v>729201</v>
      </c>
      <c r="N102" s="411">
        <v>44354</v>
      </c>
      <c r="O102" s="496">
        <v>0</v>
      </c>
      <c r="P102" s="497">
        <v>6.9899999999999993</v>
      </c>
      <c r="Q102" s="412">
        <v>6.72</v>
      </c>
      <c r="R102" s="498">
        <v>0.27</v>
      </c>
      <c r="S102" s="499">
        <f t="shared" si="162"/>
        <v>0</v>
      </c>
      <c r="T102" s="486">
        <v>0</v>
      </c>
      <c r="U102" s="486">
        <v>0</v>
      </c>
      <c r="V102" s="486">
        <f t="shared" si="163"/>
        <v>0</v>
      </c>
      <c r="W102" s="486">
        <v>0</v>
      </c>
      <c r="X102" s="500">
        <v>0</v>
      </c>
      <c r="Y102" s="486">
        <f t="shared" si="164"/>
        <v>0</v>
      </c>
      <c r="Z102" s="499">
        <f t="shared" si="165"/>
        <v>0</v>
      </c>
      <c r="AA102" s="319">
        <f t="shared" si="166"/>
        <v>0</v>
      </c>
      <c r="AB102" s="178">
        <f t="shared" si="167"/>
        <v>0</v>
      </c>
      <c r="AC102" s="486">
        <v>0</v>
      </c>
      <c r="AD102" s="486">
        <v>0</v>
      </c>
      <c r="AE102" s="486">
        <f t="shared" si="110"/>
        <v>0</v>
      </c>
      <c r="AF102" s="486">
        <f t="shared" si="111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168"/>
        <v>0</v>
      </c>
      <c r="AM102" s="501">
        <f t="shared" si="169"/>
        <v>0</v>
      </c>
      <c r="AN102" s="502">
        <f t="shared" si="114"/>
        <v>0</v>
      </c>
      <c r="AO102" s="499">
        <f t="shared" si="170"/>
        <v>2930954</v>
      </c>
      <c r="AP102" s="486">
        <f t="shared" si="171"/>
        <v>2217719</v>
      </c>
      <c r="AQ102" s="486">
        <f t="shared" si="172"/>
        <v>-60320</v>
      </c>
      <c r="AR102" s="480">
        <f t="shared" si="173"/>
        <v>0</v>
      </c>
      <c r="AS102" s="486">
        <f t="shared" si="174"/>
        <v>729201</v>
      </c>
      <c r="AT102" s="486">
        <f t="shared" si="174"/>
        <v>44354</v>
      </c>
      <c r="AU102" s="486">
        <f t="shared" si="175"/>
        <v>0</v>
      </c>
      <c r="AV102" s="501">
        <f t="shared" si="176"/>
        <v>6.9899999999999993</v>
      </c>
      <c r="AW102" s="501">
        <f t="shared" si="177"/>
        <v>6.72</v>
      </c>
      <c r="AX102" s="502">
        <f t="shared" si="177"/>
        <v>0.27</v>
      </c>
    </row>
    <row r="103" spans="1:50" ht="12.95" customHeight="1" x14ac:dyDescent="0.25">
      <c r="A103" s="154">
        <v>18</v>
      </c>
      <c r="B103" s="83">
        <v>4434</v>
      </c>
      <c r="C103" s="83">
        <v>650025768</v>
      </c>
      <c r="D103" s="83">
        <v>72744481</v>
      </c>
      <c r="E103" s="492" t="s">
        <v>369</v>
      </c>
      <c r="F103" s="83">
        <v>3141</v>
      </c>
      <c r="G103" s="493" t="s">
        <v>321</v>
      </c>
      <c r="H103" s="493" t="s">
        <v>284</v>
      </c>
      <c r="I103" s="495">
        <v>1619043</v>
      </c>
      <c r="J103" s="496">
        <v>1105887</v>
      </c>
      <c r="K103" s="496">
        <v>80000</v>
      </c>
      <c r="L103" s="496">
        <v>0</v>
      </c>
      <c r="M103" s="411">
        <v>400830</v>
      </c>
      <c r="N103" s="411">
        <v>22118</v>
      </c>
      <c r="O103" s="496">
        <v>10208</v>
      </c>
      <c r="P103" s="497">
        <v>3.76</v>
      </c>
      <c r="Q103" s="412">
        <v>0</v>
      </c>
      <c r="R103" s="498">
        <v>3.76</v>
      </c>
      <c r="S103" s="499">
        <f t="shared" si="162"/>
        <v>0</v>
      </c>
      <c r="T103" s="486">
        <v>0</v>
      </c>
      <c r="U103" s="486">
        <v>0</v>
      </c>
      <c r="V103" s="486">
        <f t="shared" si="163"/>
        <v>0</v>
      </c>
      <c r="W103" s="486">
        <v>0</v>
      </c>
      <c r="X103" s="500">
        <v>0</v>
      </c>
      <c r="Y103" s="486">
        <f t="shared" si="164"/>
        <v>0</v>
      </c>
      <c r="Z103" s="499">
        <f t="shared" si="165"/>
        <v>0</v>
      </c>
      <c r="AA103" s="319">
        <f t="shared" si="166"/>
        <v>0</v>
      </c>
      <c r="AB103" s="178">
        <f t="shared" si="167"/>
        <v>0</v>
      </c>
      <c r="AC103" s="486">
        <v>0</v>
      </c>
      <c r="AD103" s="486">
        <v>0</v>
      </c>
      <c r="AE103" s="486">
        <f t="shared" si="110"/>
        <v>0</v>
      </c>
      <c r="AF103" s="486">
        <f t="shared" si="111"/>
        <v>0</v>
      </c>
      <c r="AG103" s="501">
        <v>0</v>
      </c>
      <c r="AH103" s="501">
        <v>0</v>
      </c>
      <c r="AI103" s="501">
        <v>0</v>
      </c>
      <c r="AJ103" s="501">
        <v>0</v>
      </c>
      <c r="AK103" s="501">
        <v>0</v>
      </c>
      <c r="AL103" s="501">
        <f t="shared" si="168"/>
        <v>0</v>
      </c>
      <c r="AM103" s="501">
        <f t="shared" si="169"/>
        <v>0</v>
      </c>
      <c r="AN103" s="502">
        <f t="shared" si="114"/>
        <v>0</v>
      </c>
      <c r="AO103" s="499">
        <f t="shared" si="170"/>
        <v>1619043</v>
      </c>
      <c r="AP103" s="486">
        <f t="shared" si="171"/>
        <v>1105887</v>
      </c>
      <c r="AQ103" s="486">
        <f t="shared" si="172"/>
        <v>80000</v>
      </c>
      <c r="AR103" s="480">
        <f t="shared" si="173"/>
        <v>0</v>
      </c>
      <c r="AS103" s="486">
        <f t="shared" si="174"/>
        <v>400830</v>
      </c>
      <c r="AT103" s="486">
        <f t="shared" si="174"/>
        <v>22118</v>
      </c>
      <c r="AU103" s="486">
        <f t="shared" si="175"/>
        <v>10208</v>
      </c>
      <c r="AV103" s="501">
        <f t="shared" si="176"/>
        <v>3.76</v>
      </c>
      <c r="AW103" s="501">
        <f t="shared" si="177"/>
        <v>0</v>
      </c>
      <c r="AX103" s="502">
        <f t="shared" si="177"/>
        <v>3.76</v>
      </c>
    </row>
    <row r="104" spans="1:50" ht="12.95" customHeight="1" x14ac:dyDescent="0.25">
      <c r="A104" s="154">
        <v>18</v>
      </c>
      <c r="B104" s="83">
        <v>4434</v>
      </c>
      <c r="C104" s="83">
        <v>650025768</v>
      </c>
      <c r="D104" s="83">
        <v>72744481</v>
      </c>
      <c r="E104" s="492" t="s">
        <v>369</v>
      </c>
      <c r="F104" s="83">
        <v>3143</v>
      </c>
      <c r="G104" s="493" t="s">
        <v>634</v>
      </c>
      <c r="H104" s="493" t="s">
        <v>283</v>
      </c>
      <c r="I104" s="495">
        <v>935460</v>
      </c>
      <c r="J104" s="496">
        <v>687225</v>
      </c>
      <c r="K104" s="496">
        <v>1650</v>
      </c>
      <c r="L104" s="496">
        <v>0</v>
      </c>
      <c r="M104" s="411">
        <v>232840</v>
      </c>
      <c r="N104" s="411">
        <v>13745</v>
      </c>
      <c r="O104" s="496">
        <v>0</v>
      </c>
      <c r="P104" s="497">
        <v>1.5</v>
      </c>
      <c r="Q104" s="412">
        <v>1.5</v>
      </c>
      <c r="R104" s="498">
        <v>0</v>
      </c>
      <c r="S104" s="499">
        <f t="shared" si="162"/>
        <v>0</v>
      </c>
      <c r="T104" s="486">
        <v>0</v>
      </c>
      <c r="U104" s="486">
        <v>0</v>
      </c>
      <c r="V104" s="486">
        <f t="shared" si="163"/>
        <v>0</v>
      </c>
      <c r="W104" s="486">
        <v>0</v>
      </c>
      <c r="X104" s="500">
        <v>0</v>
      </c>
      <c r="Y104" s="486">
        <f t="shared" si="164"/>
        <v>0</v>
      </c>
      <c r="Z104" s="499">
        <f t="shared" si="165"/>
        <v>0</v>
      </c>
      <c r="AA104" s="319">
        <f t="shared" si="166"/>
        <v>0</v>
      </c>
      <c r="AB104" s="178">
        <f t="shared" si="167"/>
        <v>0</v>
      </c>
      <c r="AC104" s="486">
        <v>0</v>
      </c>
      <c r="AD104" s="486">
        <v>0</v>
      </c>
      <c r="AE104" s="486">
        <f t="shared" si="110"/>
        <v>0</v>
      </c>
      <c r="AF104" s="486">
        <f t="shared" si="111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si="168"/>
        <v>0</v>
      </c>
      <c r="AM104" s="501">
        <f t="shared" si="169"/>
        <v>0</v>
      </c>
      <c r="AN104" s="502">
        <f t="shared" si="114"/>
        <v>0</v>
      </c>
      <c r="AO104" s="499">
        <f t="shared" si="170"/>
        <v>935460</v>
      </c>
      <c r="AP104" s="486">
        <f t="shared" si="171"/>
        <v>687225</v>
      </c>
      <c r="AQ104" s="486">
        <f t="shared" si="172"/>
        <v>1650</v>
      </c>
      <c r="AR104" s="480">
        <f t="shared" si="173"/>
        <v>0</v>
      </c>
      <c r="AS104" s="486">
        <f t="shared" si="174"/>
        <v>232840</v>
      </c>
      <c r="AT104" s="486">
        <f t="shared" si="174"/>
        <v>13745</v>
      </c>
      <c r="AU104" s="486">
        <f t="shared" si="175"/>
        <v>0</v>
      </c>
      <c r="AV104" s="501">
        <f t="shared" si="176"/>
        <v>1.5</v>
      </c>
      <c r="AW104" s="501">
        <f t="shared" si="177"/>
        <v>1.5</v>
      </c>
      <c r="AX104" s="502">
        <f t="shared" si="177"/>
        <v>0</v>
      </c>
    </row>
    <row r="105" spans="1:50" ht="12.95" customHeight="1" x14ac:dyDescent="0.25">
      <c r="A105" s="154">
        <v>18</v>
      </c>
      <c r="B105" s="83">
        <v>4434</v>
      </c>
      <c r="C105" s="83">
        <v>650025768</v>
      </c>
      <c r="D105" s="83">
        <v>72744481</v>
      </c>
      <c r="E105" s="492" t="s">
        <v>369</v>
      </c>
      <c r="F105" s="83">
        <v>3143</v>
      </c>
      <c r="G105" s="493" t="s">
        <v>635</v>
      </c>
      <c r="H105" s="493" t="s">
        <v>284</v>
      </c>
      <c r="I105" s="495">
        <v>30195</v>
      </c>
      <c r="J105" s="496">
        <v>21285</v>
      </c>
      <c r="K105" s="496">
        <v>0</v>
      </c>
      <c r="L105" s="496">
        <v>0</v>
      </c>
      <c r="M105" s="411">
        <v>7194</v>
      </c>
      <c r="N105" s="411">
        <v>426</v>
      </c>
      <c r="O105" s="496">
        <v>1290</v>
      </c>
      <c r="P105" s="497">
        <v>0.09</v>
      </c>
      <c r="Q105" s="412">
        <v>0</v>
      </c>
      <c r="R105" s="498">
        <v>0.09</v>
      </c>
      <c r="S105" s="499">
        <f t="shared" si="162"/>
        <v>0</v>
      </c>
      <c r="T105" s="486">
        <v>0</v>
      </c>
      <c r="U105" s="486">
        <v>0</v>
      </c>
      <c r="V105" s="486">
        <f t="shared" si="163"/>
        <v>0</v>
      </c>
      <c r="W105" s="486">
        <v>0</v>
      </c>
      <c r="X105" s="500">
        <v>0</v>
      </c>
      <c r="Y105" s="486">
        <f t="shared" si="164"/>
        <v>0</v>
      </c>
      <c r="Z105" s="499">
        <f t="shared" si="165"/>
        <v>0</v>
      </c>
      <c r="AA105" s="319">
        <f t="shared" si="166"/>
        <v>0</v>
      </c>
      <c r="AB105" s="178">
        <f t="shared" si="167"/>
        <v>0</v>
      </c>
      <c r="AC105" s="486">
        <v>0</v>
      </c>
      <c r="AD105" s="486">
        <v>0</v>
      </c>
      <c r="AE105" s="486">
        <f t="shared" si="110"/>
        <v>0</v>
      </c>
      <c r="AF105" s="486">
        <f t="shared" si="111"/>
        <v>0</v>
      </c>
      <c r="AG105" s="501">
        <v>0</v>
      </c>
      <c r="AH105" s="501">
        <v>0</v>
      </c>
      <c r="AI105" s="501">
        <v>0</v>
      </c>
      <c r="AJ105" s="501">
        <v>0</v>
      </c>
      <c r="AK105" s="501">
        <v>0</v>
      </c>
      <c r="AL105" s="501">
        <f t="shared" si="168"/>
        <v>0</v>
      </c>
      <c r="AM105" s="501">
        <f t="shared" si="169"/>
        <v>0</v>
      </c>
      <c r="AN105" s="502">
        <f t="shared" si="114"/>
        <v>0</v>
      </c>
      <c r="AO105" s="499">
        <f t="shared" si="170"/>
        <v>30195</v>
      </c>
      <c r="AP105" s="486">
        <f t="shared" si="171"/>
        <v>21285</v>
      </c>
      <c r="AQ105" s="486">
        <f t="shared" si="172"/>
        <v>0</v>
      </c>
      <c r="AR105" s="480">
        <f t="shared" si="173"/>
        <v>0</v>
      </c>
      <c r="AS105" s="486">
        <f t="shared" si="174"/>
        <v>7194</v>
      </c>
      <c r="AT105" s="486">
        <f t="shared" si="174"/>
        <v>426</v>
      </c>
      <c r="AU105" s="486">
        <f t="shared" si="175"/>
        <v>1290</v>
      </c>
      <c r="AV105" s="501">
        <f t="shared" si="176"/>
        <v>0.09</v>
      </c>
      <c r="AW105" s="501">
        <f t="shared" si="177"/>
        <v>0</v>
      </c>
      <c r="AX105" s="502">
        <f t="shared" si="177"/>
        <v>0.09</v>
      </c>
    </row>
    <row r="106" spans="1:50" ht="12.95" customHeight="1" x14ac:dyDescent="0.25">
      <c r="A106" s="155">
        <v>18</v>
      </c>
      <c r="B106" s="85">
        <v>4434</v>
      </c>
      <c r="C106" s="85">
        <v>650025768</v>
      </c>
      <c r="D106" s="85">
        <v>72744481</v>
      </c>
      <c r="E106" s="95" t="s">
        <v>370</v>
      </c>
      <c r="F106" s="96"/>
      <c r="G106" s="97"/>
      <c r="H106" s="97"/>
      <c r="I106" s="147">
        <v>20734706</v>
      </c>
      <c r="J106" s="91">
        <v>14803407</v>
      </c>
      <c r="K106" s="91">
        <v>186348</v>
      </c>
      <c r="L106" s="91">
        <v>22348</v>
      </c>
      <c r="M106" s="91">
        <v>5058984</v>
      </c>
      <c r="N106" s="91">
        <v>296069</v>
      </c>
      <c r="O106" s="91">
        <v>389898</v>
      </c>
      <c r="P106" s="94">
        <v>34.971899999999998</v>
      </c>
      <c r="Q106" s="94">
        <v>24.719899999999999</v>
      </c>
      <c r="R106" s="275">
        <v>10.251999999999999</v>
      </c>
      <c r="S106" s="142">
        <f t="shared" ref="S106:AN106" si="178">SUM(S100:S105)</f>
        <v>0</v>
      </c>
      <c r="T106" s="91">
        <f t="shared" si="178"/>
        <v>0</v>
      </c>
      <c r="U106" s="91">
        <f t="shared" si="178"/>
        <v>0</v>
      </c>
      <c r="V106" s="91">
        <f t="shared" si="178"/>
        <v>0</v>
      </c>
      <c r="W106" s="91">
        <f t="shared" si="178"/>
        <v>0</v>
      </c>
      <c r="X106" s="442">
        <f t="shared" si="178"/>
        <v>0</v>
      </c>
      <c r="Y106" s="91">
        <f t="shared" si="178"/>
        <v>0</v>
      </c>
      <c r="Z106" s="142">
        <f t="shared" si="178"/>
        <v>0</v>
      </c>
      <c r="AA106" s="91">
        <f t="shared" si="178"/>
        <v>0</v>
      </c>
      <c r="AB106" s="91">
        <f t="shared" si="178"/>
        <v>0</v>
      </c>
      <c r="AC106" s="91">
        <f t="shared" si="178"/>
        <v>0</v>
      </c>
      <c r="AD106" s="91">
        <f t="shared" si="178"/>
        <v>0</v>
      </c>
      <c r="AE106" s="91">
        <f t="shared" si="178"/>
        <v>0</v>
      </c>
      <c r="AF106" s="91">
        <f t="shared" si="178"/>
        <v>0</v>
      </c>
      <c r="AG106" s="94">
        <f t="shared" si="178"/>
        <v>0</v>
      </c>
      <c r="AH106" s="94">
        <f t="shared" si="178"/>
        <v>0</v>
      </c>
      <c r="AI106" s="94">
        <f t="shared" si="178"/>
        <v>0</v>
      </c>
      <c r="AJ106" s="94">
        <f t="shared" si="178"/>
        <v>0</v>
      </c>
      <c r="AK106" s="94">
        <f t="shared" si="178"/>
        <v>0</v>
      </c>
      <c r="AL106" s="94">
        <f t="shared" si="178"/>
        <v>0</v>
      </c>
      <c r="AM106" s="94">
        <f t="shared" si="178"/>
        <v>0</v>
      </c>
      <c r="AN106" s="275">
        <f t="shared" si="178"/>
        <v>0</v>
      </c>
      <c r="AO106" s="142">
        <f t="shared" ref="AO106:AX106" si="179">SUM(AO100:AO105)</f>
        <v>20734706</v>
      </c>
      <c r="AP106" s="91">
        <f t="shared" si="179"/>
        <v>14803407</v>
      </c>
      <c r="AQ106" s="91">
        <f t="shared" si="179"/>
        <v>186348</v>
      </c>
      <c r="AR106" s="91">
        <f t="shared" si="179"/>
        <v>22348</v>
      </c>
      <c r="AS106" s="91">
        <f t="shared" si="179"/>
        <v>5058984</v>
      </c>
      <c r="AT106" s="91">
        <f t="shared" si="179"/>
        <v>296069</v>
      </c>
      <c r="AU106" s="91">
        <f t="shared" si="179"/>
        <v>389898</v>
      </c>
      <c r="AV106" s="94">
        <f t="shared" si="179"/>
        <v>34.971899999999998</v>
      </c>
      <c r="AW106" s="94">
        <f t="shared" si="179"/>
        <v>24.719899999999999</v>
      </c>
      <c r="AX106" s="275">
        <f t="shared" si="179"/>
        <v>10.251999999999999</v>
      </c>
    </row>
    <row r="107" spans="1:50" ht="12.95" customHeight="1" x14ac:dyDescent="0.25">
      <c r="A107" s="154">
        <v>19</v>
      </c>
      <c r="B107" s="83">
        <v>4441</v>
      </c>
      <c r="C107" s="83">
        <v>600074668</v>
      </c>
      <c r="D107" s="83">
        <v>46750495</v>
      </c>
      <c r="E107" s="506" t="s">
        <v>371</v>
      </c>
      <c r="F107" s="507">
        <v>3111</v>
      </c>
      <c r="G107" s="493" t="s">
        <v>331</v>
      </c>
      <c r="H107" s="493" t="s">
        <v>283</v>
      </c>
      <c r="I107" s="495">
        <v>3755657</v>
      </c>
      <c r="J107" s="496">
        <v>2734652</v>
      </c>
      <c r="K107" s="496">
        <v>0</v>
      </c>
      <c r="L107" s="496">
        <v>0</v>
      </c>
      <c r="M107" s="411">
        <v>924312</v>
      </c>
      <c r="N107" s="411">
        <v>54693</v>
      </c>
      <c r="O107" s="496">
        <v>42000</v>
      </c>
      <c r="P107" s="497">
        <v>6.8666999999999998</v>
      </c>
      <c r="Q107" s="412">
        <v>5.4839000000000002</v>
      </c>
      <c r="R107" s="498">
        <v>1.3828</v>
      </c>
      <c r="S107" s="499">
        <f t="shared" ref="S107:S112" si="180">W107*-1</f>
        <v>0</v>
      </c>
      <c r="T107" s="486">
        <v>0</v>
      </c>
      <c r="U107" s="486">
        <v>0</v>
      </c>
      <c r="V107" s="486">
        <f t="shared" ref="V107:V112" si="181">SUM(S107:U107)</f>
        <v>0</v>
      </c>
      <c r="W107" s="486">
        <v>0</v>
      </c>
      <c r="X107" s="500">
        <v>0</v>
      </c>
      <c r="Y107" s="486">
        <f t="shared" ref="Y107:Y112" si="182">SUM(W107:X107)</f>
        <v>0</v>
      </c>
      <c r="Z107" s="499">
        <f t="shared" ref="Z107:Z112" si="183">V107+Y107</f>
        <v>0</v>
      </c>
      <c r="AA107" s="319">
        <f t="shared" ref="AA107:AA112" si="184">ROUND((V107+W107)*33.8%,0)</f>
        <v>0</v>
      </c>
      <c r="AB107" s="178">
        <f t="shared" ref="AB107:AB112" si="185">ROUND(V107*2%,0)</f>
        <v>0</v>
      </c>
      <c r="AC107" s="486">
        <v>0</v>
      </c>
      <c r="AD107" s="486">
        <v>0</v>
      </c>
      <c r="AE107" s="486">
        <f t="shared" si="110"/>
        <v>0</v>
      </c>
      <c r="AF107" s="486">
        <f t="shared" si="111"/>
        <v>0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ref="AL107:AL112" si="186">AG107+AI107+AJ107</f>
        <v>0</v>
      </c>
      <c r="AM107" s="501">
        <f t="shared" ref="AM107:AM112" si="187">AH107+AK107</f>
        <v>0</v>
      </c>
      <c r="AN107" s="502">
        <f t="shared" si="114"/>
        <v>0</v>
      </c>
      <c r="AO107" s="499">
        <f t="shared" ref="AO107:AO112" si="188">I107+AF107</f>
        <v>3755657</v>
      </c>
      <c r="AP107" s="486">
        <f t="shared" ref="AP107:AP112" si="189">J107+V107</f>
        <v>2734652</v>
      </c>
      <c r="AQ107" s="486">
        <f t="shared" ref="AQ107:AQ112" si="190">K107+Y107</f>
        <v>0</v>
      </c>
      <c r="AR107" s="480">
        <f t="shared" ref="AR107:AR112" si="191">L107</f>
        <v>0</v>
      </c>
      <c r="AS107" s="486">
        <f t="shared" ref="AS107:AT112" si="192">M107+AA107</f>
        <v>924312</v>
      </c>
      <c r="AT107" s="486">
        <f t="shared" si="192"/>
        <v>54693</v>
      </c>
      <c r="AU107" s="486">
        <f t="shared" ref="AU107:AU112" si="193">O107+AE107</f>
        <v>42000</v>
      </c>
      <c r="AV107" s="501">
        <f t="shared" ref="AV107:AV112" si="194">P107+AN107</f>
        <v>6.8666999999999998</v>
      </c>
      <c r="AW107" s="501">
        <f t="shared" ref="AW107:AX112" si="195">Q107+AL107</f>
        <v>5.4839000000000002</v>
      </c>
      <c r="AX107" s="502">
        <f t="shared" si="195"/>
        <v>1.3828</v>
      </c>
    </row>
    <row r="108" spans="1:50" ht="12.95" customHeight="1" x14ac:dyDescent="0.25">
      <c r="A108" s="154">
        <v>19</v>
      </c>
      <c r="B108" s="83">
        <v>4441</v>
      </c>
      <c r="C108" s="83">
        <v>600074668</v>
      </c>
      <c r="D108" s="83">
        <v>46750495</v>
      </c>
      <c r="E108" s="506" t="s">
        <v>371</v>
      </c>
      <c r="F108" s="507">
        <v>3117</v>
      </c>
      <c r="G108" s="493" t="s">
        <v>335</v>
      </c>
      <c r="H108" s="493" t="s">
        <v>283</v>
      </c>
      <c r="I108" s="495">
        <v>4368111</v>
      </c>
      <c r="J108" s="496">
        <v>3026734</v>
      </c>
      <c r="K108" s="496">
        <v>89056</v>
      </c>
      <c r="L108" s="496">
        <v>6956</v>
      </c>
      <c r="M108" s="411">
        <v>1050786</v>
      </c>
      <c r="N108" s="411">
        <v>60535</v>
      </c>
      <c r="O108" s="496">
        <v>141000</v>
      </c>
      <c r="P108" s="497">
        <v>6.4809999999999999</v>
      </c>
      <c r="Q108" s="412">
        <v>4.2835999999999999</v>
      </c>
      <c r="R108" s="498">
        <v>2.1974</v>
      </c>
      <c r="S108" s="499">
        <f t="shared" si="180"/>
        <v>0</v>
      </c>
      <c r="T108" s="486">
        <v>0</v>
      </c>
      <c r="U108" s="486">
        <v>0</v>
      </c>
      <c r="V108" s="486">
        <f t="shared" si="181"/>
        <v>0</v>
      </c>
      <c r="W108" s="486">
        <v>0</v>
      </c>
      <c r="X108" s="500">
        <v>0</v>
      </c>
      <c r="Y108" s="486">
        <f t="shared" si="182"/>
        <v>0</v>
      </c>
      <c r="Z108" s="499">
        <f t="shared" si="183"/>
        <v>0</v>
      </c>
      <c r="AA108" s="319">
        <f t="shared" si="184"/>
        <v>0</v>
      </c>
      <c r="AB108" s="178">
        <f t="shared" si="185"/>
        <v>0</v>
      </c>
      <c r="AC108" s="486">
        <v>0</v>
      </c>
      <c r="AD108" s="486">
        <v>0</v>
      </c>
      <c r="AE108" s="486">
        <f t="shared" si="110"/>
        <v>0</v>
      </c>
      <c r="AF108" s="486">
        <f t="shared" si="111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86"/>
        <v>0</v>
      </c>
      <c r="AM108" s="501">
        <f t="shared" si="187"/>
        <v>0</v>
      </c>
      <c r="AN108" s="502">
        <f t="shared" si="114"/>
        <v>0</v>
      </c>
      <c r="AO108" s="499">
        <f t="shared" si="188"/>
        <v>4368111</v>
      </c>
      <c r="AP108" s="486">
        <f t="shared" si="189"/>
        <v>3026734</v>
      </c>
      <c r="AQ108" s="486">
        <f t="shared" si="190"/>
        <v>89056</v>
      </c>
      <c r="AR108" s="480">
        <f t="shared" si="191"/>
        <v>6956</v>
      </c>
      <c r="AS108" s="486">
        <f t="shared" si="192"/>
        <v>1050786</v>
      </c>
      <c r="AT108" s="486">
        <f t="shared" si="192"/>
        <v>60535</v>
      </c>
      <c r="AU108" s="486">
        <f t="shared" si="193"/>
        <v>141000</v>
      </c>
      <c r="AV108" s="501">
        <f t="shared" si="194"/>
        <v>6.4809999999999999</v>
      </c>
      <c r="AW108" s="501">
        <f t="shared" si="195"/>
        <v>4.2835999999999999</v>
      </c>
      <c r="AX108" s="502">
        <f t="shared" si="195"/>
        <v>2.1974</v>
      </c>
    </row>
    <row r="109" spans="1:50" ht="12.95" customHeight="1" x14ac:dyDescent="0.25">
      <c r="A109" s="154">
        <v>19</v>
      </c>
      <c r="B109" s="83">
        <v>4441</v>
      </c>
      <c r="C109" s="83">
        <v>600074668</v>
      </c>
      <c r="D109" s="83">
        <v>46750495</v>
      </c>
      <c r="E109" s="506" t="s">
        <v>371</v>
      </c>
      <c r="F109" s="507">
        <v>3117</v>
      </c>
      <c r="G109" s="493" t="s">
        <v>325</v>
      </c>
      <c r="H109" s="493" t="s">
        <v>284</v>
      </c>
      <c r="I109" s="495">
        <v>528406</v>
      </c>
      <c r="J109" s="496">
        <v>378796</v>
      </c>
      <c r="K109" s="496">
        <v>0</v>
      </c>
      <c r="L109" s="496">
        <v>0</v>
      </c>
      <c r="M109" s="411">
        <v>128034</v>
      </c>
      <c r="N109" s="411">
        <v>7576</v>
      </c>
      <c r="O109" s="496">
        <v>14000</v>
      </c>
      <c r="P109" s="497">
        <v>1.0999999999999999</v>
      </c>
      <c r="Q109" s="412">
        <v>1.0999999999999999</v>
      </c>
      <c r="R109" s="498">
        <v>0</v>
      </c>
      <c r="S109" s="499">
        <f t="shared" si="180"/>
        <v>0</v>
      </c>
      <c r="T109" s="486">
        <v>0</v>
      </c>
      <c r="U109" s="486">
        <v>0</v>
      </c>
      <c r="V109" s="486">
        <f t="shared" si="181"/>
        <v>0</v>
      </c>
      <c r="W109" s="486">
        <v>0</v>
      </c>
      <c r="X109" s="500">
        <v>0</v>
      </c>
      <c r="Y109" s="486">
        <f t="shared" si="182"/>
        <v>0</v>
      </c>
      <c r="Z109" s="499">
        <f t="shared" si="183"/>
        <v>0</v>
      </c>
      <c r="AA109" s="319">
        <f t="shared" si="184"/>
        <v>0</v>
      </c>
      <c r="AB109" s="178">
        <f t="shared" si="185"/>
        <v>0</v>
      </c>
      <c r="AC109" s="486">
        <v>0</v>
      </c>
      <c r="AD109" s="486">
        <v>0</v>
      </c>
      <c r="AE109" s="486">
        <f t="shared" si="110"/>
        <v>0</v>
      </c>
      <c r="AF109" s="486">
        <f t="shared" si="111"/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186"/>
        <v>0</v>
      </c>
      <c r="AM109" s="501">
        <f t="shared" si="187"/>
        <v>0</v>
      </c>
      <c r="AN109" s="502">
        <f t="shared" si="114"/>
        <v>0</v>
      </c>
      <c r="AO109" s="499">
        <f t="shared" si="188"/>
        <v>528406</v>
      </c>
      <c r="AP109" s="486">
        <f t="shared" si="189"/>
        <v>378796</v>
      </c>
      <c r="AQ109" s="486">
        <f t="shared" si="190"/>
        <v>0</v>
      </c>
      <c r="AR109" s="480">
        <f t="shared" si="191"/>
        <v>0</v>
      </c>
      <c r="AS109" s="486">
        <f t="shared" si="192"/>
        <v>128034</v>
      </c>
      <c r="AT109" s="486">
        <f t="shared" si="192"/>
        <v>7576</v>
      </c>
      <c r="AU109" s="486">
        <f t="shared" si="193"/>
        <v>14000</v>
      </c>
      <c r="AV109" s="501">
        <f t="shared" si="194"/>
        <v>1.0999999999999999</v>
      </c>
      <c r="AW109" s="501">
        <f t="shared" si="195"/>
        <v>1.0999999999999999</v>
      </c>
      <c r="AX109" s="502">
        <f t="shared" si="195"/>
        <v>0</v>
      </c>
    </row>
    <row r="110" spans="1:50" ht="12.95" customHeight="1" x14ac:dyDescent="0.25">
      <c r="A110" s="154">
        <v>19</v>
      </c>
      <c r="B110" s="83">
        <v>4441</v>
      </c>
      <c r="C110" s="83">
        <v>600074668</v>
      </c>
      <c r="D110" s="83">
        <v>46750495</v>
      </c>
      <c r="E110" s="506" t="s">
        <v>371</v>
      </c>
      <c r="F110" s="507">
        <v>3141</v>
      </c>
      <c r="G110" s="493" t="s">
        <v>321</v>
      </c>
      <c r="H110" s="493" t="s">
        <v>284</v>
      </c>
      <c r="I110" s="495">
        <v>1172950</v>
      </c>
      <c r="J110" s="496">
        <v>859164</v>
      </c>
      <c r="K110" s="496">
        <v>0</v>
      </c>
      <c r="L110" s="496">
        <v>0</v>
      </c>
      <c r="M110" s="411">
        <v>290397</v>
      </c>
      <c r="N110" s="411">
        <v>17183</v>
      </c>
      <c r="O110" s="496">
        <v>6206</v>
      </c>
      <c r="P110" s="497">
        <v>2.92</v>
      </c>
      <c r="Q110" s="412">
        <v>0</v>
      </c>
      <c r="R110" s="498">
        <v>2.92</v>
      </c>
      <c r="S110" s="499">
        <f t="shared" si="180"/>
        <v>0</v>
      </c>
      <c r="T110" s="486">
        <v>0</v>
      </c>
      <c r="U110" s="486">
        <v>0</v>
      </c>
      <c r="V110" s="486">
        <f t="shared" si="181"/>
        <v>0</v>
      </c>
      <c r="W110" s="486">
        <v>0</v>
      </c>
      <c r="X110" s="500">
        <v>0</v>
      </c>
      <c r="Y110" s="486">
        <f t="shared" si="182"/>
        <v>0</v>
      </c>
      <c r="Z110" s="499">
        <f t="shared" si="183"/>
        <v>0</v>
      </c>
      <c r="AA110" s="319">
        <f t="shared" si="184"/>
        <v>0</v>
      </c>
      <c r="AB110" s="178">
        <f t="shared" si="185"/>
        <v>0</v>
      </c>
      <c r="AC110" s="486">
        <v>0</v>
      </c>
      <c r="AD110" s="486">
        <v>0</v>
      </c>
      <c r="AE110" s="486">
        <f t="shared" si="110"/>
        <v>0</v>
      </c>
      <c r="AF110" s="486">
        <f t="shared" si="111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 t="shared" si="186"/>
        <v>0</v>
      </c>
      <c r="AM110" s="501">
        <f t="shared" si="187"/>
        <v>0</v>
      </c>
      <c r="AN110" s="502">
        <f t="shared" si="114"/>
        <v>0</v>
      </c>
      <c r="AO110" s="499">
        <f t="shared" si="188"/>
        <v>1172950</v>
      </c>
      <c r="AP110" s="486">
        <f t="shared" si="189"/>
        <v>859164</v>
      </c>
      <c r="AQ110" s="486">
        <f t="shared" si="190"/>
        <v>0</v>
      </c>
      <c r="AR110" s="480">
        <f t="shared" si="191"/>
        <v>0</v>
      </c>
      <c r="AS110" s="486">
        <f t="shared" si="192"/>
        <v>290397</v>
      </c>
      <c r="AT110" s="486">
        <f t="shared" si="192"/>
        <v>17183</v>
      </c>
      <c r="AU110" s="486">
        <f t="shared" si="193"/>
        <v>6206</v>
      </c>
      <c r="AV110" s="501">
        <f t="shared" si="194"/>
        <v>2.92</v>
      </c>
      <c r="AW110" s="501">
        <f t="shared" si="195"/>
        <v>0</v>
      </c>
      <c r="AX110" s="502">
        <f t="shared" si="195"/>
        <v>2.92</v>
      </c>
    </row>
    <row r="111" spans="1:50" ht="12.95" customHeight="1" x14ac:dyDescent="0.25">
      <c r="A111" s="154">
        <v>19</v>
      </c>
      <c r="B111" s="83">
        <v>4441</v>
      </c>
      <c r="C111" s="83">
        <v>600074668</v>
      </c>
      <c r="D111" s="83">
        <v>46750495</v>
      </c>
      <c r="E111" s="506" t="s">
        <v>371</v>
      </c>
      <c r="F111" s="507">
        <v>3143</v>
      </c>
      <c r="G111" s="493" t="s">
        <v>634</v>
      </c>
      <c r="H111" s="493" t="s">
        <v>283</v>
      </c>
      <c r="I111" s="495">
        <v>675298</v>
      </c>
      <c r="J111" s="496">
        <v>497274</v>
      </c>
      <c r="K111" s="496">
        <v>0</v>
      </c>
      <c r="L111" s="496">
        <v>0</v>
      </c>
      <c r="M111" s="411">
        <v>168079</v>
      </c>
      <c r="N111" s="411">
        <v>9945</v>
      </c>
      <c r="O111" s="496">
        <v>0</v>
      </c>
      <c r="P111" s="497">
        <v>1</v>
      </c>
      <c r="Q111" s="412">
        <v>1</v>
      </c>
      <c r="R111" s="498">
        <v>0</v>
      </c>
      <c r="S111" s="499">
        <f t="shared" si="180"/>
        <v>0</v>
      </c>
      <c r="T111" s="486">
        <v>0</v>
      </c>
      <c r="U111" s="486">
        <v>0</v>
      </c>
      <c r="V111" s="486">
        <f t="shared" si="181"/>
        <v>0</v>
      </c>
      <c r="W111" s="486">
        <v>0</v>
      </c>
      <c r="X111" s="500">
        <v>0</v>
      </c>
      <c r="Y111" s="486">
        <f t="shared" si="182"/>
        <v>0</v>
      </c>
      <c r="Z111" s="499">
        <f t="shared" si="183"/>
        <v>0</v>
      </c>
      <c r="AA111" s="319">
        <f t="shared" si="184"/>
        <v>0</v>
      </c>
      <c r="AB111" s="178">
        <f t="shared" si="185"/>
        <v>0</v>
      </c>
      <c r="AC111" s="486">
        <v>0</v>
      </c>
      <c r="AD111" s="486">
        <v>0</v>
      </c>
      <c r="AE111" s="486">
        <f t="shared" si="110"/>
        <v>0</v>
      </c>
      <c r="AF111" s="486">
        <f t="shared" si="111"/>
        <v>0</v>
      </c>
      <c r="AG111" s="501">
        <v>0</v>
      </c>
      <c r="AH111" s="501">
        <v>0</v>
      </c>
      <c r="AI111" s="501">
        <v>0</v>
      </c>
      <c r="AJ111" s="501">
        <v>0</v>
      </c>
      <c r="AK111" s="501">
        <v>0</v>
      </c>
      <c r="AL111" s="501">
        <f t="shared" si="186"/>
        <v>0</v>
      </c>
      <c r="AM111" s="501">
        <f t="shared" si="187"/>
        <v>0</v>
      </c>
      <c r="AN111" s="502">
        <f t="shared" si="114"/>
        <v>0</v>
      </c>
      <c r="AO111" s="499">
        <f t="shared" si="188"/>
        <v>675298</v>
      </c>
      <c r="AP111" s="486">
        <f t="shared" si="189"/>
        <v>497274</v>
      </c>
      <c r="AQ111" s="486">
        <f t="shared" si="190"/>
        <v>0</v>
      </c>
      <c r="AR111" s="480">
        <f t="shared" si="191"/>
        <v>0</v>
      </c>
      <c r="AS111" s="486">
        <f t="shared" si="192"/>
        <v>168079</v>
      </c>
      <c r="AT111" s="486">
        <f t="shared" si="192"/>
        <v>9945</v>
      </c>
      <c r="AU111" s="486">
        <f t="shared" si="193"/>
        <v>0</v>
      </c>
      <c r="AV111" s="501">
        <f t="shared" si="194"/>
        <v>1</v>
      </c>
      <c r="AW111" s="501">
        <f t="shared" si="195"/>
        <v>1</v>
      </c>
      <c r="AX111" s="502">
        <f t="shared" si="195"/>
        <v>0</v>
      </c>
    </row>
    <row r="112" spans="1:50" ht="12.95" customHeight="1" x14ac:dyDescent="0.25">
      <c r="A112" s="154">
        <v>19</v>
      </c>
      <c r="B112" s="83">
        <v>4441</v>
      </c>
      <c r="C112" s="83">
        <v>600074668</v>
      </c>
      <c r="D112" s="83">
        <v>46750495</v>
      </c>
      <c r="E112" s="506" t="s">
        <v>371</v>
      </c>
      <c r="F112" s="507">
        <v>3143</v>
      </c>
      <c r="G112" s="493" t="s">
        <v>635</v>
      </c>
      <c r="H112" s="493" t="s">
        <v>284</v>
      </c>
      <c r="I112" s="495">
        <v>21066</v>
      </c>
      <c r="J112" s="496">
        <v>14850</v>
      </c>
      <c r="K112" s="496">
        <v>0</v>
      </c>
      <c r="L112" s="496">
        <v>0</v>
      </c>
      <c r="M112" s="411">
        <v>5019</v>
      </c>
      <c r="N112" s="411">
        <v>297</v>
      </c>
      <c r="O112" s="496">
        <v>900</v>
      </c>
      <c r="P112" s="497">
        <v>0.06</v>
      </c>
      <c r="Q112" s="412">
        <v>0</v>
      </c>
      <c r="R112" s="498">
        <v>0.06</v>
      </c>
      <c r="S112" s="499">
        <f t="shared" si="180"/>
        <v>0</v>
      </c>
      <c r="T112" s="486">
        <v>0</v>
      </c>
      <c r="U112" s="486">
        <v>0</v>
      </c>
      <c r="V112" s="486">
        <f t="shared" si="181"/>
        <v>0</v>
      </c>
      <c r="W112" s="486">
        <v>0</v>
      </c>
      <c r="X112" s="500">
        <v>0</v>
      </c>
      <c r="Y112" s="486">
        <f t="shared" si="182"/>
        <v>0</v>
      </c>
      <c r="Z112" s="499">
        <f t="shared" si="183"/>
        <v>0</v>
      </c>
      <c r="AA112" s="319">
        <f t="shared" si="184"/>
        <v>0</v>
      </c>
      <c r="AB112" s="178">
        <f t="shared" si="185"/>
        <v>0</v>
      </c>
      <c r="AC112" s="486">
        <v>0</v>
      </c>
      <c r="AD112" s="486">
        <v>0</v>
      </c>
      <c r="AE112" s="486">
        <f t="shared" si="110"/>
        <v>0</v>
      </c>
      <c r="AF112" s="486">
        <f t="shared" si="111"/>
        <v>0</v>
      </c>
      <c r="AG112" s="501">
        <v>0</v>
      </c>
      <c r="AH112" s="501">
        <v>0</v>
      </c>
      <c r="AI112" s="501">
        <v>0</v>
      </c>
      <c r="AJ112" s="501">
        <v>0</v>
      </c>
      <c r="AK112" s="501">
        <v>0</v>
      </c>
      <c r="AL112" s="501">
        <f t="shared" si="186"/>
        <v>0</v>
      </c>
      <c r="AM112" s="501">
        <f t="shared" si="187"/>
        <v>0</v>
      </c>
      <c r="AN112" s="502">
        <f t="shared" si="114"/>
        <v>0</v>
      </c>
      <c r="AO112" s="499">
        <f t="shared" si="188"/>
        <v>21066</v>
      </c>
      <c r="AP112" s="486">
        <f t="shared" si="189"/>
        <v>14850</v>
      </c>
      <c r="AQ112" s="486">
        <f t="shared" si="190"/>
        <v>0</v>
      </c>
      <c r="AR112" s="480">
        <f t="shared" si="191"/>
        <v>0</v>
      </c>
      <c r="AS112" s="486">
        <f t="shared" si="192"/>
        <v>5019</v>
      </c>
      <c r="AT112" s="486">
        <f t="shared" si="192"/>
        <v>297</v>
      </c>
      <c r="AU112" s="486">
        <f t="shared" si="193"/>
        <v>900</v>
      </c>
      <c r="AV112" s="501">
        <f t="shared" si="194"/>
        <v>0.06</v>
      </c>
      <c r="AW112" s="501">
        <f t="shared" si="195"/>
        <v>0</v>
      </c>
      <c r="AX112" s="502">
        <f t="shared" si="195"/>
        <v>0.06</v>
      </c>
    </row>
    <row r="113" spans="1:50" ht="12.95" customHeight="1" x14ac:dyDescent="0.25">
      <c r="A113" s="155">
        <v>19</v>
      </c>
      <c r="B113" s="85">
        <v>4441</v>
      </c>
      <c r="C113" s="85">
        <v>600074668</v>
      </c>
      <c r="D113" s="85">
        <v>46750495</v>
      </c>
      <c r="E113" s="95" t="s">
        <v>372</v>
      </c>
      <c r="F113" s="96"/>
      <c r="G113" s="97"/>
      <c r="H113" s="97"/>
      <c r="I113" s="147">
        <v>10521488</v>
      </c>
      <c r="J113" s="91">
        <v>7511470</v>
      </c>
      <c r="K113" s="91">
        <v>89056</v>
      </c>
      <c r="L113" s="91">
        <v>6956</v>
      </c>
      <c r="M113" s="91">
        <v>2566627</v>
      </c>
      <c r="N113" s="91">
        <v>150229</v>
      </c>
      <c r="O113" s="91">
        <v>204106</v>
      </c>
      <c r="P113" s="94">
        <v>18.427699999999998</v>
      </c>
      <c r="Q113" s="94">
        <v>11.8675</v>
      </c>
      <c r="R113" s="275">
        <v>6.5601999999999991</v>
      </c>
      <c r="S113" s="142">
        <f t="shared" ref="S113:AN113" si="196">SUM(S107:S112)</f>
        <v>0</v>
      </c>
      <c r="T113" s="91">
        <f t="shared" si="196"/>
        <v>0</v>
      </c>
      <c r="U113" s="91">
        <f t="shared" si="196"/>
        <v>0</v>
      </c>
      <c r="V113" s="91">
        <f t="shared" si="196"/>
        <v>0</v>
      </c>
      <c r="W113" s="91">
        <f t="shared" si="196"/>
        <v>0</v>
      </c>
      <c r="X113" s="442">
        <f t="shared" si="196"/>
        <v>0</v>
      </c>
      <c r="Y113" s="91">
        <f t="shared" si="196"/>
        <v>0</v>
      </c>
      <c r="Z113" s="142">
        <f t="shared" si="196"/>
        <v>0</v>
      </c>
      <c r="AA113" s="91">
        <f t="shared" si="196"/>
        <v>0</v>
      </c>
      <c r="AB113" s="91">
        <f t="shared" si="196"/>
        <v>0</v>
      </c>
      <c r="AC113" s="91">
        <f t="shared" si="196"/>
        <v>0</v>
      </c>
      <c r="AD113" s="91">
        <f t="shared" si="196"/>
        <v>0</v>
      </c>
      <c r="AE113" s="91">
        <f t="shared" si="196"/>
        <v>0</v>
      </c>
      <c r="AF113" s="91">
        <f t="shared" si="196"/>
        <v>0</v>
      </c>
      <c r="AG113" s="94">
        <f t="shared" si="196"/>
        <v>0</v>
      </c>
      <c r="AH113" s="94">
        <f t="shared" si="196"/>
        <v>0</v>
      </c>
      <c r="AI113" s="94">
        <f t="shared" si="196"/>
        <v>0</v>
      </c>
      <c r="AJ113" s="94">
        <f t="shared" si="196"/>
        <v>0</v>
      </c>
      <c r="AK113" s="94">
        <f t="shared" si="196"/>
        <v>0</v>
      </c>
      <c r="AL113" s="94">
        <f t="shared" si="196"/>
        <v>0</v>
      </c>
      <c r="AM113" s="94">
        <f t="shared" si="196"/>
        <v>0</v>
      </c>
      <c r="AN113" s="275">
        <f t="shared" si="196"/>
        <v>0</v>
      </c>
      <c r="AO113" s="142">
        <f t="shared" ref="AO113:AX113" si="197">SUM(AO107:AO112)</f>
        <v>10521488</v>
      </c>
      <c r="AP113" s="91">
        <f t="shared" si="197"/>
        <v>7511470</v>
      </c>
      <c r="AQ113" s="91">
        <f t="shared" si="197"/>
        <v>89056</v>
      </c>
      <c r="AR113" s="91">
        <f t="shared" si="197"/>
        <v>6956</v>
      </c>
      <c r="AS113" s="91">
        <f t="shared" si="197"/>
        <v>2566627</v>
      </c>
      <c r="AT113" s="91">
        <f t="shared" si="197"/>
        <v>150229</v>
      </c>
      <c r="AU113" s="91">
        <f t="shared" si="197"/>
        <v>204106</v>
      </c>
      <c r="AV113" s="94">
        <f t="shared" si="197"/>
        <v>18.427699999999998</v>
      </c>
      <c r="AW113" s="94">
        <f t="shared" si="197"/>
        <v>11.8675</v>
      </c>
      <c r="AX113" s="275">
        <f t="shared" si="197"/>
        <v>6.5601999999999991</v>
      </c>
    </row>
    <row r="114" spans="1:50" ht="12.95" customHeight="1" x14ac:dyDescent="0.25">
      <c r="A114" s="154">
        <v>20</v>
      </c>
      <c r="B114" s="83">
        <v>4428</v>
      </c>
      <c r="C114" s="83">
        <v>600074242</v>
      </c>
      <c r="D114" s="83">
        <v>71010513</v>
      </c>
      <c r="E114" s="506" t="s">
        <v>373</v>
      </c>
      <c r="F114" s="507">
        <v>3111</v>
      </c>
      <c r="G114" s="493" t="s">
        <v>331</v>
      </c>
      <c r="H114" s="493" t="s">
        <v>283</v>
      </c>
      <c r="I114" s="495">
        <v>1626634</v>
      </c>
      <c r="J114" s="496">
        <v>1187507</v>
      </c>
      <c r="K114" s="496">
        <v>0</v>
      </c>
      <c r="L114" s="496">
        <v>0</v>
      </c>
      <c r="M114" s="411">
        <v>401377</v>
      </c>
      <c r="N114" s="411">
        <v>23750</v>
      </c>
      <c r="O114" s="496">
        <v>14000</v>
      </c>
      <c r="P114" s="497">
        <v>2.3239999999999998</v>
      </c>
      <c r="Q114" s="412">
        <v>2</v>
      </c>
      <c r="R114" s="498">
        <v>0.32400000000000001</v>
      </c>
      <c r="S114" s="499">
        <f t="shared" ref="S114:S115" si="198">W114*-1</f>
        <v>0</v>
      </c>
      <c r="T114" s="486">
        <v>0</v>
      </c>
      <c r="U114" s="486">
        <v>0</v>
      </c>
      <c r="V114" s="486">
        <f>SUM(S114:U114)</f>
        <v>0</v>
      </c>
      <c r="W114" s="486">
        <v>0</v>
      </c>
      <c r="X114" s="500">
        <v>0</v>
      </c>
      <c r="Y114" s="486">
        <f>SUM(W114:X114)</f>
        <v>0</v>
      </c>
      <c r="Z114" s="499">
        <f>V114+Y114</f>
        <v>0</v>
      </c>
      <c r="AA114" s="319">
        <f>ROUND((V114+W114)*33.8%,0)</f>
        <v>0</v>
      </c>
      <c r="AB114" s="178">
        <f>ROUND(V114*2%,0)</f>
        <v>0</v>
      </c>
      <c r="AC114" s="486">
        <v>0</v>
      </c>
      <c r="AD114" s="486">
        <v>0</v>
      </c>
      <c r="AE114" s="486">
        <f t="shared" si="110"/>
        <v>0</v>
      </c>
      <c r="AF114" s="486">
        <f t="shared" si="111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ref="AL114:AL115" si="199">AG114+AI114+AJ114</f>
        <v>0</v>
      </c>
      <c r="AM114" s="501">
        <f t="shared" ref="AM114:AM115" si="200">AH114+AK114</f>
        <v>0</v>
      </c>
      <c r="AN114" s="502">
        <f t="shared" si="114"/>
        <v>0</v>
      </c>
      <c r="AO114" s="499">
        <f>I114+AF114</f>
        <v>1626634</v>
      </c>
      <c r="AP114" s="486">
        <f>J114+V114</f>
        <v>1187507</v>
      </c>
      <c r="AQ114" s="486">
        <f>K114+Y114</f>
        <v>0</v>
      </c>
      <c r="AR114" s="480">
        <f>L114</f>
        <v>0</v>
      </c>
      <c r="AS114" s="486">
        <f>M114+AA114</f>
        <v>401377</v>
      </c>
      <c r="AT114" s="486">
        <f>N114+AB114</f>
        <v>23750</v>
      </c>
      <c r="AU114" s="486">
        <f>O114+AE114</f>
        <v>14000</v>
      </c>
      <c r="AV114" s="501">
        <f>P114+AN114</f>
        <v>2.3239999999999998</v>
      </c>
      <c r="AW114" s="501">
        <f>Q114+AL114</f>
        <v>2</v>
      </c>
      <c r="AX114" s="502">
        <f>R114+AM114</f>
        <v>0.32400000000000001</v>
      </c>
    </row>
    <row r="115" spans="1:50" ht="12.95" customHeight="1" x14ac:dyDescent="0.25">
      <c r="A115" s="154">
        <v>20</v>
      </c>
      <c r="B115" s="83">
        <v>4428</v>
      </c>
      <c r="C115" s="83">
        <v>600074242</v>
      </c>
      <c r="D115" s="83">
        <v>71010513</v>
      </c>
      <c r="E115" s="506" t="s">
        <v>373</v>
      </c>
      <c r="F115" s="507">
        <v>3141</v>
      </c>
      <c r="G115" s="508" t="s">
        <v>321</v>
      </c>
      <c r="H115" s="493" t="s">
        <v>284</v>
      </c>
      <c r="I115" s="495">
        <v>624202</v>
      </c>
      <c r="J115" s="496">
        <v>457640</v>
      </c>
      <c r="K115" s="496">
        <v>0</v>
      </c>
      <c r="L115" s="496">
        <v>0</v>
      </c>
      <c r="M115" s="411">
        <v>154683</v>
      </c>
      <c r="N115" s="411">
        <v>9153</v>
      </c>
      <c r="O115" s="496">
        <v>2726</v>
      </c>
      <c r="P115" s="497">
        <v>1.56</v>
      </c>
      <c r="Q115" s="412">
        <v>0</v>
      </c>
      <c r="R115" s="498">
        <v>1.56</v>
      </c>
      <c r="S115" s="499">
        <f t="shared" si="198"/>
        <v>0</v>
      </c>
      <c r="T115" s="486">
        <v>0</v>
      </c>
      <c r="U115" s="486">
        <v>0</v>
      </c>
      <c r="V115" s="486">
        <f>SUM(S115:U115)</f>
        <v>0</v>
      </c>
      <c r="W115" s="486">
        <v>0</v>
      </c>
      <c r="X115" s="500">
        <v>0</v>
      </c>
      <c r="Y115" s="486">
        <f>SUM(W115:X115)</f>
        <v>0</v>
      </c>
      <c r="Z115" s="499">
        <f>V115+Y115</f>
        <v>0</v>
      </c>
      <c r="AA115" s="319">
        <f>ROUND((V115+W115)*33.8%,0)</f>
        <v>0</v>
      </c>
      <c r="AB115" s="178">
        <f>ROUND(V115*2%,0)</f>
        <v>0</v>
      </c>
      <c r="AC115" s="486">
        <v>0</v>
      </c>
      <c r="AD115" s="486">
        <v>0</v>
      </c>
      <c r="AE115" s="486">
        <f t="shared" si="110"/>
        <v>0</v>
      </c>
      <c r="AF115" s="486">
        <f t="shared" si="111"/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si="199"/>
        <v>0</v>
      </c>
      <c r="AM115" s="501">
        <f t="shared" si="200"/>
        <v>0</v>
      </c>
      <c r="AN115" s="502">
        <f t="shared" si="114"/>
        <v>0</v>
      </c>
      <c r="AO115" s="499">
        <f>I115+AF115</f>
        <v>624202</v>
      </c>
      <c r="AP115" s="486">
        <f>J115+V115</f>
        <v>457640</v>
      </c>
      <c r="AQ115" s="486">
        <f>K115+Y115</f>
        <v>0</v>
      </c>
      <c r="AR115" s="480">
        <f>L115</f>
        <v>0</v>
      </c>
      <c r="AS115" s="486">
        <f>M115+AA115</f>
        <v>154683</v>
      </c>
      <c r="AT115" s="486">
        <f>N115+AB115</f>
        <v>9153</v>
      </c>
      <c r="AU115" s="486">
        <f>O115+AE115</f>
        <v>2726</v>
      </c>
      <c r="AV115" s="501">
        <f>P115+AN115</f>
        <v>1.56</v>
      </c>
      <c r="AW115" s="501">
        <f>Q115+AL115</f>
        <v>0</v>
      </c>
      <c r="AX115" s="502">
        <f>R115+AM115</f>
        <v>1.56</v>
      </c>
    </row>
    <row r="116" spans="1:50" ht="12.95" customHeight="1" x14ac:dyDescent="0.25">
      <c r="A116" s="155">
        <v>20</v>
      </c>
      <c r="B116" s="85">
        <v>4428</v>
      </c>
      <c r="C116" s="85">
        <v>600074242</v>
      </c>
      <c r="D116" s="85">
        <v>71010513</v>
      </c>
      <c r="E116" s="95" t="s">
        <v>374</v>
      </c>
      <c r="F116" s="96"/>
      <c r="G116" s="97"/>
      <c r="H116" s="97"/>
      <c r="I116" s="147">
        <v>2250836</v>
      </c>
      <c r="J116" s="91">
        <v>1645147</v>
      </c>
      <c r="K116" s="91">
        <v>0</v>
      </c>
      <c r="L116" s="91">
        <v>0</v>
      </c>
      <c r="M116" s="91">
        <v>556060</v>
      </c>
      <c r="N116" s="91">
        <v>32903</v>
      </c>
      <c r="O116" s="91">
        <v>16726</v>
      </c>
      <c r="P116" s="94">
        <v>3.8839999999999999</v>
      </c>
      <c r="Q116" s="94">
        <v>2</v>
      </c>
      <c r="R116" s="275">
        <v>1.8840000000000001</v>
      </c>
      <c r="S116" s="142">
        <f t="shared" ref="S116:AN116" si="201">SUM(S114:S115)</f>
        <v>0</v>
      </c>
      <c r="T116" s="91">
        <f t="shared" si="201"/>
        <v>0</v>
      </c>
      <c r="U116" s="91">
        <f t="shared" si="201"/>
        <v>0</v>
      </c>
      <c r="V116" s="91">
        <f t="shared" si="201"/>
        <v>0</v>
      </c>
      <c r="W116" s="91">
        <f t="shared" si="201"/>
        <v>0</v>
      </c>
      <c r="X116" s="442">
        <f t="shared" si="201"/>
        <v>0</v>
      </c>
      <c r="Y116" s="91">
        <f t="shared" si="201"/>
        <v>0</v>
      </c>
      <c r="Z116" s="142">
        <f t="shared" si="201"/>
        <v>0</v>
      </c>
      <c r="AA116" s="91">
        <f t="shared" si="201"/>
        <v>0</v>
      </c>
      <c r="AB116" s="91">
        <f t="shared" si="201"/>
        <v>0</v>
      </c>
      <c r="AC116" s="91">
        <f t="shared" si="201"/>
        <v>0</v>
      </c>
      <c r="AD116" s="91">
        <f t="shared" si="201"/>
        <v>0</v>
      </c>
      <c r="AE116" s="91">
        <f t="shared" si="201"/>
        <v>0</v>
      </c>
      <c r="AF116" s="91">
        <f t="shared" si="201"/>
        <v>0</v>
      </c>
      <c r="AG116" s="94">
        <f t="shared" si="201"/>
        <v>0</v>
      </c>
      <c r="AH116" s="94">
        <f t="shared" si="201"/>
        <v>0</v>
      </c>
      <c r="AI116" s="94">
        <f t="shared" si="201"/>
        <v>0</v>
      </c>
      <c r="AJ116" s="94">
        <f t="shared" si="201"/>
        <v>0</v>
      </c>
      <c r="AK116" s="94">
        <f t="shared" si="201"/>
        <v>0</v>
      </c>
      <c r="AL116" s="94">
        <f t="shared" si="201"/>
        <v>0</v>
      </c>
      <c r="AM116" s="94">
        <f t="shared" si="201"/>
        <v>0</v>
      </c>
      <c r="AN116" s="275">
        <f t="shared" si="201"/>
        <v>0</v>
      </c>
      <c r="AO116" s="142">
        <f t="shared" ref="AO116:AX116" si="202">SUM(AO114:AO115)</f>
        <v>2250836</v>
      </c>
      <c r="AP116" s="91">
        <f t="shared" si="202"/>
        <v>1645147</v>
      </c>
      <c r="AQ116" s="91">
        <f t="shared" si="202"/>
        <v>0</v>
      </c>
      <c r="AR116" s="91">
        <f t="shared" si="202"/>
        <v>0</v>
      </c>
      <c r="AS116" s="91">
        <f t="shared" si="202"/>
        <v>556060</v>
      </c>
      <c r="AT116" s="91">
        <f t="shared" si="202"/>
        <v>32903</v>
      </c>
      <c r="AU116" s="91">
        <f t="shared" si="202"/>
        <v>16726</v>
      </c>
      <c r="AV116" s="94">
        <f t="shared" si="202"/>
        <v>3.8839999999999999</v>
      </c>
      <c r="AW116" s="94">
        <f t="shared" si="202"/>
        <v>2</v>
      </c>
      <c r="AX116" s="275">
        <f t="shared" si="202"/>
        <v>1.8840000000000001</v>
      </c>
    </row>
    <row r="117" spans="1:50" ht="12.95" customHeight="1" x14ac:dyDescent="0.25">
      <c r="A117" s="154">
        <v>21</v>
      </c>
      <c r="B117" s="83">
        <v>4463</v>
      </c>
      <c r="C117" s="83">
        <v>600074684</v>
      </c>
      <c r="D117" s="83">
        <v>71010467</v>
      </c>
      <c r="E117" s="506" t="s">
        <v>375</v>
      </c>
      <c r="F117" s="507">
        <v>3117</v>
      </c>
      <c r="G117" s="508" t="s">
        <v>335</v>
      </c>
      <c r="H117" s="493" t="s">
        <v>283</v>
      </c>
      <c r="I117" s="495">
        <v>2857993</v>
      </c>
      <c r="J117" s="496">
        <v>2041971</v>
      </c>
      <c r="K117" s="496">
        <v>3996</v>
      </c>
      <c r="L117" s="496">
        <v>3996</v>
      </c>
      <c r="M117" s="411">
        <v>690186</v>
      </c>
      <c r="N117" s="411">
        <v>40840</v>
      </c>
      <c r="O117" s="496">
        <v>81000</v>
      </c>
      <c r="P117" s="497">
        <v>3.7943000000000002</v>
      </c>
      <c r="Q117" s="412">
        <v>2.7273000000000001</v>
      </c>
      <c r="R117" s="498">
        <v>1.0670000000000002</v>
      </c>
      <c r="S117" s="499">
        <f t="shared" ref="S117:S120" si="203">W117*-1</f>
        <v>0</v>
      </c>
      <c r="T117" s="486">
        <v>0</v>
      </c>
      <c r="U117" s="486">
        <v>0</v>
      </c>
      <c r="V117" s="486">
        <f>SUM(S117:U117)</f>
        <v>0</v>
      </c>
      <c r="W117" s="486">
        <v>0</v>
      </c>
      <c r="X117" s="500">
        <v>0</v>
      </c>
      <c r="Y117" s="486">
        <f>SUM(W117:X117)</f>
        <v>0</v>
      </c>
      <c r="Z117" s="499">
        <f>V117+Y117</f>
        <v>0</v>
      </c>
      <c r="AA117" s="319">
        <f>ROUND((V117+W117)*33.8%,0)</f>
        <v>0</v>
      </c>
      <c r="AB117" s="178">
        <f>ROUND(V117*2%,0)</f>
        <v>0</v>
      </c>
      <c r="AC117" s="486">
        <v>0</v>
      </c>
      <c r="AD117" s="486">
        <v>0</v>
      </c>
      <c r="AE117" s="486">
        <f t="shared" si="110"/>
        <v>0</v>
      </c>
      <c r="AF117" s="486">
        <f t="shared" si="111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ref="AL117:AL120" si="204">AG117+AI117+AJ117</f>
        <v>0</v>
      </c>
      <c r="AM117" s="501">
        <f t="shared" ref="AM117:AM120" si="205">AH117+AK117</f>
        <v>0</v>
      </c>
      <c r="AN117" s="502">
        <f t="shared" si="114"/>
        <v>0</v>
      </c>
      <c r="AO117" s="499">
        <f>I117+AF117</f>
        <v>2857993</v>
      </c>
      <c r="AP117" s="486">
        <f>J117+V117</f>
        <v>2041971</v>
      </c>
      <c r="AQ117" s="486">
        <f>K117+Y117</f>
        <v>3996</v>
      </c>
      <c r="AR117" s="480">
        <f>L117</f>
        <v>3996</v>
      </c>
      <c r="AS117" s="486">
        <f t="shared" ref="AS117:AT120" si="206">M117+AA117</f>
        <v>690186</v>
      </c>
      <c r="AT117" s="486">
        <f t="shared" si="206"/>
        <v>40840</v>
      </c>
      <c r="AU117" s="486">
        <f>O117+AE117</f>
        <v>81000</v>
      </c>
      <c r="AV117" s="501">
        <f>P117+AN117</f>
        <v>3.7943000000000002</v>
      </c>
      <c r="AW117" s="501">
        <f t="shared" ref="AW117:AX120" si="207">Q117+AL117</f>
        <v>2.7273000000000001</v>
      </c>
      <c r="AX117" s="502">
        <f t="shared" si="207"/>
        <v>1.0670000000000002</v>
      </c>
    </row>
    <row r="118" spans="1:50" ht="12.95" customHeight="1" x14ac:dyDescent="0.25">
      <c r="A118" s="154">
        <v>21</v>
      </c>
      <c r="B118" s="83">
        <v>4463</v>
      </c>
      <c r="C118" s="83">
        <v>600074684</v>
      </c>
      <c r="D118" s="83">
        <v>71010467</v>
      </c>
      <c r="E118" s="506" t="s">
        <v>375</v>
      </c>
      <c r="F118" s="507">
        <v>3117</v>
      </c>
      <c r="G118" s="493" t="s">
        <v>325</v>
      </c>
      <c r="H118" s="493" t="s">
        <v>284</v>
      </c>
      <c r="I118" s="495">
        <v>175510</v>
      </c>
      <c r="J118" s="496">
        <v>129241</v>
      </c>
      <c r="K118" s="496">
        <v>0</v>
      </c>
      <c r="L118" s="496">
        <v>0</v>
      </c>
      <c r="M118" s="411">
        <v>43684</v>
      </c>
      <c r="N118" s="411">
        <v>2585</v>
      </c>
      <c r="O118" s="496">
        <v>0</v>
      </c>
      <c r="P118" s="497">
        <v>0.37</v>
      </c>
      <c r="Q118" s="412">
        <v>0.37</v>
      </c>
      <c r="R118" s="498">
        <v>0</v>
      </c>
      <c r="S118" s="499">
        <f t="shared" si="203"/>
        <v>0</v>
      </c>
      <c r="T118" s="486">
        <v>0</v>
      </c>
      <c r="U118" s="486">
        <v>0</v>
      </c>
      <c r="V118" s="486">
        <f>SUM(S118:U118)</f>
        <v>0</v>
      </c>
      <c r="W118" s="486">
        <v>0</v>
      </c>
      <c r="X118" s="500">
        <v>0</v>
      </c>
      <c r="Y118" s="486">
        <f>SUM(W118:X118)</f>
        <v>0</v>
      </c>
      <c r="Z118" s="499">
        <f>V118+Y118</f>
        <v>0</v>
      </c>
      <c r="AA118" s="319">
        <f>ROUND((V118+W118)*33.8%,0)</f>
        <v>0</v>
      </c>
      <c r="AB118" s="178">
        <f>ROUND(V118*2%,0)</f>
        <v>0</v>
      </c>
      <c r="AC118" s="486">
        <v>0</v>
      </c>
      <c r="AD118" s="486">
        <v>0</v>
      </c>
      <c r="AE118" s="486">
        <f t="shared" si="110"/>
        <v>0</v>
      </c>
      <c r="AF118" s="486">
        <f t="shared" si="111"/>
        <v>0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si="204"/>
        <v>0</v>
      </c>
      <c r="AM118" s="501">
        <f t="shared" si="205"/>
        <v>0</v>
      </c>
      <c r="AN118" s="502">
        <f t="shared" si="114"/>
        <v>0</v>
      </c>
      <c r="AO118" s="499">
        <f>I118+AF118</f>
        <v>175510</v>
      </c>
      <c r="AP118" s="486">
        <f>J118+V118</f>
        <v>129241</v>
      </c>
      <c r="AQ118" s="486">
        <f>K118+Y118</f>
        <v>0</v>
      </c>
      <c r="AR118" s="480">
        <f>L118</f>
        <v>0</v>
      </c>
      <c r="AS118" s="486">
        <f t="shared" si="206"/>
        <v>43684</v>
      </c>
      <c r="AT118" s="486">
        <f t="shared" si="206"/>
        <v>2585</v>
      </c>
      <c r="AU118" s="486">
        <f>O118+AE118</f>
        <v>0</v>
      </c>
      <c r="AV118" s="501">
        <f>P118+AN118</f>
        <v>0.37</v>
      </c>
      <c r="AW118" s="501">
        <f t="shared" si="207"/>
        <v>0.37</v>
      </c>
      <c r="AX118" s="502">
        <f t="shared" si="207"/>
        <v>0</v>
      </c>
    </row>
    <row r="119" spans="1:50" ht="12.95" customHeight="1" x14ac:dyDescent="0.25">
      <c r="A119" s="154">
        <v>21</v>
      </c>
      <c r="B119" s="83">
        <v>4463</v>
      </c>
      <c r="C119" s="83">
        <v>600074684</v>
      </c>
      <c r="D119" s="83">
        <v>71010467</v>
      </c>
      <c r="E119" s="506" t="s">
        <v>375</v>
      </c>
      <c r="F119" s="507">
        <v>3143</v>
      </c>
      <c r="G119" s="493" t="s">
        <v>634</v>
      </c>
      <c r="H119" s="493" t="s">
        <v>283</v>
      </c>
      <c r="I119" s="495">
        <v>570101</v>
      </c>
      <c r="J119" s="496">
        <v>419809</v>
      </c>
      <c r="K119" s="496">
        <v>0</v>
      </c>
      <c r="L119" s="496">
        <v>0</v>
      </c>
      <c r="M119" s="411">
        <v>141895</v>
      </c>
      <c r="N119" s="411">
        <v>8397</v>
      </c>
      <c r="O119" s="496">
        <v>0</v>
      </c>
      <c r="P119" s="497">
        <v>0.85709999999999997</v>
      </c>
      <c r="Q119" s="412">
        <v>0.85709999999999997</v>
      </c>
      <c r="R119" s="498">
        <v>0</v>
      </c>
      <c r="S119" s="499">
        <f t="shared" si="203"/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500">
        <v>0</v>
      </c>
      <c r="Y119" s="486">
        <f>SUM(W119:X119)</f>
        <v>0</v>
      </c>
      <c r="Z119" s="499">
        <f>V119+Y119</f>
        <v>0</v>
      </c>
      <c r="AA119" s="319">
        <f>ROUND((V119+W119)*33.8%,0)</f>
        <v>0</v>
      </c>
      <c r="AB119" s="178">
        <f>ROUND(V119*2%,0)</f>
        <v>0</v>
      </c>
      <c r="AC119" s="486">
        <v>0</v>
      </c>
      <c r="AD119" s="486">
        <v>0</v>
      </c>
      <c r="AE119" s="486">
        <f t="shared" si="110"/>
        <v>0</v>
      </c>
      <c r="AF119" s="486">
        <f t="shared" si="111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204"/>
        <v>0</v>
      </c>
      <c r="AM119" s="501">
        <f t="shared" si="205"/>
        <v>0</v>
      </c>
      <c r="AN119" s="502">
        <f t="shared" si="114"/>
        <v>0</v>
      </c>
      <c r="AO119" s="499">
        <f>I119+AF119</f>
        <v>570101</v>
      </c>
      <c r="AP119" s="486">
        <f>J119+V119</f>
        <v>419809</v>
      </c>
      <c r="AQ119" s="486">
        <f>K119+Y119</f>
        <v>0</v>
      </c>
      <c r="AR119" s="480">
        <f>L119</f>
        <v>0</v>
      </c>
      <c r="AS119" s="486">
        <f t="shared" si="206"/>
        <v>141895</v>
      </c>
      <c r="AT119" s="486">
        <f t="shared" si="206"/>
        <v>8397</v>
      </c>
      <c r="AU119" s="486">
        <f>O119+AE119</f>
        <v>0</v>
      </c>
      <c r="AV119" s="501">
        <f>P119+AN119</f>
        <v>0.85709999999999997</v>
      </c>
      <c r="AW119" s="501">
        <f t="shared" si="207"/>
        <v>0.85709999999999997</v>
      </c>
      <c r="AX119" s="502">
        <f t="shared" si="207"/>
        <v>0</v>
      </c>
    </row>
    <row r="120" spans="1:50" ht="12.95" customHeight="1" x14ac:dyDescent="0.25">
      <c r="A120" s="154">
        <v>21</v>
      </c>
      <c r="B120" s="83">
        <v>4463</v>
      </c>
      <c r="C120" s="83">
        <v>600074684</v>
      </c>
      <c r="D120" s="83">
        <v>71010467</v>
      </c>
      <c r="E120" s="506" t="s">
        <v>375</v>
      </c>
      <c r="F120" s="507">
        <v>3143</v>
      </c>
      <c r="G120" s="493" t="s">
        <v>635</v>
      </c>
      <c r="H120" s="493" t="s">
        <v>284</v>
      </c>
      <c r="I120" s="495">
        <v>17556</v>
      </c>
      <c r="J120" s="496">
        <v>12375</v>
      </c>
      <c r="K120" s="496">
        <v>0</v>
      </c>
      <c r="L120" s="496">
        <v>0</v>
      </c>
      <c r="M120" s="411">
        <v>4183</v>
      </c>
      <c r="N120" s="411">
        <v>248</v>
      </c>
      <c r="O120" s="496">
        <v>750</v>
      </c>
      <c r="P120" s="497">
        <v>0.05</v>
      </c>
      <c r="Q120" s="412">
        <v>0</v>
      </c>
      <c r="R120" s="498">
        <v>0.05</v>
      </c>
      <c r="S120" s="499">
        <f t="shared" si="203"/>
        <v>0</v>
      </c>
      <c r="T120" s="486">
        <v>0</v>
      </c>
      <c r="U120" s="486">
        <v>0</v>
      </c>
      <c r="V120" s="486">
        <f>SUM(S120:U120)</f>
        <v>0</v>
      </c>
      <c r="W120" s="486">
        <v>0</v>
      </c>
      <c r="X120" s="500">
        <v>0</v>
      </c>
      <c r="Y120" s="486">
        <f>SUM(W120:X120)</f>
        <v>0</v>
      </c>
      <c r="Z120" s="499">
        <f>V120+Y120</f>
        <v>0</v>
      </c>
      <c r="AA120" s="319">
        <f>ROUND((V120+W120)*33.8%,0)</f>
        <v>0</v>
      </c>
      <c r="AB120" s="178">
        <f>ROUND(V120*2%,0)</f>
        <v>0</v>
      </c>
      <c r="AC120" s="486">
        <v>0</v>
      </c>
      <c r="AD120" s="486">
        <v>0</v>
      </c>
      <c r="AE120" s="486">
        <f t="shared" si="110"/>
        <v>0</v>
      </c>
      <c r="AF120" s="486">
        <f t="shared" si="111"/>
        <v>0</v>
      </c>
      <c r="AG120" s="501">
        <v>0</v>
      </c>
      <c r="AH120" s="501">
        <v>0</v>
      </c>
      <c r="AI120" s="501">
        <v>0</v>
      </c>
      <c r="AJ120" s="501">
        <v>0</v>
      </c>
      <c r="AK120" s="501">
        <v>0</v>
      </c>
      <c r="AL120" s="501">
        <f t="shared" si="204"/>
        <v>0</v>
      </c>
      <c r="AM120" s="501">
        <f t="shared" si="205"/>
        <v>0</v>
      </c>
      <c r="AN120" s="502">
        <f t="shared" si="114"/>
        <v>0</v>
      </c>
      <c r="AO120" s="499">
        <f>I120+AF120</f>
        <v>17556</v>
      </c>
      <c r="AP120" s="486">
        <f>J120+V120</f>
        <v>12375</v>
      </c>
      <c r="AQ120" s="486">
        <f>K120+Y120</f>
        <v>0</v>
      </c>
      <c r="AR120" s="480">
        <f>L120</f>
        <v>0</v>
      </c>
      <c r="AS120" s="486">
        <f t="shared" si="206"/>
        <v>4183</v>
      </c>
      <c r="AT120" s="486">
        <f t="shared" si="206"/>
        <v>248</v>
      </c>
      <c r="AU120" s="486">
        <f>O120+AE120</f>
        <v>750</v>
      </c>
      <c r="AV120" s="501">
        <f>P120+AN120</f>
        <v>0.05</v>
      </c>
      <c r="AW120" s="501">
        <f t="shared" si="207"/>
        <v>0</v>
      </c>
      <c r="AX120" s="502">
        <f t="shared" si="207"/>
        <v>0.05</v>
      </c>
    </row>
    <row r="121" spans="1:50" ht="12.95" customHeight="1" thickBot="1" x14ac:dyDescent="0.3">
      <c r="A121" s="165">
        <v>21</v>
      </c>
      <c r="B121" s="166">
        <v>4463</v>
      </c>
      <c r="C121" s="166">
        <v>600074684</v>
      </c>
      <c r="D121" s="166">
        <v>71010467</v>
      </c>
      <c r="E121" s="95" t="s">
        <v>376</v>
      </c>
      <c r="F121" s="96"/>
      <c r="G121" s="97"/>
      <c r="H121" s="97"/>
      <c r="I121" s="406">
        <v>3621160</v>
      </c>
      <c r="J121" s="144">
        <v>2603396</v>
      </c>
      <c r="K121" s="144">
        <v>3996</v>
      </c>
      <c r="L121" s="144">
        <v>3996</v>
      </c>
      <c r="M121" s="144">
        <v>879948</v>
      </c>
      <c r="N121" s="144">
        <v>52070</v>
      </c>
      <c r="O121" s="144">
        <v>81750</v>
      </c>
      <c r="P121" s="151">
        <v>5.0713999999999997</v>
      </c>
      <c r="Q121" s="151">
        <v>3.9544000000000001</v>
      </c>
      <c r="R121" s="276">
        <v>1.1170000000000002</v>
      </c>
      <c r="S121" s="143">
        <f t="shared" ref="S121:AN121" si="208">SUM(S117:S120)</f>
        <v>0</v>
      </c>
      <c r="T121" s="144">
        <f t="shared" si="208"/>
        <v>0</v>
      </c>
      <c r="U121" s="144">
        <f t="shared" si="208"/>
        <v>0</v>
      </c>
      <c r="V121" s="144">
        <f t="shared" si="208"/>
        <v>0</v>
      </c>
      <c r="W121" s="144">
        <f t="shared" si="208"/>
        <v>0</v>
      </c>
      <c r="X121" s="443">
        <f t="shared" si="208"/>
        <v>0</v>
      </c>
      <c r="Y121" s="445">
        <f t="shared" si="208"/>
        <v>0</v>
      </c>
      <c r="Z121" s="143">
        <f t="shared" si="208"/>
        <v>0</v>
      </c>
      <c r="AA121" s="144">
        <f t="shared" si="208"/>
        <v>0</v>
      </c>
      <c r="AB121" s="144">
        <f t="shared" si="208"/>
        <v>0</v>
      </c>
      <c r="AC121" s="144">
        <f t="shared" si="208"/>
        <v>0</v>
      </c>
      <c r="AD121" s="144">
        <f t="shared" si="208"/>
        <v>0</v>
      </c>
      <c r="AE121" s="144">
        <f t="shared" si="208"/>
        <v>0</v>
      </c>
      <c r="AF121" s="144">
        <f t="shared" si="208"/>
        <v>0</v>
      </c>
      <c r="AG121" s="151">
        <f t="shared" si="208"/>
        <v>0</v>
      </c>
      <c r="AH121" s="151">
        <f t="shared" si="208"/>
        <v>0</v>
      </c>
      <c r="AI121" s="151">
        <f t="shared" si="208"/>
        <v>0</v>
      </c>
      <c r="AJ121" s="151">
        <f t="shared" si="208"/>
        <v>0</v>
      </c>
      <c r="AK121" s="151">
        <f t="shared" si="208"/>
        <v>0</v>
      </c>
      <c r="AL121" s="151">
        <f t="shared" si="208"/>
        <v>0</v>
      </c>
      <c r="AM121" s="151">
        <f t="shared" si="208"/>
        <v>0</v>
      </c>
      <c r="AN121" s="276">
        <f t="shared" si="208"/>
        <v>0</v>
      </c>
      <c r="AO121" s="143">
        <f t="shared" ref="AO121:AX121" si="209">SUM(AO117:AO120)</f>
        <v>3621160</v>
      </c>
      <c r="AP121" s="144">
        <f t="shared" si="209"/>
        <v>2603396</v>
      </c>
      <c r="AQ121" s="144">
        <f t="shared" si="209"/>
        <v>3996</v>
      </c>
      <c r="AR121" s="144">
        <f t="shared" si="209"/>
        <v>3996</v>
      </c>
      <c r="AS121" s="144">
        <f t="shared" si="209"/>
        <v>879948</v>
      </c>
      <c r="AT121" s="144">
        <f t="shared" si="209"/>
        <v>52070</v>
      </c>
      <c r="AU121" s="144">
        <f t="shared" si="209"/>
        <v>81750</v>
      </c>
      <c r="AV121" s="151">
        <f t="shared" si="209"/>
        <v>5.0713999999999997</v>
      </c>
      <c r="AW121" s="151">
        <f t="shared" si="209"/>
        <v>3.9544000000000001</v>
      </c>
      <c r="AX121" s="276">
        <f t="shared" si="209"/>
        <v>1.1170000000000002</v>
      </c>
    </row>
    <row r="122" spans="1:50" ht="14.25" customHeight="1" thickBot="1" x14ac:dyDescent="0.3">
      <c r="A122" s="167"/>
      <c r="B122" s="110"/>
      <c r="C122" s="98"/>
      <c r="D122" s="110"/>
      <c r="E122" s="189" t="s">
        <v>800</v>
      </c>
      <c r="F122" s="98"/>
      <c r="G122" s="99"/>
      <c r="H122" s="404"/>
      <c r="I122" s="145">
        <f>I121+I116+I113+I106+I99+I92+I85+I78+I71+I64+I57+I55+I49+I45+I43+I41+I36+I30+I24+I18+I13</f>
        <v>308478526</v>
      </c>
      <c r="J122" s="146">
        <f t="shared" ref="J122:AX122" si="210">J121+J116+J113+J106+J99+J92+J85+J78+J71+J64+J57+J55+J49+J45+J43+J41+J36+J30+J24+J18+J13</f>
        <v>221044758</v>
      </c>
      <c r="K122" s="146">
        <f t="shared" si="210"/>
        <v>1374532</v>
      </c>
      <c r="L122" s="146">
        <f t="shared" si="210"/>
        <v>470462</v>
      </c>
      <c r="M122" s="146">
        <f t="shared" si="210"/>
        <v>75018703</v>
      </c>
      <c r="N122" s="146">
        <f t="shared" si="210"/>
        <v>4420893</v>
      </c>
      <c r="O122" s="146">
        <f t="shared" si="210"/>
        <v>6619640</v>
      </c>
      <c r="P122" s="152">
        <f t="shared" si="210"/>
        <v>490.88410000000005</v>
      </c>
      <c r="Q122" s="152">
        <f t="shared" si="210"/>
        <v>339.90570000000002</v>
      </c>
      <c r="R122" s="153">
        <f t="shared" si="210"/>
        <v>150.97839999999999</v>
      </c>
      <c r="S122" s="273">
        <f t="shared" si="210"/>
        <v>18200</v>
      </c>
      <c r="T122" s="146">
        <f t="shared" si="210"/>
        <v>37265</v>
      </c>
      <c r="U122" s="146">
        <f t="shared" si="210"/>
        <v>-81001</v>
      </c>
      <c r="V122" s="146">
        <f t="shared" si="210"/>
        <v>-25536</v>
      </c>
      <c r="W122" s="146">
        <f t="shared" si="210"/>
        <v>-18200</v>
      </c>
      <c r="X122" s="444">
        <f t="shared" si="210"/>
        <v>0</v>
      </c>
      <c r="Y122" s="146">
        <f t="shared" si="210"/>
        <v>-18200</v>
      </c>
      <c r="Z122" s="273">
        <f t="shared" si="210"/>
        <v>-43736</v>
      </c>
      <c r="AA122" s="146">
        <f t="shared" si="210"/>
        <v>-14783</v>
      </c>
      <c r="AB122" s="146">
        <f t="shared" si="210"/>
        <v>-510</v>
      </c>
      <c r="AC122" s="146">
        <f t="shared" si="210"/>
        <v>7250</v>
      </c>
      <c r="AD122" s="146">
        <f t="shared" si="210"/>
        <v>110000</v>
      </c>
      <c r="AE122" s="146">
        <f t="shared" si="210"/>
        <v>117250</v>
      </c>
      <c r="AF122" s="146">
        <f t="shared" si="210"/>
        <v>58221</v>
      </c>
      <c r="AG122" s="152">
        <f t="shared" si="210"/>
        <v>0</v>
      </c>
      <c r="AH122" s="152">
        <f t="shared" si="210"/>
        <v>0</v>
      </c>
      <c r="AI122" s="152">
        <f t="shared" si="210"/>
        <v>0.1</v>
      </c>
      <c r="AJ122" s="152">
        <f t="shared" si="210"/>
        <v>0</v>
      </c>
      <c r="AK122" s="152">
        <f t="shared" si="210"/>
        <v>0</v>
      </c>
      <c r="AL122" s="152">
        <f t="shared" si="210"/>
        <v>0.1</v>
      </c>
      <c r="AM122" s="152">
        <f t="shared" si="210"/>
        <v>0</v>
      </c>
      <c r="AN122" s="153">
        <f t="shared" si="210"/>
        <v>0.1</v>
      </c>
      <c r="AO122" s="273">
        <f t="shared" si="210"/>
        <v>308536747</v>
      </c>
      <c r="AP122" s="146">
        <f t="shared" si="210"/>
        <v>221019222</v>
      </c>
      <c r="AQ122" s="146">
        <f t="shared" si="210"/>
        <v>1356332</v>
      </c>
      <c r="AR122" s="146">
        <f t="shared" si="210"/>
        <v>470462</v>
      </c>
      <c r="AS122" s="146">
        <f t="shared" si="210"/>
        <v>75003920</v>
      </c>
      <c r="AT122" s="146">
        <f t="shared" si="210"/>
        <v>4420383</v>
      </c>
      <c r="AU122" s="146">
        <f t="shared" si="210"/>
        <v>6736890</v>
      </c>
      <c r="AV122" s="152">
        <f t="shared" si="210"/>
        <v>490.98410000000007</v>
      </c>
      <c r="AW122" s="152">
        <f t="shared" si="210"/>
        <v>340.00570000000005</v>
      </c>
      <c r="AX122" s="153">
        <f t="shared" si="210"/>
        <v>150.97839999999999</v>
      </c>
    </row>
    <row r="123" spans="1:50" ht="12.75" customHeight="1" x14ac:dyDescent="0.25">
      <c r="B123" s="80"/>
      <c r="D123" s="80"/>
      <c r="E123" s="100"/>
      <c r="I123" s="509">
        <f>J122+K122+M122+N122+O122</f>
        <v>308478526</v>
      </c>
      <c r="J123" s="509"/>
      <c r="K123" s="509"/>
      <c r="L123" s="509"/>
      <c r="M123" s="509"/>
      <c r="N123" s="509"/>
      <c r="O123" s="509"/>
      <c r="P123" s="510">
        <f>SUM(Q122:R122)</f>
        <v>490.88409999999999</v>
      </c>
      <c r="Q123" s="510"/>
      <c r="R123" s="510"/>
      <c r="S123" s="509">
        <f>W122</f>
        <v>-18200</v>
      </c>
      <c r="T123" s="510"/>
      <c r="U123" s="510"/>
      <c r="V123" s="739">
        <f>SUM(S122:U122)</f>
        <v>-25536</v>
      </c>
      <c r="W123" s="607"/>
      <c r="X123" s="607"/>
      <c r="Y123" s="606">
        <f>SUM(W122:X122)</f>
        <v>-18200</v>
      </c>
      <c r="Z123" s="739">
        <f>V122+Y122</f>
        <v>-43736</v>
      </c>
      <c r="AA123" s="741"/>
      <c r="AB123" s="741"/>
      <c r="AC123" s="740"/>
      <c r="AD123" s="740"/>
      <c r="AE123" s="739">
        <f>SUM(AC122:AD122)</f>
        <v>117250</v>
      </c>
      <c r="AF123" s="739">
        <f>Z122+AA122+AB122+AE122</f>
        <v>58221</v>
      </c>
      <c r="AG123" s="742"/>
      <c r="AH123" s="742"/>
      <c r="AI123" s="742"/>
      <c r="AJ123" s="742"/>
      <c r="AK123" s="742"/>
      <c r="AL123" s="743">
        <f>AG122+AI122+AJ122</f>
        <v>0.1</v>
      </c>
      <c r="AM123" s="743">
        <f>AH122+AK122</f>
        <v>0</v>
      </c>
      <c r="AN123" s="743">
        <f>SUM(AL122:AM122)</f>
        <v>0.1</v>
      </c>
      <c r="AO123" s="509">
        <f>AP122+AQ122+AS122+AT122+AU122</f>
        <v>308536747</v>
      </c>
      <c r="AP123" s="177"/>
      <c r="AQ123" s="177"/>
      <c r="AR123" s="509"/>
      <c r="AS123" s="177"/>
      <c r="AT123" s="177"/>
      <c r="AU123" s="177"/>
      <c r="AV123" s="510">
        <f>SUM(AW122:AX122)</f>
        <v>490.98410000000001</v>
      </c>
      <c r="AW123" s="177"/>
      <c r="AX123" s="177"/>
    </row>
    <row r="124" spans="1:50" ht="12.75" customHeight="1" thickBot="1" x14ac:dyDescent="0.3">
      <c r="B124" s="80"/>
      <c r="D124" s="80"/>
      <c r="E124" s="82"/>
      <c r="I124" s="192">
        <f ca="1">J125+K125+M125+N125+O125</f>
        <v>308478526</v>
      </c>
      <c r="J124" s="193"/>
      <c r="K124" s="193"/>
      <c r="L124" s="193"/>
      <c r="M124" s="193"/>
      <c r="N124" s="193"/>
      <c r="O124" s="193"/>
      <c r="P124" s="194">
        <f ca="1">SUM(Q125:R125)</f>
        <v>490.8841000000001</v>
      </c>
      <c r="Q124" s="339"/>
      <c r="R124" s="339"/>
      <c r="S124" s="355"/>
      <c r="T124" s="355"/>
      <c r="U124" s="355"/>
      <c r="V124" s="511">
        <f ca="1">SUM(S125:U125)</f>
        <v>-25536</v>
      </c>
      <c r="W124" s="512"/>
      <c r="X124" s="512"/>
      <c r="Y124" s="511">
        <f ca="1">SUM(W125:X125)</f>
        <v>-18200</v>
      </c>
      <c r="Z124" s="511">
        <f ca="1">V125+Y125</f>
        <v>-43736</v>
      </c>
      <c r="AA124" s="354"/>
      <c r="AB124" s="354"/>
      <c r="AC124" s="512"/>
      <c r="AD124" s="512"/>
      <c r="AE124" s="511">
        <f ca="1">SUM(AC125:AD125)</f>
        <v>117250</v>
      </c>
      <c r="AF124" s="511">
        <f ca="1">Z125+AA125+AB125+AE125</f>
        <v>58221</v>
      </c>
      <c r="AG124" s="513"/>
      <c r="AH124" s="513"/>
      <c r="AI124" s="513"/>
      <c r="AJ124" s="513"/>
      <c r="AK124" s="513"/>
      <c r="AL124" s="514">
        <f ca="1">AG125+AI125+AJ125</f>
        <v>0.1</v>
      </c>
      <c r="AM124" s="514">
        <f ca="1">AH125+AK125</f>
        <v>0</v>
      </c>
      <c r="AN124" s="514">
        <f ca="1">SUM(AL125:AM125)</f>
        <v>0.1</v>
      </c>
      <c r="AO124" s="362">
        <f ca="1">AP125+AQ125+AS125+AT125+AU125</f>
        <v>308536747</v>
      </c>
      <c r="AP124" s="363"/>
      <c r="AQ124" s="363"/>
      <c r="AR124" s="683"/>
      <c r="AS124" s="363"/>
      <c r="AT124" s="363"/>
      <c r="AU124" s="363"/>
      <c r="AV124" s="355">
        <f ca="1">SUM(AW125:AX125)</f>
        <v>490.98410000000007</v>
      </c>
      <c r="AW124" s="363"/>
      <c r="AX124" s="363"/>
    </row>
    <row r="125" spans="1:50" s="738" customFormat="1" ht="13.5" thickBot="1" x14ac:dyDescent="0.25">
      <c r="D125" s="16"/>
      <c r="E125" s="12"/>
      <c r="F125" s="16"/>
      <c r="G125" s="36"/>
      <c r="H125" s="39" t="s">
        <v>0</v>
      </c>
      <c r="I125" s="255">
        <f t="shared" ref="I125:AX125" ca="1" si="211">SUM(I126:I135)</f>
        <v>308478526</v>
      </c>
      <c r="J125" s="46">
        <f t="shared" ca="1" si="211"/>
        <v>221044758</v>
      </c>
      <c r="K125" s="46">
        <f t="shared" ca="1" si="211"/>
        <v>1374532</v>
      </c>
      <c r="L125" s="46">
        <f t="shared" ca="1" si="211"/>
        <v>470462</v>
      </c>
      <c r="M125" s="46">
        <f t="shared" ca="1" si="211"/>
        <v>75018703</v>
      </c>
      <c r="N125" s="46">
        <f t="shared" ca="1" si="211"/>
        <v>4420893</v>
      </c>
      <c r="O125" s="46">
        <f t="shared" ca="1" si="211"/>
        <v>6619640</v>
      </c>
      <c r="P125" s="47">
        <f t="shared" ca="1" si="211"/>
        <v>490.88409999999999</v>
      </c>
      <c r="Q125" s="47">
        <f t="shared" ca="1" si="211"/>
        <v>339.90570000000008</v>
      </c>
      <c r="R125" s="48">
        <f t="shared" ca="1" si="211"/>
        <v>150.97840000000002</v>
      </c>
      <c r="S125" s="264">
        <f t="shared" ca="1" si="211"/>
        <v>18200</v>
      </c>
      <c r="T125" s="264">
        <f t="shared" ca="1" si="211"/>
        <v>37265</v>
      </c>
      <c r="U125" s="264">
        <f t="shared" ca="1" si="211"/>
        <v>-81001</v>
      </c>
      <c r="V125" s="264">
        <f t="shared" ca="1" si="211"/>
        <v>-25536</v>
      </c>
      <c r="W125" s="264">
        <f t="shared" ca="1" si="211"/>
        <v>-18200</v>
      </c>
      <c r="X125" s="264">
        <f t="shared" ca="1" si="211"/>
        <v>0</v>
      </c>
      <c r="Y125" s="264">
        <f t="shared" ca="1" si="211"/>
        <v>-18200</v>
      </c>
      <c r="Z125" s="264">
        <f t="shared" ca="1" si="211"/>
        <v>-43736</v>
      </c>
      <c r="AA125" s="264">
        <f t="shared" ca="1" si="211"/>
        <v>-14783</v>
      </c>
      <c r="AB125" s="264">
        <f t="shared" ca="1" si="211"/>
        <v>-510</v>
      </c>
      <c r="AC125" s="264">
        <f t="shared" ca="1" si="211"/>
        <v>7250</v>
      </c>
      <c r="AD125" s="264">
        <f t="shared" ca="1" si="211"/>
        <v>110000</v>
      </c>
      <c r="AE125" s="264">
        <f t="shared" ca="1" si="211"/>
        <v>117250</v>
      </c>
      <c r="AF125" s="264">
        <f t="shared" ca="1" si="211"/>
        <v>58221</v>
      </c>
      <c r="AG125" s="384">
        <f t="shared" ca="1" si="211"/>
        <v>0</v>
      </c>
      <c r="AH125" s="384">
        <f t="shared" ca="1" si="211"/>
        <v>0</v>
      </c>
      <c r="AI125" s="384">
        <f t="shared" ca="1" si="211"/>
        <v>0.1</v>
      </c>
      <c r="AJ125" s="384">
        <f t="shared" ca="1" si="211"/>
        <v>0</v>
      </c>
      <c r="AK125" s="384">
        <f t="shared" ca="1" si="211"/>
        <v>0</v>
      </c>
      <c r="AL125" s="384">
        <f t="shared" ca="1" si="211"/>
        <v>0.1</v>
      </c>
      <c r="AM125" s="384">
        <f t="shared" ca="1" si="211"/>
        <v>0</v>
      </c>
      <c r="AN125" s="364">
        <f t="shared" ca="1" si="211"/>
        <v>0.1</v>
      </c>
      <c r="AO125" s="255">
        <f t="shared" ca="1" si="211"/>
        <v>308536747</v>
      </c>
      <c r="AP125" s="264">
        <f t="shared" ca="1" si="211"/>
        <v>221019222</v>
      </c>
      <c r="AQ125" s="264">
        <f t="shared" ca="1" si="211"/>
        <v>1356332</v>
      </c>
      <c r="AR125" s="264">
        <f t="shared" ca="1" si="211"/>
        <v>470462</v>
      </c>
      <c r="AS125" s="264">
        <f t="shared" ca="1" si="211"/>
        <v>75003920</v>
      </c>
      <c r="AT125" s="264">
        <f t="shared" ca="1" si="211"/>
        <v>4420383</v>
      </c>
      <c r="AU125" s="264">
        <f t="shared" ca="1" si="211"/>
        <v>6736890</v>
      </c>
      <c r="AV125" s="384">
        <f t="shared" ca="1" si="211"/>
        <v>490.98410000000001</v>
      </c>
      <c r="AW125" s="384">
        <f t="shared" ca="1" si="211"/>
        <v>340.00570000000005</v>
      </c>
      <c r="AX125" s="400">
        <f t="shared" ca="1" si="211"/>
        <v>150.97840000000002</v>
      </c>
    </row>
    <row r="126" spans="1:50" s="738" customFormat="1" ht="12.75" x14ac:dyDescent="0.2">
      <c r="D126" s="16"/>
      <c r="E126" s="12"/>
      <c r="F126" s="16"/>
      <c r="G126" s="36"/>
      <c r="H126" s="1">
        <v>3111</v>
      </c>
      <c r="I126" s="321">
        <f t="shared" ref="I126:AX126" ca="1" si="212">SUMIF($F$12:$F$426,"=3111",I$12:I$382)</f>
        <v>59256900</v>
      </c>
      <c r="J126" s="322">
        <f t="shared" ca="1" si="212"/>
        <v>42993900</v>
      </c>
      <c r="K126" s="322">
        <f t="shared" ca="1" si="212"/>
        <v>173720</v>
      </c>
      <c r="L126" s="322">
        <f t="shared" ca="1" si="212"/>
        <v>0</v>
      </c>
      <c r="M126" s="322">
        <f t="shared" ca="1" si="212"/>
        <v>14590654</v>
      </c>
      <c r="N126" s="322">
        <f t="shared" ca="1" si="212"/>
        <v>859876</v>
      </c>
      <c r="O126" s="322">
        <f t="shared" ca="1" si="212"/>
        <v>638750</v>
      </c>
      <c r="P126" s="323">
        <f t="shared" ca="1" si="212"/>
        <v>102.88109999999999</v>
      </c>
      <c r="Q126" s="323">
        <f t="shared" ca="1" si="212"/>
        <v>78.347300000000018</v>
      </c>
      <c r="R126" s="324">
        <f t="shared" ca="1" si="212"/>
        <v>24.533799999999996</v>
      </c>
      <c r="S126" s="325">
        <f t="shared" ca="1" si="212"/>
        <v>0</v>
      </c>
      <c r="T126" s="325">
        <f t="shared" ca="1" si="212"/>
        <v>14150</v>
      </c>
      <c r="U126" s="325">
        <f t="shared" ca="1" si="212"/>
        <v>-22091</v>
      </c>
      <c r="V126" s="325">
        <f t="shared" ca="1" si="212"/>
        <v>-7941</v>
      </c>
      <c r="W126" s="325">
        <f t="shared" ca="1" si="212"/>
        <v>0</v>
      </c>
      <c r="X126" s="325">
        <f t="shared" ca="1" si="212"/>
        <v>0</v>
      </c>
      <c r="Y126" s="325">
        <f t="shared" ca="1" si="212"/>
        <v>0</v>
      </c>
      <c r="Z126" s="325">
        <f t="shared" ca="1" si="212"/>
        <v>-7941</v>
      </c>
      <c r="AA126" s="325">
        <f t="shared" ca="1" si="212"/>
        <v>-2684</v>
      </c>
      <c r="AB126" s="325">
        <f t="shared" ca="1" si="212"/>
        <v>-159</v>
      </c>
      <c r="AC126" s="325">
        <f t="shared" ca="1" si="212"/>
        <v>4000</v>
      </c>
      <c r="AD126" s="325">
        <f t="shared" ca="1" si="212"/>
        <v>30000</v>
      </c>
      <c r="AE126" s="325">
        <f t="shared" ca="1" si="212"/>
        <v>34000</v>
      </c>
      <c r="AF126" s="325">
        <f t="shared" ca="1" si="212"/>
        <v>23216</v>
      </c>
      <c r="AG126" s="368">
        <f t="shared" ca="1" si="212"/>
        <v>0</v>
      </c>
      <c r="AH126" s="368">
        <f t="shared" ca="1" si="212"/>
        <v>0</v>
      </c>
      <c r="AI126" s="368">
        <f t="shared" ca="1" si="212"/>
        <v>0.04</v>
      </c>
      <c r="AJ126" s="368">
        <f t="shared" ca="1" si="212"/>
        <v>0</v>
      </c>
      <c r="AK126" s="368">
        <f t="shared" ca="1" si="212"/>
        <v>0</v>
      </c>
      <c r="AL126" s="368">
        <f t="shared" ca="1" si="212"/>
        <v>0.04</v>
      </c>
      <c r="AM126" s="368">
        <f t="shared" ca="1" si="212"/>
        <v>0</v>
      </c>
      <c r="AN126" s="365">
        <f t="shared" ca="1" si="212"/>
        <v>0.04</v>
      </c>
      <c r="AO126" s="321">
        <f t="shared" ca="1" si="212"/>
        <v>59280116</v>
      </c>
      <c r="AP126" s="325">
        <f t="shared" ca="1" si="212"/>
        <v>42985959</v>
      </c>
      <c r="AQ126" s="325">
        <f t="shared" ca="1" si="212"/>
        <v>173720</v>
      </c>
      <c r="AR126" s="325">
        <f t="shared" ca="1" si="212"/>
        <v>0</v>
      </c>
      <c r="AS126" s="325">
        <f t="shared" ca="1" si="212"/>
        <v>14587970</v>
      </c>
      <c r="AT126" s="325">
        <f t="shared" ca="1" si="212"/>
        <v>859717</v>
      </c>
      <c r="AU126" s="325">
        <f t="shared" ca="1" si="212"/>
        <v>672750</v>
      </c>
      <c r="AV126" s="368">
        <f t="shared" ca="1" si="212"/>
        <v>102.9211</v>
      </c>
      <c r="AW126" s="368">
        <f t="shared" ca="1" si="212"/>
        <v>78.38730000000001</v>
      </c>
      <c r="AX126" s="401">
        <f t="shared" ca="1" si="212"/>
        <v>24.533799999999996</v>
      </c>
    </row>
    <row r="127" spans="1:50" s="738" customFormat="1" ht="12.75" x14ac:dyDescent="0.2">
      <c r="D127" s="16"/>
      <c r="E127" s="12"/>
      <c r="F127" s="16"/>
      <c r="G127" s="36"/>
      <c r="H127" s="2">
        <v>3113</v>
      </c>
      <c r="I127" s="327">
        <f t="shared" ref="I127:AX127" si="213">SUMIF($F$12:$F$426,"=3113",I$12:I$426)</f>
        <v>148045288</v>
      </c>
      <c r="J127" s="328">
        <f t="shared" si="213"/>
        <v>105062079</v>
      </c>
      <c r="K127" s="328">
        <f t="shared" si="213"/>
        <v>720138</v>
      </c>
      <c r="L127" s="328">
        <f t="shared" si="213"/>
        <v>416738</v>
      </c>
      <c r="M127" s="328">
        <f t="shared" si="213"/>
        <v>35613531</v>
      </c>
      <c r="N127" s="328">
        <f t="shared" si="213"/>
        <v>2101240</v>
      </c>
      <c r="O127" s="328">
        <f t="shared" si="213"/>
        <v>4548300</v>
      </c>
      <c r="P127" s="329">
        <f t="shared" si="213"/>
        <v>210.1891</v>
      </c>
      <c r="Q127" s="329">
        <f t="shared" si="213"/>
        <v>166.25900000000001</v>
      </c>
      <c r="R127" s="330">
        <f t="shared" si="213"/>
        <v>43.930100000000003</v>
      </c>
      <c r="S127" s="331">
        <f t="shared" si="213"/>
        <v>0</v>
      </c>
      <c r="T127" s="331">
        <f t="shared" si="213"/>
        <v>21225</v>
      </c>
      <c r="U127" s="331">
        <f t="shared" si="213"/>
        <v>-36819</v>
      </c>
      <c r="V127" s="331">
        <f t="shared" si="213"/>
        <v>-15594</v>
      </c>
      <c r="W127" s="331">
        <f t="shared" si="213"/>
        <v>0</v>
      </c>
      <c r="X127" s="331">
        <f t="shared" si="213"/>
        <v>0</v>
      </c>
      <c r="Y127" s="331">
        <f t="shared" si="213"/>
        <v>0</v>
      </c>
      <c r="Z127" s="331">
        <f t="shared" si="213"/>
        <v>-15594</v>
      </c>
      <c r="AA127" s="331">
        <f t="shared" si="213"/>
        <v>-5271</v>
      </c>
      <c r="AB127" s="331">
        <f t="shared" si="213"/>
        <v>-311</v>
      </c>
      <c r="AC127" s="331">
        <f t="shared" si="213"/>
        <v>0</v>
      </c>
      <c r="AD127" s="331">
        <f t="shared" si="213"/>
        <v>50000</v>
      </c>
      <c r="AE127" s="331">
        <f t="shared" si="213"/>
        <v>50000</v>
      </c>
      <c r="AF127" s="331">
        <f t="shared" si="213"/>
        <v>28824</v>
      </c>
      <c r="AG127" s="369">
        <f t="shared" si="213"/>
        <v>0</v>
      </c>
      <c r="AH127" s="369">
        <f t="shared" si="213"/>
        <v>0</v>
      </c>
      <c r="AI127" s="369">
        <f t="shared" si="213"/>
        <v>0.06</v>
      </c>
      <c r="AJ127" s="369">
        <f t="shared" si="213"/>
        <v>0</v>
      </c>
      <c r="AK127" s="369">
        <f t="shared" si="213"/>
        <v>0</v>
      </c>
      <c r="AL127" s="369">
        <f t="shared" si="213"/>
        <v>0.06</v>
      </c>
      <c r="AM127" s="369">
        <f t="shared" si="213"/>
        <v>0</v>
      </c>
      <c r="AN127" s="366">
        <f t="shared" si="213"/>
        <v>0.06</v>
      </c>
      <c r="AO127" s="327">
        <f t="shared" si="213"/>
        <v>148074112</v>
      </c>
      <c r="AP127" s="331">
        <f t="shared" si="213"/>
        <v>105046485</v>
      </c>
      <c r="AQ127" s="331">
        <f t="shared" si="213"/>
        <v>720138</v>
      </c>
      <c r="AR127" s="331">
        <f t="shared" si="213"/>
        <v>416738</v>
      </c>
      <c r="AS127" s="331">
        <f t="shared" si="213"/>
        <v>35608260</v>
      </c>
      <c r="AT127" s="331">
        <f t="shared" si="213"/>
        <v>2100929</v>
      </c>
      <c r="AU127" s="331">
        <f t="shared" si="213"/>
        <v>4598300</v>
      </c>
      <c r="AV127" s="369">
        <f t="shared" si="213"/>
        <v>210.2491</v>
      </c>
      <c r="AW127" s="369">
        <f t="shared" si="213"/>
        <v>166.31900000000002</v>
      </c>
      <c r="AX127" s="402">
        <f t="shared" si="213"/>
        <v>43.930100000000003</v>
      </c>
    </row>
    <row r="128" spans="1:50" s="738" customFormat="1" ht="12.75" x14ac:dyDescent="0.2">
      <c r="D128" s="16"/>
      <c r="E128" s="12"/>
      <c r="F128" s="16"/>
      <c r="G128" s="36"/>
      <c r="H128" s="2">
        <v>3114</v>
      </c>
      <c r="I128" s="327">
        <f t="shared" ref="I128:AX128" si="214">SUMIF($F$12:$F$426,"=3114",I$12:I$426)</f>
        <v>8071452</v>
      </c>
      <c r="J128" s="328">
        <f t="shared" si="214"/>
        <v>5836416</v>
      </c>
      <c r="K128" s="328">
        <f t="shared" si="214"/>
        <v>7400</v>
      </c>
      <c r="L128" s="328">
        <f t="shared" si="214"/>
        <v>7400</v>
      </c>
      <c r="M128" s="328">
        <f t="shared" si="214"/>
        <v>1972708</v>
      </c>
      <c r="N128" s="328">
        <f t="shared" si="214"/>
        <v>116728</v>
      </c>
      <c r="O128" s="328">
        <f t="shared" si="214"/>
        <v>138200</v>
      </c>
      <c r="P128" s="329">
        <f t="shared" si="214"/>
        <v>11.094800000000001</v>
      </c>
      <c r="Q128" s="329">
        <f t="shared" si="214"/>
        <v>7.9671000000000003</v>
      </c>
      <c r="R128" s="330">
        <f t="shared" si="214"/>
        <v>3.1276999999999999</v>
      </c>
      <c r="S128" s="331">
        <f t="shared" si="214"/>
        <v>0</v>
      </c>
      <c r="T128" s="331">
        <f t="shared" si="214"/>
        <v>0</v>
      </c>
      <c r="U128" s="331">
        <f t="shared" si="214"/>
        <v>0</v>
      </c>
      <c r="V128" s="331">
        <f t="shared" si="214"/>
        <v>0</v>
      </c>
      <c r="W128" s="331">
        <f t="shared" si="214"/>
        <v>0</v>
      </c>
      <c r="X128" s="331">
        <f t="shared" si="214"/>
        <v>0</v>
      </c>
      <c r="Y128" s="331">
        <f t="shared" si="214"/>
        <v>0</v>
      </c>
      <c r="Z128" s="331">
        <f t="shared" si="214"/>
        <v>0</v>
      </c>
      <c r="AA128" s="331">
        <f t="shared" si="214"/>
        <v>0</v>
      </c>
      <c r="AB128" s="331">
        <f t="shared" si="214"/>
        <v>0</v>
      </c>
      <c r="AC128" s="331">
        <f t="shared" si="214"/>
        <v>0</v>
      </c>
      <c r="AD128" s="331">
        <f t="shared" si="214"/>
        <v>0</v>
      </c>
      <c r="AE128" s="331">
        <f t="shared" si="214"/>
        <v>0</v>
      </c>
      <c r="AF128" s="331">
        <f t="shared" si="214"/>
        <v>0</v>
      </c>
      <c r="AG128" s="369">
        <f t="shared" si="214"/>
        <v>0</v>
      </c>
      <c r="AH128" s="369">
        <f t="shared" si="214"/>
        <v>0</v>
      </c>
      <c r="AI128" s="369">
        <f t="shared" si="214"/>
        <v>0</v>
      </c>
      <c r="AJ128" s="369">
        <f t="shared" si="214"/>
        <v>0</v>
      </c>
      <c r="AK128" s="369">
        <f t="shared" si="214"/>
        <v>0</v>
      </c>
      <c r="AL128" s="369">
        <f t="shared" si="214"/>
        <v>0</v>
      </c>
      <c r="AM128" s="369">
        <f t="shared" si="214"/>
        <v>0</v>
      </c>
      <c r="AN128" s="366">
        <f t="shared" si="214"/>
        <v>0</v>
      </c>
      <c r="AO128" s="327">
        <f t="shared" si="214"/>
        <v>8071452</v>
      </c>
      <c r="AP128" s="331">
        <f t="shared" si="214"/>
        <v>5836416</v>
      </c>
      <c r="AQ128" s="331">
        <f t="shared" si="214"/>
        <v>7400</v>
      </c>
      <c r="AR128" s="331">
        <f t="shared" si="214"/>
        <v>7400</v>
      </c>
      <c r="AS128" s="331">
        <f t="shared" si="214"/>
        <v>1972708</v>
      </c>
      <c r="AT128" s="331">
        <f t="shared" si="214"/>
        <v>116728</v>
      </c>
      <c r="AU128" s="331">
        <f t="shared" si="214"/>
        <v>138200</v>
      </c>
      <c r="AV128" s="369">
        <f t="shared" si="214"/>
        <v>11.094800000000001</v>
      </c>
      <c r="AW128" s="369">
        <f t="shared" si="214"/>
        <v>7.9671000000000003</v>
      </c>
      <c r="AX128" s="402">
        <f t="shared" si="214"/>
        <v>3.1276999999999999</v>
      </c>
    </row>
    <row r="129" spans="4:50" s="738" customFormat="1" ht="12.75" x14ac:dyDescent="0.2">
      <c r="D129" s="16"/>
      <c r="E129" s="12"/>
      <c r="F129" s="16"/>
      <c r="G129" s="36"/>
      <c r="H129" s="2">
        <v>3117</v>
      </c>
      <c r="I129" s="327">
        <f t="shared" ref="I129:AX129" si="215">SUMIF($F$12:$F$426,"=3117",I$12:I$426)</f>
        <v>34998511</v>
      </c>
      <c r="J129" s="328">
        <f t="shared" si="215"/>
        <v>24858568</v>
      </c>
      <c r="K129" s="328">
        <f t="shared" si="215"/>
        <v>178424</v>
      </c>
      <c r="L129" s="328">
        <f t="shared" si="215"/>
        <v>46324</v>
      </c>
      <c r="M129" s="328">
        <f t="shared" si="215"/>
        <v>8446847</v>
      </c>
      <c r="N129" s="328">
        <f t="shared" si="215"/>
        <v>497172</v>
      </c>
      <c r="O129" s="328">
        <f t="shared" si="215"/>
        <v>1017500</v>
      </c>
      <c r="P129" s="329">
        <f t="shared" si="215"/>
        <v>53.671299999999995</v>
      </c>
      <c r="Q129" s="329">
        <f t="shared" si="215"/>
        <v>40.683199999999999</v>
      </c>
      <c r="R129" s="330">
        <f t="shared" si="215"/>
        <v>12.988100000000001</v>
      </c>
      <c r="S129" s="331">
        <f t="shared" si="215"/>
        <v>0</v>
      </c>
      <c r="T129" s="331">
        <f t="shared" si="215"/>
        <v>1890</v>
      </c>
      <c r="U129" s="331">
        <f t="shared" si="215"/>
        <v>0</v>
      </c>
      <c r="V129" s="331">
        <f t="shared" si="215"/>
        <v>1890</v>
      </c>
      <c r="W129" s="331">
        <f t="shared" si="215"/>
        <v>0</v>
      </c>
      <c r="X129" s="331">
        <f t="shared" si="215"/>
        <v>0</v>
      </c>
      <c r="Y129" s="331">
        <f t="shared" si="215"/>
        <v>0</v>
      </c>
      <c r="Z129" s="331">
        <f t="shared" si="215"/>
        <v>1890</v>
      </c>
      <c r="AA129" s="331">
        <f t="shared" si="215"/>
        <v>639</v>
      </c>
      <c r="AB129" s="331">
        <f t="shared" si="215"/>
        <v>38</v>
      </c>
      <c r="AC129" s="331">
        <f t="shared" si="215"/>
        <v>3250</v>
      </c>
      <c r="AD129" s="331">
        <f t="shared" si="215"/>
        <v>0</v>
      </c>
      <c r="AE129" s="331">
        <f t="shared" si="215"/>
        <v>3250</v>
      </c>
      <c r="AF129" s="331">
        <f t="shared" si="215"/>
        <v>5817</v>
      </c>
      <c r="AG129" s="369">
        <f t="shared" si="215"/>
        <v>0</v>
      </c>
      <c r="AH129" s="369">
        <f t="shared" si="215"/>
        <v>0</v>
      </c>
      <c r="AI129" s="369">
        <f t="shared" si="215"/>
        <v>0</v>
      </c>
      <c r="AJ129" s="369">
        <f t="shared" si="215"/>
        <v>0</v>
      </c>
      <c r="AK129" s="369">
        <f t="shared" si="215"/>
        <v>0</v>
      </c>
      <c r="AL129" s="369">
        <f t="shared" si="215"/>
        <v>0</v>
      </c>
      <c r="AM129" s="369">
        <f t="shared" si="215"/>
        <v>0</v>
      </c>
      <c r="AN129" s="366">
        <f t="shared" si="215"/>
        <v>0</v>
      </c>
      <c r="AO129" s="327">
        <f t="shared" si="215"/>
        <v>35004328</v>
      </c>
      <c r="AP129" s="331">
        <f t="shared" si="215"/>
        <v>24860458</v>
      </c>
      <c r="AQ129" s="331">
        <f t="shared" si="215"/>
        <v>178424</v>
      </c>
      <c r="AR129" s="331">
        <f t="shared" si="215"/>
        <v>46324</v>
      </c>
      <c r="AS129" s="331">
        <f t="shared" si="215"/>
        <v>8447486</v>
      </c>
      <c r="AT129" s="331">
        <f t="shared" si="215"/>
        <v>497210</v>
      </c>
      <c r="AU129" s="331">
        <f t="shared" si="215"/>
        <v>1020750</v>
      </c>
      <c r="AV129" s="369">
        <f t="shared" si="215"/>
        <v>53.671299999999995</v>
      </c>
      <c r="AW129" s="369">
        <f t="shared" si="215"/>
        <v>40.683199999999999</v>
      </c>
      <c r="AX129" s="402">
        <f t="shared" si="215"/>
        <v>12.988100000000001</v>
      </c>
    </row>
    <row r="130" spans="4:50" s="738" customFormat="1" ht="12.75" x14ac:dyDescent="0.2">
      <c r="D130" s="16"/>
      <c r="E130" s="12"/>
      <c r="F130" s="16"/>
      <c r="G130" s="36"/>
      <c r="H130" s="2">
        <v>3122</v>
      </c>
      <c r="I130" s="327">
        <f t="shared" ref="I130:AX130" si="216">SUMIF($F$12:$F$382,"=3122",I$12:I$382)</f>
        <v>0</v>
      </c>
      <c r="J130" s="328">
        <f t="shared" si="216"/>
        <v>0</v>
      </c>
      <c r="K130" s="328">
        <f t="shared" si="216"/>
        <v>0</v>
      </c>
      <c r="L130" s="328">
        <f t="shared" si="216"/>
        <v>0</v>
      </c>
      <c r="M130" s="328">
        <f t="shared" si="216"/>
        <v>0</v>
      </c>
      <c r="N130" s="328">
        <f t="shared" si="216"/>
        <v>0</v>
      </c>
      <c r="O130" s="328">
        <f t="shared" si="216"/>
        <v>0</v>
      </c>
      <c r="P130" s="329">
        <f t="shared" si="216"/>
        <v>0</v>
      </c>
      <c r="Q130" s="329">
        <f t="shared" si="216"/>
        <v>0</v>
      </c>
      <c r="R130" s="330">
        <f t="shared" si="216"/>
        <v>0</v>
      </c>
      <c r="S130" s="331">
        <f t="shared" si="216"/>
        <v>0</v>
      </c>
      <c r="T130" s="331">
        <f t="shared" si="216"/>
        <v>0</v>
      </c>
      <c r="U130" s="331">
        <f t="shared" si="216"/>
        <v>0</v>
      </c>
      <c r="V130" s="331">
        <f t="shared" si="216"/>
        <v>0</v>
      </c>
      <c r="W130" s="331">
        <f t="shared" si="216"/>
        <v>0</v>
      </c>
      <c r="X130" s="331">
        <f t="shared" si="216"/>
        <v>0</v>
      </c>
      <c r="Y130" s="331">
        <f t="shared" si="216"/>
        <v>0</v>
      </c>
      <c r="Z130" s="331">
        <f t="shared" si="216"/>
        <v>0</v>
      </c>
      <c r="AA130" s="331">
        <f t="shared" si="216"/>
        <v>0</v>
      </c>
      <c r="AB130" s="331">
        <f t="shared" si="216"/>
        <v>0</v>
      </c>
      <c r="AC130" s="331">
        <f t="shared" si="216"/>
        <v>0</v>
      </c>
      <c r="AD130" s="331">
        <f t="shared" si="216"/>
        <v>0</v>
      </c>
      <c r="AE130" s="331">
        <f t="shared" si="216"/>
        <v>0</v>
      </c>
      <c r="AF130" s="331">
        <f t="shared" si="216"/>
        <v>0</v>
      </c>
      <c r="AG130" s="369">
        <f t="shared" si="216"/>
        <v>0</v>
      </c>
      <c r="AH130" s="369">
        <f t="shared" si="216"/>
        <v>0</v>
      </c>
      <c r="AI130" s="369">
        <f t="shared" si="216"/>
        <v>0</v>
      </c>
      <c r="AJ130" s="369">
        <f t="shared" si="216"/>
        <v>0</v>
      </c>
      <c r="AK130" s="369">
        <f t="shared" si="216"/>
        <v>0</v>
      </c>
      <c r="AL130" s="369">
        <f t="shared" si="216"/>
        <v>0</v>
      </c>
      <c r="AM130" s="369">
        <f t="shared" si="216"/>
        <v>0</v>
      </c>
      <c r="AN130" s="366">
        <f t="shared" si="216"/>
        <v>0</v>
      </c>
      <c r="AO130" s="327">
        <f t="shared" si="216"/>
        <v>0</v>
      </c>
      <c r="AP130" s="331">
        <f t="shared" si="216"/>
        <v>0</v>
      </c>
      <c r="AQ130" s="331">
        <f t="shared" si="216"/>
        <v>0</v>
      </c>
      <c r="AR130" s="331">
        <f t="shared" si="216"/>
        <v>0</v>
      </c>
      <c r="AS130" s="331">
        <f t="shared" si="216"/>
        <v>0</v>
      </c>
      <c r="AT130" s="331">
        <f t="shared" si="216"/>
        <v>0</v>
      </c>
      <c r="AU130" s="331">
        <f t="shared" si="216"/>
        <v>0</v>
      </c>
      <c r="AV130" s="369">
        <f t="shared" si="216"/>
        <v>0</v>
      </c>
      <c r="AW130" s="369">
        <f t="shared" si="216"/>
        <v>0</v>
      </c>
      <c r="AX130" s="402">
        <f t="shared" si="216"/>
        <v>0</v>
      </c>
    </row>
    <row r="131" spans="4:50" s="738" customFormat="1" ht="12.75" x14ac:dyDescent="0.2">
      <c r="D131" s="16"/>
      <c r="E131" s="12"/>
      <c r="F131" s="16"/>
      <c r="G131" s="36"/>
      <c r="H131" s="2">
        <v>3124</v>
      </c>
      <c r="I131" s="327">
        <f t="shared" ref="I131:AX131" si="217">SUMIF($F$12:$F$382,"=3124",I$12:I$382)</f>
        <v>0</v>
      </c>
      <c r="J131" s="328">
        <f t="shared" si="217"/>
        <v>0</v>
      </c>
      <c r="K131" s="328">
        <f t="shared" si="217"/>
        <v>0</v>
      </c>
      <c r="L131" s="328">
        <f t="shared" si="217"/>
        <v>0</v>
      </c>
      <c r="M131" s="328">
        <f t="shared" si="217"/>
        <v>0</v>
      </c>
      <c r="N131" s="328">
        <f t="shared" si="217"/>
        <v>0</v>
      </c>
      <c r="O131" s="328">
        <f t="shared" si="217"/>
        <v>0</v>
      </c>
      <c r="P131" s="329">
        <f t="shared" si="217"/>
        <v>0</v>
      </c>
      <c r="Q131" s="329">
        <f t="shared" si="217"/>
        <v>0</v>
      </c>
      <c r="R131" s="330">
        <f t="shared" si="217"/>
        <v>0</v>
      </c>
      <c r="S131" s="331">
        <f t="shared" si="217"/>
        <v>0</v>
      </c>
      <c r="T131" s="331">
        <f t="shared" si="217"/>
        <v>0</v>
      </c>
      <c r="U131" s="331">
        <f t="shared" si="217"/>
        <v>0</v>
      </c>
      <c r="V131" s="331">
        <f t="shared" si="217"/>
        <v>0</v>
      </c>
      <c r="W131" s="331">
        <f t="shared" si="217"/>
        <v>0</v>
      </c>
      <c r="X131" s="331">
        <f t="shared" si="217"/>
        <v>0</v>
      </c>
      <c r="Y131" s="331">
        <f t="shared" si="217"/>
        <v>0</v>
      </c>
      <c r="Z131" s="331">
        <f t="shared" si="217"/>
        <v>0</v>
      </c>
      <c r="AA131" s="331">
        <f t="shared" si="217"/>
        <v>0</v>
      </c>
      <c r="AB131" s="331">
        <f t="shared" si="217"/>
        <v>0</v>
      </c>
      <c r="AC131" s="331">
        <f t="shared" si="217"/>
        <v>0</v>
      </c>
      <c r="AD131" s="331">
        <f t="shared" si="217"/>
        <v>0</v>
      </c>
      <c r="AE131" s="331">
        <f t="shared" si="217"/>
        <v>0</v>
      </c>
      <c r="AF131" s="331">
        <f t="shared" si="217"/>
        <v>0</v>
      </c>
      <c r="AG131" s="369">
        <f t="shared" si="217"/>
        <v>0</v>
      </c>
      <c r="AH131" s="369">
        <f t="shared" si="217"/>
        <v>0</v>
      </c>
      <c r="AI131" s="369">
        <f t="shared" si="217"/>
        <v>0</v>
      </c>
      <c r="AJ131" s="369">
        <f t="shared" si="217"/>
        <v>0</v>
      </c>
      <c r="AK131" s="369">
        <f t="shared" si="217"/>
        <v>0</v>
      </c>
      <c r="AL131" s="369">
        <f t="shared" si="217"/>
        <v>0</v>
      </c>
      <c r="AM131" s="369">
        <f t="shared" si="217"/>
        <v>0</v>
      </c>
      <c r="AN131" s="366">
        <f t="shared" si="217"/>
        <v>0</v>
      </c>
      <c r="AO131" s="327">
        <f t="shared" si="217"/>
        <v>0</v>
      </c>
      <c r="AP131" s="331">
        <f t="shared" si="217"/>
        <v>0</v>
      </c>
      <c r="AQ131" s="331">
        <f t="shared" si="217"/>
        <v>0</v>
      </c>
      <c r="AR131" s="331">
        <f t="shared" si="217"/>
        <v>0</v>
      </c>
      <c r="AS131" s="331">
        <f t="shared" si="217"/>
        <v>0</v>
      </c>
      <c r="AT131" s="331">
        <f t="shared" si="217"/>
        <v>0</v>
      </c>
      <c r="AU131" s="331">
        <f t="shared" si="217"/>
        <v>0</v>
      </c>
      <c r="AV131" s="369">
        <f t="shared" si="217"/>
        <v>0</v>
      </c>
      <c r="AW131" s="369">
        <f t="shared" si="217"/>
        <v>0</v>
      </c>
      <c r="AX131" s="402">
        <f t="shared" si="217"/>
        <v>0</v>
      </c>
    </row>
    <row r="132" spans="4:50" s="738" customFormat="1" ht="12.75" x14ac:dyDescent="0.2">
      <c r="D132" s="16"/>
      <c r="E132" s="12"/>
      <c r="F132" s="16"/>
      <c r="G132" s="36"/>
      <c r="H132" s="2">
        <v>3141</v>
      </c>
      <c r="I132" s="327">
        <f t="shared" ref="I132:AX132" si="218">SUMIF($F$12:$F$426,"=3141",I$12:I$426)</f>
        <v>24213467</v>
      </c>
      <c r="J132" s="328">
        <f t="shared" si="218"/>
        <v>17584899</v>
      </c>
      <c r="K132" s="328">
        <f t="shared" si="218"/>
        <v>119600</v>
      </c>
      <c r="L132" s="328">
        <f t="shared" si="218"/>
        <v>0</v>
      </c>
      <c r="M132" s="328">
        <f t="shared" si="218"/>
        <v>5984121</v>
      </c>
      <c r="N132" s="328">
        <f t="shared" si="218"/>
        <v>351697</v>
      </c>
      <c r="O132" s="328">
        <f t="shared" si="218"/>
        <v>173150</v>
      </c>
      <c r="P132" s="329">
        <f t="shared" si="218"/>
        <v>59.9</v>
      </c>
      <c r="Q132" s="329">
        <f t="shared" si="218"/>
        <v>0</v>
      </c>
      <c r="R132" s="330">
        <f t="shared" si="218"/>
        <v>59.9</v>
      </c>
      <c r="S132" s="331">
        <f t="shared" si="218"/>
        <v>0</v>
      </c>
      <c r="T132" s="331">
        <f t="shared" si="218"/>
        <v>0</v>
      </c>
      <c r="U132" s="331">
        <f t="shared" si="218"/>
        <v>0</v>
      </c>
      <c r="V132" s="331">
        <f t="shared" si="218"/>
        <v>0</v>
      </c>
      <c r="W132" s="331">
        <f t="shared" si="218"/>
        <v>0</v>
      </c>
      <c r="X132" s="331">
        <f t="shared" si="218"/>
        <v>0</v>
      </c>
      <c r="Y132" s="331">
        <f t="shared" si="218"/>
        <v>0</v>
      </c>
      <c r="Z132" s="331">
        <f t="shared" si="218"/>
        <v>0</v>
      </c>
      <c r="AA132" s="331">
        <f t="shared" si="218"/>
        <v>0</v>
      </c>
      <c r="AB132" s="331">
        <f t="shared" si="218"/>
        <v>0</v>
      </c>
      <c r="AC132" s="331">
        <f t="shared" si="218"/>
        <v>0</v>
      </c>
      <c r="AD132" s="331">
        <f t="shared" si="218"/>
        <v>0</v>
      </c>
      <c r="AE132" s="331">
        <f t="shared" si="218"/>
        <v>0</v>
      </c>
      <c r="AF132" s="331">
        <f t="shared" si="218"/>
        <v>0</v>
      </c>
      <c r="AG132" s="369">
        <f t="shared" si="218"/>
        <v>0</v>
      </c>
      <c r="AH132" s="369">
        <f t="shared" si="218"/>
        <v>0</v>
      </c>
      <c r="AI132" s="369">
        <f t="shared" si="218"/>
        <v>0</v>
      </c>
      <c r="AJ132" s="369">
        <f t="shared" si="218"/>
        <v>0</v>
      </c>
      <c r="AK132" s="369">
        <f t="shared" si="218"/>
        <v>0</v>
      </c>
      <c r="AL132" s="369">
        <f t="shared" si="218"/>
        <v>0</v>
      </c>
      <c r="AM132" s="369">
        <f t="shared" si="218"/>
        <v>0</v>
      </c>
      <c r="AN132" s="366">
        <f t="shared" si="218"/>
        <v>0</v>
      </c>
      <c r="AO132" s="327">
        <f t="shared" si="218"/>
        <v>24213467</v>
      </c>
      <c r="AP132" s="331">
        <f t="shared" si="218"/>
        <v>17584899</v>
      </c>
      <c r="AQ132" s="331">
        <f t="shared" si="218"/>
        <v>119600</v>
      </c>
      <c r="AR132" s="331">
        <f t="shared" si="218"/>
        <v>0</v>
      </c>
      <c r="AS132" s="331">
        <f t="shared" si="218"/>
        <v>5984121</v>
      </c>
      <c r="AT132" s="331">
        <f t="shared" si="218"/>
        <v>351697</v>
      </c>
      <c r="AU132" s="331">
        <f t="shared" si="218"/>
        <v>173150</v>
      </c>
      <c r="AV132" s="369">
        <f t="shared" si="218"/>
        <v>59.9</v>
      </c>
      <c r="AW132" s="369">
        <f t="shared" si="218"/>
        <v>0</v>
      </c>
      <c r="AX132" s="402">
        <f t="shared" si="218"/>
        <v>59.9</v>
      </c>
    </row>
    <row r="133" spans="4:50" s="738" customFormat="1" ht="12.75" x14ac:dyDescent="0.2">
      <c r="D133" s="16"/>
      <c r="E133" s="12"/>
      <c r="F133" s="16"/>
      <c r="G133" s="36"/>
      <c r="H133" s="2">
        <v>3143</v>
      </c>
      <c r="I133" s="327">
        <f t="shared" ref="I133:AX133" si="219">SUMIF($F$12:$F$426,"=3143",I$12:I$426)</f>
        <v>16166011</v>
      </c>
      <c r="J133" s="328">
        <f t="shared" si="219"/>
        <v>11862874</v>
      </c>
      <c r="K133" s="328">
        <f t="shared" si="219"/>
        <v>25250</v>
      </c>
      <c r="L133" s="328">
        <f t="shared" si="219"/>
        <v>0</v>
      </c>
      <c r="M133" s="328">
        <f t="shared" si="219"/>
        <v>4018187</v>
      </c>
      <c r="N133" s="328">
        <f t="shared" si="219"/>
        <v>237260</v>
      </c>
      <c r="O133" s="328">
        <f t="shared" si="219"/>
        <v>22440</v>
      </c>
      <c r="P133" s="329">
        <f t="shared" si="219"/>
        <v>26.504399999999997</v>
      </c>
      <c r="Q133" s="329">
        <f t="shared" si="219"/>
        <v>24.9544</v>
      </c>
      <c r="R133" s="330">
        <f t="shared" si="219"/>
        <v>1.5500000000000005</v>
      </c>
      <c r="S133" s="331">
        <f t="shared" si="219"/>
        <v>0</v>
      </c>
      <c r="T133" s="331">
        <f t="shared" si="219"/>
        <v>0</v>
      </c>
      <c r="U133" s="331">
        <f t="shared" si="219"/>
        <v>0</v>
      </c>
      <c r="V133" s="331">
        <f t="shared" si="219"/>
        <v>0</v>
      </c>
      <c r="W133" s="331">
        <f t="shared" si="219"/>
        <v>0</v>
      </c>
      <c r="X133" s="331">
        <f t="shared" si="219"/>
        <v>0</v>
      </c>
      <c r="Y133" s="331">
        <f t="shared" si="219"/>
        <v>0</v>
      </c>
      <c r="Z133" s="331">
        <f t="shared" si="219"/>
        <v>0</v>
      </c>
      <c r="AA133" s="331">
        <f t="shared" si="219"/>
        <v>0</v>
      </c>
      <c r="AB133" s="331">
        <f t="shared" si="219"/>
        <v>0</v>
      </c>
      <c r="AC133" s="331">
        <f t="shared" si="219"/>
        <v>0</v>
      </c>
      <c r="AD133" s="331">
        <f t="shared" si="219"/>
        <v>0</v>
      </c>
      <c r="AE133" s="331">
        <f t="shared" si="219"/>
        <v>0</v>
      </c>
      <c r="AF133" s="331">
        <f t="shared" si="219"/>
        <v>0</v>
      </c>
      <c r="AG133" s="369">
        <f t="shared" si="219"/>
        <v>0</v>
      </c>
      <c r="AH133" s="369">
        <f t="shared" si="219"/>
        <v>0</v>
      </c>
      <c r="AI133" s="369">
        <f t="shared" si="219"/>
        <v>0</v>
      </c>
      <c r="AJ133" s="369">
        <f t="shared" si="219"/>
        <v>0</v>
      </c>
      <c r="AK133" s="369">
        <f t="shared" si="219"/>
        <v>0</v>
      </c>
      <c r="AL133" s="369">
        <f t="shared" si="219"/>
        <v>0</v>
      </c>
      <c r="AM133" s="369">
        <f t="shared" si="219"/>
        <v>0</v>
      </c>
      <c r="AN133" s="366">
        <f t="shared" si="219"/>
        <v>0</v>
      </c>
      <c r="AO133" s="327">
        <f t="shared" si="219"/>
        <v>16166011</v>
      </c>
      <c r="AP133" s="331">
        <f t="shared" si="219"/>
        <v>11862874</v>
      </c>
      <c r="AQ133" s="331">
        <f t="shared" si="219"/>
        <v>25250</v>
      </c>
      <c r="AR133" s="331">
        <f t="shared" si="219"/>
        <v>0</v>
      </c>
      <c r="AS133" s="331">
        <f t="shared" si="219"/>
        <v>4018187</v>
      </c>
      <c r="AT133" s="331">
        <f t="shared" si="219"/>
        <v>237260</v>
      </c>
      <c r="AU133" s="331">
        <f t="shared" si="219"/>
        <v>22440</v>
      </c>
      <c r="AV133" s="369">
        <f t="shared" si="219"/>
        <v>26.504399999999997</v>
      </c>
      <c r="AW133" s="369">
        <f t="shared" si="219"/>
        <v>24.9544</v>
      </c>
      <c r="AX133" s="402">
        <f t="shared" si="219"/>
        <v>1.5500000000000005</v>
      </c>
    </row>
    <row r="134" spans="4:50" s="738" customFormat="1" ht="12.75" x14ac:dyDescent="0.2">
      <c r="D134" s="16"/>
      <c r="E134" s="12"/>
      <c r="F134" s="16"/>
      <c r="G134" s="36"/>
      <c r="H134" s="2">
        <v>3231</v>
      </c>
      <c r="I134" s="327">
        <f t="shared" ref="I134:AX134" si="220">SUMIF($F$12:$F$426,"=3231",I$12:I$426)</f>
        <v>12034828</v>
      </c>
      <c r="J134" s="328">
        <f t="shared" si="220"/>
        <v>8812053</v>
      </c>
      <c r="K134" s="328">
        <f t="shared" si="220"/>
        <v>20000</v>
      </c>
      <c r="L134" s="328">
        <f t="shared" si="220"/>
        <v>0</v>
      </c>
      <c r="M134" s="328">
        <f t="shared" si="220"/>
        <v>2985234</v>
      </c>
      <c r="N134" s="328">
        <f t="shared" si="220"/>
        <v>176241</v>
      </c>
      <c r="O134" s="328">
        <f t="shared" si="220"/>
        <v>41300</v>
      </c>
      <c r="P134" s="329">
        <f t="shared" si="220"/>
        <v>17.353400000000001</v>
      </c>
      <c r="Q134" s="329">
        <f t="shared" si="220"/>
        <v>15.4047</v>
      </c>
      <c r="R134" s="330">
        <f t="shared" si="220"/>
        <v>1.9487000000000001</v>
      </c>
      <c r="S134" s="331">
        <f t="shared" si="220"/>
        <v>18200</v>
      </c>
      <c r="T134" s="331">
        <f t="shared" si="220"/>
        <v>0</v>
      </c>
      <c r="U134" s="331">
        <f t="shared" si="220"/>
        <v>-22091</v>
      </c>
      <c r="V134" s="331">
        <f t="shared" si="220"/>
        <v>-3891</v>
      </c>
      <c r="W134" s="331">
        <f t="shared" si="220"/>
        <v>-18200</v>
      </c>
      <c r="X134" s="331">
        <f t="shared" si="220"/>
        <v>0</v>
      </c>
      <c r="Y134" s="331">
        <f t="shared" si="220"/>
        <v>-18200</v>
      </c>
      <c r="Z134" s="331">
        <f t="shared" si="220"/>
        <v>-22091</v>
      </c>
      <c r="AA134" s="331">
        <f t="shared" si="220"/>
        <v>-7467</v>
      </c>
      <c r="AB134" s="331">
        <f t="shared" si="220"/>
        <v>-78</v>
      </c>
      <c r="AC134" s="331">
        <f t="shared" si="220"/>
        <v>0</v>
      </c>
      <c r="AD134" s="331">
        <f t="shared" si="220"/>
        <v>30000</v>
      </c>
      <c r="AE134" s="331">
        <f t="shared" si="220"/>
        <v>30000</v>
      </c>
      <c r="AF134" s="331">
        <f t="shared" si="220"/>
        <v>364</v>
      </c>
      <c r="AG134" s="369">
        <f t="shared" si="220"/>
        <v>0</v>
      </c>
      <c r="AH134" s="369">
        <f t="shared" si="220"/>
        <v>0</v>
      </c>
      <c r="AI134" s="369">
        <f t="shared" si="220"/>
        <v>0</v>
      </c>
      <c r="AJ134" s="369">
        <f t="shared" si="220"/>
        <v>0</v>
      </c>
      <c r="AK134" s="369">
        <f t="shared" si="220"/>
        <v>0</v>
      </c>
      <c r="AL134" s="369">
        <f t="shared" si="220"/>
        <v>0</v>
      </c>
      <c r="AM134" s="369">
        <f t="shared" si="220"/>
        <v>0</v>
      </c>
      <c r="AN134" s="366">
        <f t="shared" si="220"/>
        <v>0</v>
      </c>
      <c r="AO134" s="327">
        <f t="shared" si="220"/>
        <v>12035192</v>
      </c>
      <c r="AP134" s="331">
        <f t="shared" si="220"/>
        <v>8808162</v>
      </c>
      <c r="AQ134" s="331">
        <f t="shared" si="220"/>
        <v>1800</v>
      </c>
      <c r="AR134" s="331">
        <f t="shared" si="220"/>
        <v>0</v>
      </c>
      <c r="AS134" s="331">
        <f t="shared" si="220"/>
        <v>2977767</v>
      </c>
      <c r="AT134" s="331">
        <f t="shared" si="220"/>
        <v>176163</v>
      </c>
      <c r="AU134" s="331">
        <f t="shared" si="220"/>
        <v>71300</v>
      </c>
      <c r="AV134" s="369">
        <f t="shared" si="220"/>
        <v>17.353400000000001</v>
      </c>
      <c r="AW134" s="369">
        <f t="shared" si="220"/>
        <v>15.4047</v>
      </c>
      <c r="AX134" s="402">
        <f t="shared" si="220"/>
        <v>1.9487000000000001</v>
      </c>
    </row>
    <row r="135" spans="4:50" s="738" customFormat="1" ht="13.5" thickBot="1" x14ac:dyDescent="0.25">
      <c r="D135" s="16"/>
      <c r="E135" s="12"/>
      <c r="F135" s="16"/>
      <c r="G135" s="36"/>
      <c r="H135" s="265">
        <v>3233</v>
      </c>
      <c r="I135" s="333">
        <f t="shared" ref="I135:AX135" si="221">SUMIF($F$12:$F$426,"=3233",I$12:I$426)</f>
        <v>5692069</v>
      </c>
      <c r="J135" s="334">
        <f t="shared" si="221"/>
        <v>4033969</v>
      </c>
      <c r="K135" s="334">
        <f t="shared" si="221"/>
        <v>130000</v>
      </c>
      <c r="L135" s="334">
        <f t="shared" si="221"/>
        <v>0</v>
      </c>
      <c r="M135" s="334">
        <f t="shared" si="221"/>
        <v>1407421</v>
      </c>
      <c r="N135" s="334">
        <f t="shared" si="221"/>
        <v>80679</v>
      </c>
      <c r="O135" s="334">
        <f t="shared" si="221"/>
        <v>40000</v>
      </c>
      <c r="P135" s="335">
        <f t="shared" si="221"/>
        <v>9.2900000000000009</v>
      </c>
      <c r="Q135" s="335">
        <f t="shared" si="221"/>
        <v>6.29</v>
      </c>
      <c r="R135" s="336">
        <f t="shared" si="221"/>
        <v>3</v>
      </c>
      <c r="S135" s="337">
        <f t="shared" si="221"/>
        <v>0</v>
      </c>
      <c r="T135" s="337">
        <f t="shared" si="221"/>
        <v>0</v>
      </c>
      <c r="U135" s="337">
        <f t="shared" si="221"/>
        <v>0</v>
      </c>
      <c r="V135" s="337">
        <f t="shared" si="221"/>
        <v>0</v>
      </c>
      <c r="W135" s="337">
        <f t="shared" si="221"/>
        <v>0</v>
      </c>
      <c r="X135" s="337">
        <f t="shared" si="221"/>
        <v>0</v>
      </c>
      <c r="Y135" s="337">
        <f t="shared" si="221"/>
        <v>0</v>
      </c>
      <c r="Z135" s="337">
        <f t="shared" si="221"/>
        <v>0</v>
      </c>
      <c r="AA135" s="337">
        <f t="shared" si="221"/>
        <v>0</v>
      </c>
      <c r="AB135" s="337">
        <f t="shared" si="221"/>
        <v>0</v>
      </c>
      <c r="AC135" s="337">
        <f t="shared" si="221"/>
        <v>0</v>
      </c>
      <c r="AD135" s="337">
        <f t="shared" si="221"/>
        <v>0</v>
      </c>
      <c r="AE135" s="337">
        <f t="shared" si="221"/>
        <v>0</v>
      </c>
      <c r="AF135" s="337">
        <f t="shared" si="221"/>
        <v>0</v>
      </c>
      <c r="AG135" s="370">
        <f t="shared" si="221"/>
        <v>0</v>
      </c>
      <c r="AH135" s="370">
        <f t="shared" si="221"/>
        <v>0</v>
      </c>
      <c r="AI135" s="370">
        <f t="shared" si="221"/>
        <v>0</v>
      </c>
      <c r="AJ135" s="370">
        <f t="shared" si="221"/>
        <v>0</v>
      </c>
      <c r="AK135" s="370">
        <f t="shared" si="221"/>
        <v>0</v>
      </c>
      <c r="AL135" s="370">
        <f t="shared" si="221"/>
        <v>0</v>
      </c>
      <c r="AM135" s="370">
        <f t="shared" si="221"/>
        <v>0</v>
      </c>
      <c r="AN135" s="367">
        <f t="shared" si="221"/>
        <v>0</v>
      </c>
      <c r="AO135" s="333">
        <f t="shared" si="221"/>
        <v>5692069</v>
      </c>
      <c r="AP135" s="337">
        <f t="shared" si="221"/>
        <v>4033969</v>
      </c>
      <c r="AQ135" s="337">
        <f t="shared" si="221"/>
        <v>130000</v>
      </c>
      <c r="AR135" s="337">
        <f t="shared" si="221"/>
        <v>0</v>
      </c>
      <c r="AS135" s="337">
        <f t="shared" si="221"/>
        <v>1407421</v>
      </c>
      <c r="AT135" s="337">
        <f t="shared" si="221"/>
        <v>80679</v>
      </c>
      <c r="AU135" s="337">
        <f t="shared" si="221"/>
        <v>40000</v>
      </c>
      <c r="AV135" s="370">
        <f t="shared" si="221"/>
        <v>9.2900000000000009</v>
      </c>
      <c r="AW135" s="370">
        <f t="shared" si="221"/>
        <v>6.29</v>
      </c>
      <c r="AX135" s="403">
        <f t="shared" si="221"/>
        <v>3</v>
      </c>
    </row>
    <row r="136" spans="4:50" ht="12.95" customHeight="1" x14ac:dyDescent="0.25">
      <c r="E136" s="82"/>
    </row>
    <row r="137" spans="4:50" ht="12.95" customHeight="1" x14ac:dyDescent="0.25">
      <c r="E137" s="82"/>
    </row>
    <row r="138" spans="4:50" x14ac:dyDescent="0.25">
      <c r="E138" s="82"/>
    </row>
    <row r="140" spans="4:50" x14ac:dyDescent="0.25">
      <c r="P140" s="81"/>
      <c r="Q140" s="81"/>
      <c r="R140" s="81"/>
    </row>
    <row r="142" spans="4:50" x14ac:dyDescent="0.25">
      <c r="P142" s="81"/>
      <c r="Q142" s="81"/>
      <c r="R142" s="81"/>
    </row>
    <row r="144" spans="4:50" x14ac:dyDescent="0.25">
      <c r="P144" s="81"/>
      <c r="Q144" s="81"/>
      <c r="R144" s="81"/>
    </row>
  </sheetData>
  <mergeCells count="24"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  <mergeCell ref="A3:E3"/>
    <mergeCell ref="AA7:AA10"/>
    <mergeCell ref="I8:I10"/>
    <mergeCell ref="AB7:AB10"/>
    <mergeCell ref="I6:R7"/>
    <mergeCell ref="S7:V9"/>
    <mergeCell ref="J8:O9"/>
    <mergeCell ref="P8:P10"/>
    <mergeCell ref="Q8:R9"/>
    <mergeCell ref="S6:AN6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86"/>
  <sheetViews>
    <sheetView workbookViewId="0">
      <pane xSplit="8" ySplit="11" topLeftCell="AL156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9.28515625" style="111" customWidth="1"/>
    <col min="4" max="4" width="7.85546875" style="82" bestFit="1" customWidth="1"/>
    <col min="5" max="5" width="32.140625" style="82" customWidth="1"/>
    <col min="6" max="6" width="7.85546875" style="82" customWidth="1"/>
    <col min="7" max="7" width="9.85546875" style="82" customWidth="1"/>
    <col min="8" max="8" width="8" style="82" bestFit="1" customWidth="1"/>
    <col min="9" max="9" width="12.42578125" style="82" customWidth="1"/>
    <col min="10" max="10" width="11.140625" style="82" customWidth="1"/>
    <col min="11" max="12" width="10.42578125" style="82" customWidth="1"/>
    <col min="13" max="13" width="11.42578125" style="82" customWidth="1"/>
    <col min="14" max="14" width="10.28515625" style="82" customWidth="1"/>
    <col min="15" max="15" width="10.140625" style="82" customWidth="1"/>
    <col min="16" max="16" width="11.85546875" style="112" customWidth="1"/>
    <col min="17" max="17" width="11.140625" style="112" customWidth="1"/>
    <col min="18" max="18" width="8" style="112" customWidth="1"/>
    <col min="19" max="19" width="9.140625" style="81" customWidth="1"/>
    <col min="20" max="20" width="9.140625" style="82" customWidth="1"/>
    <col min="21" max="21" width="9.7109375" style="82" customWidth="1"/>
    <col min="22" max="25" width="9.140625" style="82" customWidth="1"/>
    <col min="26" max="26" width="9.85546875" style="82" customWidth="1"/>
    <col min="27" max="32" width="9.140625" style="82" customWidth="1"/>
    <col min="33" max="34" width="9.140625" style="112" customWidth="1"/>
    <col min="35" max="35" width="9.85546875" style="112" customWidth="1"/>
    <col min="36" max="40" width="9.140625" style="112" customWidth="1"/>
    <col min="41" max="41" width="11.5703125" style="82" customWidth="1"/>
    <col min="42" max="42" width="10.28515625" style="82" customWidth="1"/>
    <col min="43" max="43" width="9.140625" style="82" customWidth="1"/>
    <col min="44" max="44" width="10.28515625" style="82" customWidth="1"/>
    <col min="45" max="47" width="9.140625" style="82" customWidth="1"/>
    <col min="48" max="48" width="12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2" customHeight="1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2" customHeight="1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0.5" customHeight="1" x14ac:dyDescent="0.25">
      <c r="A6" s="200"/>
      <c r="B6" s="203"/>
      <c r="C6" s="203"/>
      <c r="D6" s="203"/>
      <c r="E6" s="200"/>
      <c r="F6" s="200"/>
      <c r="G6" s="200"/>
      <c r="H6" s="200"/>
      <c r="I6" s="867" t="s">
        <v>842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7.25" customHeight="1" thickBot="1" x14ac:dyDescent="0.3">
      <c r="A7" s="203"/>
      <c r="B7" s="460"/>
      <c r="C7" s="738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5.75" thickBot="1" x14ac:dyDescent="0.3">
      <c r="A9" s="302" t="s">
        <v>828</v>
      </c>
      <c r="B9" s="738"/>
      <c r="C9" s="738"/>
      <c r="D9" s="462"/>
      <c r="E9" s="738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51.75" customHeight="1" thickBot="1" x14ac:dyDescent="0.3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427" t="s">
        <v>279</v>
      </c>
      <c r="Q11" s="413" t="s">
        <v>571</v>
      </c>
      <c r="R11" s="414" t="s">
        <v>572</v>
      </c>
      <c r="S11" s="420" t="s">
        <v>303</v>
      </c>
      <c r="T11" s="420" t="s">
        <v>303</v>
      </c>
      <c r="U11" s="251" t="s">
        <v>303</v>
      </c>
      <c r="V11" s="251" t="s">
        <v>303</v>
      </c>
      <c r="W11" s="251" t="s">
        <v>304</v>
      </c>
      <c r="X11" s="251" t="s">
        <v>305</v>
      </c>
      <c r="Y11" s="251" t="s">
        <v>304</v>
      </c>
      <c r="Z11" s="251" t="s">
        <v>306</v>
      </c>
      <c r="AA11" s="251" t="s">
        <v>307</v>
      </c>
      <c r="AB11" s="251" t="s">
        <v>308</v>
      </c>
      <c r="AC11" s="251" t="s">
        <v>310</v>
      </c>
      <c r="AD11" s="251" t="s">
        <v>309</v>
      </c>
      <c r="AE11" s="251" t="s">
        <v>309</v>
      </c>
      <c r="AF11" s="251" t="s">
        <v>316</v>
      </c>
      <c r="AG11" s="413" t="s">
        <v>312</v>
      </c>
      <c r="AH11" s="413" t="s">
        <v>313</v>
      </c>
      <c r="AI11" s="413" t="s">
        <v>312</v>
      </c>
      <c r="AJ11" s="413" t="s">
        <v>312</v>
      </c>
      <c r="AK11" s="413" t="s">
        <v>313</v>
      </c>
      <c r="AL11" s="413" t="s">
        <v>312</v>
      </c>
      <c r="AM11" s="413" t="s">
        <v>313</v>
      </c>
      <c r="AN11" s="421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ht="15" customHeight="1" x14ac:dyDescent="0.25">
      <c r="A12" s="244">
        <v>1</v>
      </c>
      <c r="B12" s="515">
        <v>5489</v>
      </c>
      <c r="C12" s="516">
        <v>600099482</v>
      </c>
      <c r="D12" s="103">
        <v>71166289</v>
      </c>
      <c r="E12" s="517" t="s">
        <v>377</v>
      </c>
      <c r="F12" s="103">
        <v>3111</v>
      </c>
      <c r="G12" s="517" t="s">
        <v>331</v>
      </c>
      <c r="H12" s="518" t="s">
        <v>283</v>
      </c>
      <c r="I12" s="519">
        <v>3316691</v>
      </c>
      <c r="J12" s="475">
        <v>2378892</v>
      </c>
      <c r="K12" s="475">
        <v>12000</v>
      </c>
      <c r="L12" s="475">
        <v>0</v>
      </c>
      <c r="M12" s="520">
        <v>808121</v>
      </c>
      <c r="N12" s="520">
        <v>47578</v>
      </c>
      <c r="O12" s="475">
        <v>70100</v>
      </c>
      <c r="P12" s="521">
        <v>5.4398</v>
      </c>
      <c r="Q12" s="522">
        <v>4</v>
      </c>
      <c r="R12" s="523">
        <v>1.4398</v>
      </c>
      <c r="S12" s="479">
        <f>W12*-1</f>
        <v>0</v>
      </c>
      <c r="T12" s="480">
        <v>0</v>
      </c>
      <c r="U12" s="480">
        <v>0</v>
      </c>
      <c r="V12" s="480">
        <f>SUM(S12:U12)</f>
        <v>0</v>
      </c>
      <c r="W12" s="480">
        <v>0</v>
      </c>
      <c r="X12" s="480">
        <v>0</v>
      </c>
      <c r="Y12" s="480">
        <f>SUM(W12:X12)</f>
        <v>0</v>
      </c>
      <c r="Z12" s="480">
        <f>V12+Y12</f>
        <v>0</v>
      </c>
      <c r="AA12" s="319">
        <f>ROUND((V12+W12)*33.8%,0)</f>
        <v>0</v>
      </c>
      <c r="AB12" s="319">
        <f>ROUND(V12*2%,0)</f>
        <v>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501">
        <f>AG12+AI12+AJ12</f>
        <v>0</v>
      </c>
      <c r="AM12" s="501">
        <f>AH12+AK12</f>
        <v>0</v>
      </c>
      <c r="AN12" s="524">
        <f>SUM(AL12:AM12)</f>
        <v>0</v>
      </c>
      <c r="AO12" s="525">
        <f>I12+AF12</f>
        <v>3316691</v>
      </c>
      <c r="AP12" s="480">
        <f>J12+V12</f>
        <v>2378892</v>
      </c>
      <c r="AQ12" s="480">
        <f>K12+Y12</f>
        <v>12000</v>
      </c>
      <c r="AR12" s="480">
        <f>L12</f>
        <v>0</v>
      </c>
      <c r="AS12" s="480">
        <f t="shared" ref="AS12:AT14" si="0">M12+AA12</f>
        <v>808121</v>
      </c>
      <c r="AT12" s="480">
        <f t="shared" si="0"/>
        <v>47578</v>
      </c>
      <c r="AU12" s="480">
        <f>O12+AE12</f>
        <v>70100</v>
      </c>
      <c r="AV12" s="482">
        <f>P12+AN12</f>
        <v>5.4398</v>
      </c>
      <c r="AW12" s="482">
        <f t="shared" ref="AW12:AX14" si="1">Q12+AL12</f>
        <v>4</v>
      </c>
      <c r="AX12" s="483">
        <f t="shared" si="1"/>
        <v>1.4398</v>
      </c>
    </row>
    <row r="13" spans="1:50" ht="12.95" customHeight="1" x14ac:dyDescent="0.25">
      <c r="A13" s="154">
        <v>1</v>
      </c>
      <c r="B13" s="526">
        <v>5489</v>
      </c>
      <c r="C13" s="527">
        <v>600099482</v>
      </c>
      <c r="D13" s="83">
        <v>71166289</v>
      </c>
      <c r="E13" s="528" t="s">
        <v>377</v>
      </c>
      <c r="F13" s="83">
        <v>3111</v>
      </c>
      <c r="G13" s="528" t="s">
        <v>325</v>
      </c>
      <c r="H13" s="493" t="s">
        <v>284</v>
      </c>
      <c r="I13" s="495">
        <v>0</v>
      </c>
      <c r="J13" s="496">
        <v>0</v>
      </c>
      <c r="K13" s="496">
        <v>0</v>
      </c>
      <c r="L13" s="496">
        <v>0</v>
      </c>
      <c r="M13" s="411">
        <v>0</v>
      </c>
      <c r="N13" s="411">
        <v>0</v>
      </c>
      <c r="O13" s="496">
        <v>0</v>
      </c>
      <c r="P13" s="497">
        <v>0</v>
      </c>
      <c r="Q13" s="412">
        <v>0</v>
      </c>
      <c r="R13" s="498">
        <v>0</v>
      </c>
      <c r="S13" s="479">
        <f>W13*-1</f>
        <v>0</v>
      </c>
      <c r="T13" s="486">
        <v>0</v>
      </c>
      <c r="U13" s="486">
        <v>0</v>
      </c>
      <c r="V13" s="486">
        <f>SUM(S13:U13)</f>
        <v>0</v>
      </c>
      <c r="W13" s="486">
        <v>0</v>
      </c>
      <c r="X13" s="486">
        <v>0</v>
      </c>
      <c r="Y13" s="486">
        <f>SUM(W13:X13)</f>
        <v>0</v>
      </c>
      <c r="Z13" s="486">
        <f>V13+Y13</f>
        <v>0</v>
      </c>
      <c r="AA13" s="319">
        <f>ROUND((V13+W13)*33.8%,0)</f>
        <v>0</v>
      </c>
      <c r="AB13" s="178">
        <f>ROUND(V13*2%,0)</f>
        <v>0</v>
      </c>
      <c r="AC13" s="486">
        <v>0</v>
      </c>
      <c r="AD13" s="486">
        <v>0</v>
      </c>
      <c r="AE13" s="486">
        <f t="shared" ref="AE13:AE78" si="2">SUM(AC13:AD13)</f>
        <v>0</v>
      </c>
      <c r="AF13" s="486">
        <f t="shared" ref="AF13:AF78" si="3">Z13+AA13+AB13+AE13</f>
        <v>0</v>
      </c>
      <c r="AG13" s="501">
        <v>0</v>
      </c>
      <c r="AH13" s="501">
        <v>0</v>
      </c>
      <c r="AI13" s="501">
        <v>0</v>
      </c>
      <c r="AJ13" s="501">
        <v>0</v>
      </c>
      <c r="AK13" s="501">
        <v>0</v>
      </c>
      <c r="AL13" s="501">
        <f>AG13+AI13+AJ13</f>
        <v>0</v>
      </c>
      <c r="AM13" s="501">
        <f>AH13+AK13</f>
        <v>0</v>
      </c>
      <c r="AN13" s="529">
        <f t="shared" ref="AN13:AN78" si="4">SUM(AL13:AM13)</f>
        <v>0</v>
      </c>
      <c r="AO13" s="530">
        <f>I13+AF13</f>
        <v>0</v>
      </c>
      <c r="AP13" s="486">
        <f>J13+V13</f>
        <v>0</v>
      </c>
      <c r="AQ13" s="480">
        <f>K13+Y13</f>
        <v>0</v>
      </c>
      <c r="AR13" s="480">
        <f>L13</f>
        <v>0</v>
      </c>
      <c r="AS13" s="486">
        <f t="shared" si="0"/>
        <v>0</v>
      </c>
      <c r="AT13" s="486">
        <f t="shared" si="0"/>
        <v>0</v>
      </c>
      <c r="AU13" s="486">
        <f>O13+AE13</f>
        <v>0</v>
      </c>
      <c r="AV13" s="501">
        <f>P13+AN13</f>
        <v>0</v>
      </c>
      <c r="AW13" s="501">
        <f t="shared" si="1"/>
        <v>0</v>
      </c>
      <c r="AX13" s="502">
        <f t="shared" si="1"/>
        <v>0</v>
      </c>
    </row>
    <row r="14" spans="1:50" ht="12.95" customHeight="1" x14ac:dyDescent="0.25">
      <c r="A14" s="154">
        <v>1</v>
      </c>
      <c r="B14" s="526">
        <v>5489</v>
      </c>
      <c r="C14" s="527">
        <v>600099482</v>
      </c>
      <c r="D14" s="83">
        <v>71166289</v>
      </c>
      <c r="E14" s="528" t="s">
        <v>377</v>
      </c>
      <c r="F14" s="83">
        <v>3141</v>
      </c>
      <c r="G14" s="528" t="s">
        <v>321</v>
      </c>
      <c r="H14" s="493" t="s">
        <v>284</v>
      </c>
      <c r="I14" s="495">
        <v>583286</v>
      </c>
      <c r="J14" s="496">
        <v>427597</v>
      </c>
      <c r="K14" s="496">
        <v>0</v>
      </c>
      <c r="L14" s="496">
        <v>0</v>
      </c>
      <c r="M14" s="411">
        <v>144527</v>
      </c>
      <c r="N14" s="411">
        <v>8552</v>
      </c>
      <c r="O14" s="496">
        <v>2610</v>
      </c>
      <c r="P14" s="497">
        <v>1.46</v>
      </c>
      <c r="Q14" s="412">
        <v>0</v>
      </c>
      <c r="R14" s="498">
        <v>1.46</v>
      </c>
      <c r="S14" s="479">
        <f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si="2"/>
        <v>0</v>
      </c>
      <c r="AF14" s="486">
        <f t="shared" si="3"/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>AG14+AI14+AJ14</f>
        <v>0</v>
      </c>
      <c r="AM14" s="501">
        <f>AH14+AK14</f>
        <v>0</v>
      </c>
      <c r="AN14" s="529">
        <f t="shared" si="4"/>
        <v>0</v>
      </c>
      <c r="AO14" s="530">
        <f>I14+AF14</f>
        <v>583286</v>
      </c>
      <c r="AP14" s="486">
        <f>J14+V14</f>
        <v>427597</v>
      </c>
      <c r="AQ14" s="480">
        <f>K14+Y14</f>
        <v>0</v>
      </c>
      <c r="AR14" s="480">
        <f>L14</f>
        <v>0</v>
      </c>
      <c r="AS14" s="486">
        <f t="shared" si="0"/>
        <v>144527</v>
      </c>
      <c r="AT14" s="486">
        <f t="shared" si="0"/>
        <v>8552</v>
      </c>
      <c r="AU14" s="486">
        <f>O14+AE14</f>
        <v>2610</v>
      </c>
      <c r="AV14" s="501">
        <f>P14+AN14</f>
        <v>1.46</v>
      </c>
      <c r="AW14" s="501">
        <f t="shared" si="1"/>
        <v>0</v>
      </c>
      <c r="AX14" s="502">
        <f t="shared" si="1"/>
        <v>1.46</v>
      </c>
    </row>
    <row r="15" spans="1:50" ht="12.95" customHeight="1" x14ac:dyDescent="0.25">
      <c r="A15" s="156">
        <v>1</v>
      </c>
      <c r="B15" s="104">
        <v>5489</v>
      </c>
      <c r="C15" s="105">
        <v>600099482</v>
      </c>
      <c r="D15" s="104">
        <v>71166289</v>
      </c>
      <c r="E15" s="298" t="s">
        <v>378</v>
      </c>
      <c r="F15" s="85"/>
      <c r="G15" s="298"/>
      <c r="H15" s="90"/>
      <c r="I15" s="294">
        <v>3899977</v>
      </c>
      <c r="J15" s="106">
        <v>2806489</v>
      </c>
      <c r="K15" s="106">
        <v>12000</v>
      </c>
      <c r="L15" s="106">
        <v>0</v>
      </c>
      <c r="M15" s="106">
        <v>952648</v>
      </c>
      <c r="N15" s="106">
        <v>56130</v>
      </c>
      <c r="O15" s="106">
        <v>72710</v>
      </c>
      <c r="P15" s="157">
        <v>6.8997999999999999</v>
      </c>
      <c r="Q15" s="157">
        <v>4</v>
      </c>
      <c r="R15" s="296">
        <v>2.8997999999999999</v>
      </c>
      <c r="S15" s="149">
        <f t="shared" ref="S15:AN15" si="5">SUM(S12:S14)</f>
        <v>0</v>
      </c>
      <c r="T15" s="106">
        <f t="shared" si="5"/>
        <v>0</v>
      </c>
      <c r="U15" s="106">
        <f t="shared" si="5"/>
        <v>0</v>
      </c>
      <c r="V15" s="106">
        <f t="shared" si="5"/>
        <v>0</v>
      </c>
      <c r="W15" s="106">
        <f t="shared" si="5"/>
        <v>0</v>
      </c>
      <c r="X15" s="106">
        <f t="shared" si="5"/>
        <v>0</v>
      </c>
      <c r="Y15" s="106">
        <f t="shared" si="5"/>
        <v>0</v>
      </c>
      <c r="Z15" s="106">
        <f t="shared" si="5"/>
        <v>0</v>
      </c>
      <c r="AA15" s="106">
        <f t="shared" si="5"/>
        <v>0</v>
      </c>
      <c r="AB15" s="106">
        <f t="shared" si="5"/>
        <v>0</v>
      </c>
      <c r="AC15" s="106">
        <f t="shared" si="5"/>
        <v>0</v>
      </c>
      <c r="AD15" s="106">
        <f t="shared" si="5"/>
        <v>0</v>
      </c>
      <c r="AE15" s="106">
        <f t="shared" si="5"/>
        <v>0</v>
      </c>
      <c r="AF15" s="106">
        <f t="shared" si="5"/>
        <v>0</v>
      </c>
      <c r="AG15" s="157">
        <f t="shared" si="5"/>
        <v>0</v>
      </c>
      <c r="AH15" s="157">
        <f t="shared" si="5"/>
        <v>0</v>
      </c>
      <c r="AI15" s="157">
        <f t="shared" si="5"/>
        <v>0</v>
      </c>
      <c r="AJ15" s="157">
        <f t="shared" si="5"/>
        <v>0</v>
      </c>
      <c r="AK15" s="157">
        <f t="shared" si="5"/>
        <v>0</v>
      </c>
      <c r="AL15" s="157">
        <f t="shared" si="5"/>
        <v>0</v>
      </c>
      <c r="AM15" s="157">
        <f t="shared" si="5"/>
        <v>0</v>
      </c>
      <c r="AN15" s="409">
        <f t="shared" si="5"/>
        <v>0</v>
      </c>
      <c r="AO15" s="294">
        <f t="shared" ref="AO15:AX15" si="6">SUM(AO12:AO14)</f>
        <v>3899977</v>
      </c>
      <c r="AP15" s="106">
        <f t="shared" si="6"/>
        <v>2806489</v>
      </c>
      <c r="AQ15" s="106">
        <f t="shared" si="6"/>
        <v>12000</v>
      </c>
      <c r="AR15" s="106">
        <f t="shared" si="6"/>
        <v>0</v>
      </c>
      <c r="AS15" s="106">
        <f t="shared" si="6"/>
        <v>952648</v>
      </c>
      <c r="AT15" s="106">
        <f t="shared" si="6"/>
        <v>56130</v>
      </c>
      <c r="AU15" s="106">
        <f t="shared" si="6"/>
        <v>72710</v>
      </c>
      <c r="AV15" s="157">
        <f t="shared" si="6"/>
        <v>6.8997999999999999</v>
      </c>
      <c r="AW15" s="157">
        <f t="shared" si="6"/>
        <v>4</v>
      </c>
      <c r="AX15" s="296">
        <f t="shared" si="6"/>
        <v>2.8997999999999999</v>
      </c>
    </row>
    <row r="16" spans="1:50" ht="12.95" customHeight="1" x14ac:dyDescent="0.25">
      <c r="A16" s="154">
        <v>2</v>
      </c>
      <c r="B16" s="526">
        <v>5451</v>
      </c>
      <c r="C16" s="527">
        <v>600098893</v>
      </c>
      <c r="D16" s="83">
        <v>70939331</v>
      </c>
      <c r="E16" s="528" t="s">
        <v>379</v>
      </c>
      <c r="F16" s="83">
        <v>3111</v>
      </c>
      <c r="G16" s="528" t="s">
        <v>331</v>
      </c>
      <c r="H16" s="493" t="s">
        <v>283</v>
      </c>
      <c r="I16" s="495">
        <v>9869525</v>
      </c>
      <c r="J16" s="496">
        <v>7173584</v>
      </c>
      <c r="K16" s="496">
        <v>21000</v>
      </c>
      <c r="L16" s="496">
        <v>0</v>
      </c>
      <c r="M16" s="411">
        <v>2431769</v>
      </c>
      <c r="N16" s="411">
        <v>143472</v>
      </c>
      <c r="O16" s="496">
        <v>99700</v>
      </c>
      <c r="P16" s="497">
        <v>16.611499999999999</v>
      </c>
      <c r="Q16" s="412">
        <v>12</v>
      </c>
      <c r="R16" s="498">
        <v>4.6115000000000004</v>
      </c>
      <c r="S16" s="479">
        <f t="shared" ref="S16:S18" si="7">W16*-1</f>
        <v>0</v>
      </c>
      <c r="T16" s="486">
        <v>0</v>
      </c>
      <c r="U16" s="486">
        <v>0</v>
      </c>
      <c r="V16" s="486">
        <f>SUM(S16:U16)</f>
        <v>0</v>
      </c>
      <c r="W16" s="486">
        <v>0</v>
      </c>
      <c r="X16" s="486">
        <v>0</v>
      </c>
      <c r="Y16" s="486">
        <f>SUM(W16:X16)</f>
        <v>0</v>
      </c>
      <c r="Z16" s="486">
        <f>V16+Y16</f>
        <v>0</v>
      </c>
      <c r="AA16" s="319">
        <f>ROUND((V16+W16)*33.8%,0)</f>
        <v>0</v>
      </c>
      <c r="AB16" s="178">
        <f>ROUND(V16*2%,0)</f>
        <v>0</v>
      </c>
      <c r="AC16" s="486">
        <v>0</v>
      </c>
      <c r="AD16" s="486">
        <v>0</v>
      </c>
      <c r="AE16" s="486">
        <f t="shared" si="2"/>
        <v>0</v>
      </c>
      <c r="AF16" s="486">
        <f t="shared" si="3"/>
        <v>0</v>
      </c>
      <c r="AG16" s="501">
        <v>0</v>
      </c>
      <c r="AH16" s="501">
        <v>0</v>
      </c>
      <c r="AI16" s="501">
        <v>0</v>
      </c>
      <c r="AJ16" s="501">
        <v>0</v>
      </c>
      <c r="AK16" s="501">
        <v>0</v>
      </c>
      <c r="AL16" s="501">
        <f t="shared" ref="AL16:AL18" si="8">AG16+AI16+AJ16</f>
        <v>0</v>
      </c>
      <c r="AM16" s="501">
        <f t="shared" ref="AM16:AM18" si="9">AH16+AK16</f>
        <v>0</v>
      </c>
      <c r="AN16" s="529">
        <f t="shared" si="4"/>
        <v>0</v>
      </c>
      <c r="AO16" s="530">
        <f>I16+AF16</f>
        <v>9869525</v>
      </c>
      <c r="AP16" s="486">
        <f>J16+V16</f>
        <v>7173584</v>
      </c>
      <c r="AQ16" s="480">
        <f>K16+Y16</f>
        <v>21000</v>
      </c>
      <c r="AR16" s="480">
        <f>L16</f>
        <v>0</v>
      </c>
      <c r="AS16" s="486">
        <f t="shared" ref="AS16:AT18" si="10">M16+AA16</f>
        <v>2431769</v>
      </c>
      <c r="AT16" s="486">
        <f t="shared" si="10"/>
        <v>143472</v>
      </c>
      <c r="AU16" s="486">
        <f>O16+AE16</f>
        <v>99700</v>
      </c>
      <c r="AV16" s="501">
        <f>P16+AN16</f>
        <v>16.611499999999999</v>
      </c>
      <c r="AW16" s="501">
        <f t="shared" ref="AW16:AX18" si="11">Q16+AL16</f>
        <v>12</v>
      </c>
      <c r="AX16" s="502">
        <f t="shared" si="11"/>
        <v>4.6115000000000004</v>
      </c>
    </row>
    <row r="17" spans="1:50" ht="12.95" customHeight="1" x14ac:dyDescent="0.25">
      <c r="A17" s="154">
        <v>2</v>
      </c>
      <c r="B17" s="526">
        <v>5451</v>
      </c>
      <c r="C17" s="527">
        <v>600098893</v>
      </c>
      <c r="D17" s="83">
        <v>70939331</v>
      </c>
      <c r="E17" s="528" t="s">
        <v>379</v>
      </c>
      <c r="F17" s="83">
        <v>3111</v>
      </c>
      <c r="G17" s="531" t="s">
        <v>319</v>
      </c>
      <c r="H17" s="493" t="s">
        <v>283</v>
      </c>
      <c r="I17" s="495">
        <v>155681</v>
      </c>
      <c r="J17" s="496">
        <v>114640</v>
      </c>
      <c r="K17" s="496">
        <v>0</v>
      </c>
      <c r="L17" s="496">
        <v>0</v>
      </c>
      <c r="M17" s="411">
        <v>38748</v>
      </c>
      <c r="N17" s="411">
        <v>2293</v>
      </c>
      <c r="O17" s="496">
        <v>0</v>
      </c>
      <c r="P17" s="497">
        <v>0.33</v>
      </c>
      <c r="Q17" s="412">
        <v>0.33</v>
      </c>
      <c r="R17" s="498">
        <v>0</v>
      </c>
      <c r="S17" s="479">
        <f t="shared" si="7"/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319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 t="shared" si="2"/>
        <v>0</v>
      </c>
      <c r="AF17" s="486">
        <f t="shared" si="3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si="8"/>
        <v>0</v>
      </c>
      <c r="AM17" s="501">
        <f t="shared" si="9"/>
        <v>0</v>
      </c>
      <c r="AN17" s="529">
        <f t="shared" ref="AN17" si="12">SUM(AL17:AM17)</f>
        <v>0</v>
      </c>
      <c r="AO17" s="530">
        <f>I17+AF17</f>
        <v>155681</v>
      </c>
      <c r="AP17" s="486">
        <f>J17+V17</f>
        <v>114640</v>
      </c>
      <c r="AQ17" s="480">
        <f>K17+Y17</f>
        <v>0</v>
      </c>
      <c r="AR17" s="480">
        <f>L17</f>
        <v>0</v>
      </c>
      <c r="AS17" s="486">
        <f t="shared" si="10"/>
        <v>38748</v>
      </c>
      <c r="AT17" s="486">
        <f t="shared" si="10"/>
        <v>2293</v>
      </c>
      <c r="AU17" s="486">
        <f>O17+AE17</f>
        <v>0</v>
      </c>
      <c r="AV17" s="501">
        <f>P17+AN17</f>
        <v>0.33</v>
      </c>
      <c r="AW17" s="501">
        <f t="shared" si="11"/>
        <v>0.33</v>
      </c>
      <c r="AX17" s="502">
        <f t="shared" si="11"/>
        <v>0</v>
      </c>
    </row>
    <row r="18" spans="1:50" ht="12.95" customHeight="1" x14ac:dyDescent="0.25">
      <c r="A18" s="154">
        <v>2</v>
      </c>
      <c r="B18" s="526">
        <v>5451</v>
      </c>
      <c r="C18" s="527">
        <v>600098893</v>
      </c>
      <c r="D18" s="83">
        <v>70939331</v>
      </c>
      <c r="E18" s="528" t="s">
        <v>379</v>
      </c>
      <c r="F18" s="83">
        <v>3141</v>
      </c>
      <c r="G18" s="528" t="s">
        <v>321</v>
      </c>
      <c r="H18" s="493" t="s">
        <v>284</v>
      </c>
      <c r="I18" s="495">
        <v>1449557</v>
      </c>
      <c r="J18" s="496">
        <v>1061422</v>
      </c>
      <c r="K18" s="496">
        <v>0</v>
      </c>
      <c r="L18" s="496">
        <v>0</v>
      </c>
      <c r="M18" s="411">
        <v>358760</v>
      </c>
      <c r="N18" s="411">
        <v>21229</v>
      </c>
      <c r="O18" s="496">
        <v>8146</v>
      </c>
      <c r="P18" s="497">
        <v>3.61</v>
      </c>
      <c r="Q18" s="412">
        <v>0</v>
      </c>
      <c r="R18" s="498">
        <v>3.61</v>
      </c>
      <c r="S18" s="479">
        <f t="shared" si="7"/>
        <v>0</v>
      </c>
      <c r="T18" s="486">
        <v>0</v>
      </c>
      <c r="U18" s="486">
        <v>0</v>
      </c>
      <c r="V18" s="486">
        <f>SUM(S18:U18)</f>
        <v>0</v>
      </c>
      <c r="W18" s="486">
        <v>0</v>
      </c>
      <c r="X18" s="486">
        <v>0</v>
      </c>
      <c r="Y18" s="486">
        <f>SUM(W18:X18)</f>
        <v>0</v>
      </c>
      <c r="Z18" s="486">
        <f>V18+Y18</f>
        <v>0</v>
      </c>
      <c r="AA18" s="319">
        <f>ROUND((V18+W18)*33.8%,0)</f>
        <v>0</v>
      </c>
      <c r="AB18" s="178">
        <f>ROUND(V18*2%,0)</f>
        <v>0</v>
      </c>
      <c r="AC18" s="486">
        <v>0</v>
      </c>
      <c r="AD18" s="486">
        <v>0</v>
      </c>
      <c r="AE18" s="486">
        <f t="shared" si="2"/>
        <v>0</v>
      </c>
      <c r="AF18" s="486">
        <f t="shared" si="3"/>
        <v>0</v>
      </c>
      <c r="AG18" s="501">
        <v>0</v>
      </c>
      <c r="AH18" s="501">
        <v>0</v>
      </c>
      <c r="AI18" s="501">
        <v>0</v>
      </c>
      <c r="AJ18" s="501">
        <v>0</v>
      </c>
      <c r="AK18" s="501">
        <v>0</v>
      </c>
      <c r="AL18" s="501">
        <f t="shared" si="8"/>
        <v>0</v>
      </c>
      <c r="AM18" s="501">
        <f t="shared" si="9"/>
        <v>0</v>
      </c>
      <c r="AN18" s="529">
        <f t="shared" si="4"/>
        <v>0</v>
      </c>
      <c r="AO18" s="530">
        <f>I18+AF18</f>
        <v>1449557</v>
      </c>
      <c r="AP18" s="486">
        <f>J18+V18</f>
        <v>1061422</v>
      </c>
      <c r="AQ18" s="480">
        <f>K18+Y18</f>
        <v>0</v>
      </c>
      <c r="AR18" s="480">
        <f>L18</f>
        <v>0</v>
      </c>
      <c r="AS18" s="486">
        <f t="shared" si="10"/>
        <v>358760</v>
      </c>
      <c r="AT18" s="486">
        <f t="shared" si="10"/>
        <v>21229</v>
      </c>
      <c r="AU18" s="486">
        <f>O18+AE18</f>
        <v>8146</v>
      </c>
      <c r="AV18" s="501">
        <f>P18+AN18</f>
        <v>3.61</v>
      </c>
      <c r="AW18" s="501">
        <f t="shared" si="11"/>
        <v>0</v>
      </c>
      <c r="AX18" s="502">
        <f t="shared" si="11"/>
        <v>3.61</v>
      </c>
    </row>
    <row r="19" spans="1:50" ht="12.95" customHeight="1" x14ac:dyDescent="0.25">
      <c r="A19" s="156">
        <v>2</v>
      </c>
      <c r="B19" s="104">
        <v>5451</v>
      </c>
      <c r="C19" s="105">
        <v>600098893</v>
      </c>
      <c r="D19" s="104">
        <v>70939331</v>
      </c>
      <c r="E19" s="298" t="s">
        <v>380</v>
      </c>
      <c r="F19" s="85"/>
      <c r="G19" s="298"/>
      <c r="H19" s="90"/>
      <c r="I19" s="294">
        <v>11474763</v>
      </c>
      <c r="J19" s="106">
        <v>8349646</v>
      </c>
      <c r="K19" s="106">
        <v>21000</v>
      </c>
      <c r="L19" s="106">
        <v>0</v>
      </c>
      <c r="M19" s="106">
        <v>2829277</v>
      </c>
      <c r="N19" s="106">
        <v>166994</v>
      </c>
      <c r="O19" s="106">
        <v>107846</v>
      </c>
      <c r="P19" s="157">
        <v>20.551499999999997</v>
      </c>
      <c r="Q19" s="157">
        <v>12.33</v>
      </c>
      <c r="R19" s="296">
        <v>8.2215000000000007</v>
      </c>
      <c r="S19" s="149">
        <f t="shared" ref="S19:AN19" si="13">SUM(S16:S18)</f>
        <v>0</v>
      </c>
      <c r="T19" s="106">
        <f t="shared" si="13"/>
        <v>0</v>
      </c>
      <c r="U19" s="106">
        <f t="shared" si="13"/>
        <v>0</v>
      </c>
      <c r="V19" s="106">
        <f t="shared" si="13"/>
        <v>0</v>
      </c>
      <c r="W19" s="106">
        <f t="shared" si="13"/>
        <v>0</v>
      </c>
      <c r="X19" s="106">
        <f t="shared" si="13"/>
        <v>0</v>
      </c>
      <c r="Y19" s="106">
        <f t="shared" si="13"/>
        <v>0</v>
      </c>
      <c r="Z19" s="106">
        <f t="shared" si="13"/>
        <v>0</v>
      </c>
      <c r="AA19" s="106">
        <f t="shared" si="13"/>
        <v>0</v>
      </c>
      <c r="AB19" s="106">
        <f t="shared" si="13"/>
        <v>0</v>
      </c>
      <c r="AC19" s="106">
        <f t="shared" si="13"/>
        <v>0</v>
      </c>
      <c r="AD19" s="106">
        <f t="shared" si="13"/>
        <v>0</v>
      </c>
      <c r="AE19" s="106">
        <f t="shared" si="13"/>
        <v>0</v>
      </c>
      <c r="AF19" s="106">
        <f t="shared" si="13"/>
        <v>0</v>
      </c>
      <c r="AG19" s="157">
        <f t="shared" si="13"/>
        <v>0</v>
      </c>
      <c r="AH19" s="157">
        <f t="shared" si="13"/>
        <v>0</v>
      </c>
      <c r="AI19" s="157">
        <f t="shared" si="13"/>
        <v>0</v>
      </c>
      <c r="AJ19" s="157">
        <f t="shared" si="13"/>
        <v>0</v>
      </c>
      <c r="AK19" s="157">
        <f t="shared" si="13"/>
        <v>0</v>
      </c>
      <c r="AL19" s="157">
        <f t="shared" si="13"/>
        <v>0</v>
      </c>
      <c r="AM19" s="157">
        <f t="shared" si="13"/>
        <v>0</v>
      </c>
      <c r="AN19" s="409">
        <f t="shared" si="13"/>
        <v>0</v>
      </c>
      <c r="AO19" s="294">
        <f t="shared" ref="AO19:AX19" si="14">SUM(AO16:AO18)</f>
        <v>11474763</v>
      </c>
      <c r="AP19" s="106">
        <f t="shared" si="14"/>
        <v>8349646</v>
      </c>
      <c r="AQ19" s="106">
        <f t="shared" si="14"/>
        <v>21000</v>
      </c>
      <c r="AR19" s="106">
        <f t="shared" si="14"/>
        <v>0</v>
      </c>
      <c r="AS19" s="106">
        <f t="shared" si="14"/>
        <v>2829277</v>
      </c>
      <c r="AT19" s="106">
        <f t="shared" si="14"/>
        <v>166994</v>
      </c>
      <c r="AU19" s="106">
        <f t="shared" si="14"/>
        <v>107846</v>
      </c>
      <c r="AV19" s="157">
        <f t="shared" si="14"/>
        <v>20.551499999999997</v>
      </c>
      <c r="AW19" s="157">
        <f t="shared" si="14"/>
        <v>12.33</v>
      </c>
      <c r="AX19" s="296">
        <f t="shared" si="14"/>
        <v>8.2215000000000007</v>
      </c>
    </row>
    <row r="20" spans="1:50" ht="12.95" customHeight="1" x14ac:dyDescent="0.25">
      <c r="A20" s="154">
        <v>3</v>
      </c>
      <c r="B20" s="526">
        <v>5450</v>
      </c>
      <c r="C20" s="527">
        <v>600098834</v>
      </c>
      <c r="D20" s="83">
        <v>70939322</v>
      </c>
      <c r="E20" s="528" t="s">
        <v>819</v>
      </c>
      <c r="F20" s="83">
        <v>3111</v>
      </c>
      <c r="G20" s="528" t="s">
        <v>331</v>
      </c>
      <c r="H20" s="493" t="s">
        <v>283</v>
      </c>
      <c r="I20" s="495">
        <v>6004597</v>
      </c>
      <c r="J20" s="496">
        <v>4359726</v>
      </c>
      <c r="K20" s="496">
        <v>5000</v>
      </c>
      <c r="L20" s="496">
        <v>0</v>
      </c>
      <c r="M20" s="411">
        <v>1475277</v>
      </c>
      <c r="N20" s="411">
        <v>87194</v>
      </c>
      <c r="O20" s="496">
        <v>77400</v>
      </c>
      <c r="P20" s="497">
        <v>10.6311</v>
      </c>
      <c r="Q20" s="412">
        <v>7.5612999999999992</v>
      </c>
      <c r="R20" s="498">
        <v>3.0697999999999999</v>
      </c>
      <c r="S20" s="479">
        <f t="shared" ref="S20:S22" si="15">W20*-1</f>
        <v>0</v>
      </c>
      <c r="T20" s="486">
        <v>0</v>
      </c>
      <c r="U20" s="486">
        <v>-16936</v>
      </c>
      <c r="V20" s="486">
        <f>SUM(S20:U20)</f>
        <v>-16936</v>
      </c>
      <c r="W20" s="486">
        <v>0</v>
      </c>
      <c r="X20" s="486">
        <v>0</v>
      </c>
      <c r="Y20" s="486">
        <f>SUM(W20:X20)</f>
        <v>0</v>
      </c>
      <c r="Z20" s="486">
        <f>V20+Y20</f>
        <v>-16936</v>
      </c>
      <c r="AA20" s="319">
        <f>ROUND((V20+W20)*33.8%,0)</f>
        <v>-5724</v>
      </c>
      <c r="AB20" s="178">
        <f>ROUND(V20*2%,0)</f>
        <v>-339</v>
      </c>
      <c r="AC20" s="486">
        <v>0</v>
      </c>
      <c r="AD20" s="486">
        <v>22999</v>
      </c>
      <c r="AE20" s="486">
        <f t="shared" si="2"/>
        <v>22999</v>
      </c>
      <c r="AF20" s="486">
        <f t="shared" si="3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ref="AL20:AL22" si="16">AG20+AI20+AJ20</f>
        <v>0</v>
      </c>
      <c r="AM20" s="501">
        <f t="shared" ref="AM20:AM22" si="17">AH20+AK20</f>
        <v>0</v>
      </c>
      <c r="AN20" s="529">
        <f t="shared" si="4"/>
        <v>0</v>
      </c>
      <c r="AO20" s="530">
        <f>I20+AF20</f>
        <v>6004597</v>
      </c>
      <c r="AP20" s="486">
        <f>J20+V20</f>
        <v>4342790</v>
      </c>
      <c r="AQ20" s="480">
        <f>K20+Y20</f>
        <v>5000</v>
      </c>
      <c r="AR20" s="480">
        <f>L20</f>
        <v>0</v>
      </c>
      <c r="AS20" s="486">
        <f t="shared" ref="AS20:AT22" si="18">M20+AA20</f>
        <v>1469553</v>
      </c>
      <c r="AT20" s="486">
        <f t="shared" si="18"/>
        <v>86855</v>
      </c>
      <c r="AU20" s="486">
        <f>O20+AE20</f>
        <v>100399</v>
      </c>
      <c r="AV20" s="501">
        <f>P20+AN20</f>
        <v>10.6311</v>
      </c>
      <c r="AW20" s="501">
        <f t="shared" ref="AW20:AX22" si="19">Q20+AL20</f>
        <v>7.5612999999999992</v>
      </c>
      <c r="AX20" s="502">
        <f t="shared" si="19"/>
        <v>3.0697999999999999</v>
      </c>
    </row>
    <row r="21" spans="1:50" ht="12.95" customHeight="1" x14ac:dyDescent="0.25">
      <c r="A21" s="154">
        <v>3</v>
      </c>
      <c r="B21" s="526">
        <v>5450</v>
      </c>
      <c r="C21" s="527">
        <v>600098834</v>
      </c>
      <c r="D21" s="83">
        <v>70939322</v>
      </c>
      <c r="E21" s="528" t="s">
        <v>819</v>
      </c>
      <c r="F21" s="83">
        <v>3111</v>
      </c>
      <c r="G21" s="528" t="s">
        <v>325</v>
      </c>
      <c r="H21" s="493" t="s">
        <v>284</v>
      </c>
      <c r="I21" s="495">
        <v>175078</v>
      </c>
      <c r="J21" s="496">
        <v>128924</v>
      </c>
      <c r="K21" s="496">
        <v>0</v>
      </c>
      <c r="L21" s="496">
        <v>0</v>
      </c>
      <c r="M21" s="411">
        <v>43576</v>
      </c>
      <c r="N21" s="411">
        <v>2578</v>
      </c>
      <c r="O21" s="496">
        <v>0</v>
      </c>
      <c r="P21" s="497">
        <v>0.34000000000000008</v>
      </c>
      <c r="Q21" s="412">
        <v>0.34000000000000008</v>
      </c>
      <c r="R21" s="498">
        <v>0</v>
      </c>
      <c r="S21" s="479">
        <f t="shared" si="15"/>
        <v>0</v>
      </c>
      <c r="T21" s="486">
        <v>0</v>
      </c>
      <c r="U21" s="486">
        <v>0</v>
      </c>
      <c r="V21" s="486">
        <f>SUM(S21:U21)</f>
        <v>0</v>
      </c>
      <c r="W21" s="486">
        <v>0</v>
      </c>
      <c r="X21" s="486">
        <v>0</v>
      </c>
      <c r="Y21" s="486">
        <f>SUM(W21:X21)</f>
        <v>0</v>
      </c>
      <c r="Z21" s="486">
        <f>V21+Y21</f>
        <v>0</v>
      </c>
      <c r="AA21" s="319">
        <f>ROUND((V21+W21)*33.8%,0)</f>
        <v>0</v>
      </c>
      <c r="AB21" s="178">
        <f>ROUND(V21*2%,0)</f>
        <v>0</v>
      </c>
      <c r="AC21" s="486">
        <v>0</v>
      </c>
      <c r="AD21" s="486">
        <v>0</v>
      </c>
      <c r="AE21" s="486">
        <f t="shared" si="2"/>
        <v>0</v>
      </c>
      <c r="AF21" s="486">
        <f t="shared" si="3"/>
        <v>0</v>
      </c>
      <c r="AG21" s="501">
        <v>0</v>
      </c>
      <c r="AH21" s="501">
        <v>0</v>
      </c>
      <c r="AI21" s="501">
        <v>0</v>
      </c>
      <c r="AJ21" s="501">
        <v>0</v>
      </c>
      <c r="AK21" s="501">
        <v>0</v>
      </c>
      <c r="AL21" s="501">
        <f t="shared" si="16"/>
        <v>0</v>
      </c>
      <c r="AM21" s="501">
        <f t="shared" si="17"/>
        <v>0</v>
      </c>
      <c r="AN21" s="529">
        <f t="shared" ref="AN21" si="20">SUM(AL21:AM21)</f>
        <v>0</v>
      </c>
      <c r="AO21" s="530">
        <f>I21+AF21</f>
        <v>175078</v>
      </c>
      <c r="AP21" s="486">
        <f>J21+V21</f>
        <v>128924</v>
      </c>
      <c r="AQ21" s="480">
        <f>K21+Y21</f>
        <v>0</v>
      </c>
      <c r="AR21" s="480">
        <f>L21</f>
        <v>0</v>
      </c>
      <c r="AS21" s="486">
        <f t="shared" si="18"/>
        <v>43576</v>
      </c>
      <c r="AT21" s="486">
        <f t="shared" si="18"/>
        <v>2578</v>
      </c>
      <c r="AU21" s="486">
        <f>O21+AE21</f>
        <v>0</v>
      </c>
      <c r="AV21" s="501">
        <f>P21+AN21</f>
        <v>0.34000000000000008</v>
      </c>
      <c r="AW21" s="501">
        <f t="shared" si="19"/>
        <v>0.34000000000000008</v>
      </c>
      <c r="AX21" s="502">
        <f t="shared" si="19"/>
        <v>0</v>
      </c>
    </row>
    <row r="22" spans="1:50" ht="12.95" customHeight="1" x14ac:dyDescent="0.25">
      <c r="A22" s="154">
        <v>3</v>
      </c>
      <c r="B22" s="526">
        <v>5450</v>
      </c>
      <c r="C22" s="527">
        <v>600098834</v>
      </c>
      <c r="D22" s="83">
        <v>70939322</v>
      </c>
      <c r="E22" s="528" t="s">
        <v>819</v>
      </c>
      <c r="F22" s="83">
        <v>3141</v>
      </c>
      <c r="G22" s="528" t="s">
        <v>321</v>
      </c>
      <c r="H22" s="493" t="s">
        <v>284</v>
      </c>
      <c r="I22" s="495">
        <v>435400</v>
      </c>
      <c r="J22" s="496">
        <v>318324</v>
      </c>
      <c r="K22" s="496">
        <v>0</v>
      </c>
      <c r="L22" s="496">
        <v>0</v>
      </c>
      <c r="M22" s="411">
        <v>107594</v>
      </c>
      <c r="N22" s="411">
        <v>6366</v>
      </c>
      <c r="O22" s="496">
        <v>3116</v>
      </c>
      <c r="P22" s="497">
        <v>1.0900000000000001</v>
      </c>
      <c r="Q22" s="412">
        <v>0</v>
      </c>
      <c r="R22" s="498">
        <v>1.0900000000000001</v>
      </c>
      <c r="S22" s="479">
        <f t="shared" si="15"/>
        <v>0</v>
      </c>
      <c r="T22" s="486">
        <v>0</v>
      </c>
      <c r="U22" s="486">
        <v>0</v>
      </c>
      <c r="V22" s="486">
        <f>SUM(S22:U22)</f>
        <v>0</v>
      </c>
      <c r="W22" s="486">
        <v>0</v>
      </c>
      <c r="X22" s="486">
        <v>0</v>
      </c>
      <c r="Y22" s="486">
        <f>SUM(W22:X22)</f>
        <v>0</v>
      </c>
      <c r="Z22" s="486">
        <f>V22+Y22</f>
        <v>0</v>
      </c>
      <c r="AA22" s="319">
        <f>ROUND((V22+W22)*33.8%,0)</f>
        <v>0</v>
      </c>
      <c r="AB22" s="178">
        <f>ROUND(V22*2%,0)</f>
        <v>0</v>
      </c>
      <c r="AC22" s="486">
        <v>0</v>
      </c>
      <c r="AD22" s="486">
        <v>0</v>
      </c>
      <c r="AE22" s="486">
        <f t="shared" si="2"/>
        <v>0</v>
      </c>
      <c r="AF22" s="486">
        <f t="shared" si="3"/>
        <v>0</v>
      </c>
      <c r="AG22" s="501">
        <v>0</v>
      </c>
      <c r="AH22" s="501">
        <v>0</v>
      </c>
      <c r="AI22" s="501">
        <v>0</v>
      </c>
      <c r="AJ22" s="501">
        <v>0</v>
      </c>
      <c r="AK22" s="501">
        <v>0</v>
      </c>
      <c r="AL22" s="501">
        <f t="shared" si="16"/>
        <v>0</v>
      </c>
      <c r="AM22" s="501">
        <f t="shared" si="17"/>
        <v>0</v>
      </c>
      <c r="AN22" s="529">
        <f t="shared" si="4"/>
        <v>0</v>
      </c>
      <c r="AO22" s="530">
        <f>I22+AF22</f>
        <v>435400</v>
      </c>
      <c r="AP22" s="486">
        <f>J22+V22</f>
        <v>318324</v>
      </c>
      <c r="AQ22" s="480">
        <f>K22+Y22</f>
        <v>0</v>
      </c>
      <c r="AR22" s="480">
        <f>L22</f>
        <v>0</v>
      </c>
      <c r="AS22" s="486">
        <f t="shared" si="18"/>
        <v>107594</v>
      </c>
      <c r="AT22" s="486">
        <f t="shared" si="18"/>
        <v>6366</v>
      </c>
      <c r="AU22" s="486">
        <f>O22+AE22</f>
        <v>3116</v>
      </c>
      <c r="AV22" s="501">
        <f>P22+AN22</f>
        <v>1.0900000000000001</v>
      </c>
      <c r="AW22" s="501">
        <f t="shared" si="19"/>
        <v>0</v>
      </c>
      <c r="AX22" s="502">
        <f t="shared" si="19"/>
        <v>1.0900000000000001</v>
      </c>
    </row>
    <row r="23" spans="1:50" ht="12.95" customHeight="1" x14ac:dyDescent="0.25">
      <c r="A23" s="156">
        <v>3</v>
      </c>
      <c r="B23" s="104">
        <v>5450</v>
      </c>
      <c r="C23" s="105">
        <v>600098834</v>
      </c>
      <c r="D23" s="104">
        <v>70939322</v>
      </c>
      <c r="E23" s="298" t="s">
        <v>824</v>
      </c>
      <c r="F23" s="92"/>
      <c r="G23" s="299"/>
      <c r="H23" s="93"/>
      <c r="I23" s="294">
        <v>6615075</v>
      </c>
      <c r="J23" s="106">
        <v>4806974</v>
      </c>
      <c r="K23" s="106">
        <v>5000</v>
      </c>
      <c r="L23" s="106">
        <v>0</v>
      </c>
      <c r="M23" s="106">
        <v>1626447</v>
      </c>
      <c r="N23" s="106">
        <v>96138</v>
      </c>
      <c r="O23" s="106">
        <v>80516</v>
      </c>
      <c r="P23" s="157">
        <v>12.0611</v>
      </c>
      <c r="Q23" s="157">
        <v>7.9012999999999991</v>
      </c>
      <c r="R23" s="296">
        <v>4.1597999999999997</v>
      </c>
      <c r="S23" s="149">
        <f t="shared" ref="S23:AN23" si="21">SUM(S20:S22)</f>
        <v>0</v>
      </c>
      <c r="T23" s="106">
        <f t="shared" si="21"/>
        <v>0</v>
      </c>
      <c r="U23" s="106">
        <f t="shared" si="21"/>
        <v>-16936</v>
      </c>
      <c r="V23" s="106">
        <f t="shared" si="21"/>
        <v>-16936</v>
      </c>
      <c r="W23" s="106">
        <f t="shared" si="21"/>
        <v>0</v>
      </c>
      <c r="X23" s="106">
        <f t="shared" si="21"/>
        <v>0</v>
      </c>
      <c r="Y23" s="106">
        <f t="shared" si="21"/>
        <v>0</v>
      </c>
      <c r="Z23" s="106">
        <f t="shared" si="21"/>
        <v>-16936</v>
      </c>
      <c r="AA23" s="106">
        <f t="shared" si="21"/>
        <v>-5724</v>
      </c>
      <c r="AB23" s="106">
        <f t="shared" si="21"/>
        <v>-339</v>
      </c>
      <c r="AC23" s="106">
        <f t="shared" si="21"/>
        <v>0</v>
      </c>
      <c r="AD23" s="106">
        <f t="shared" si="21"/>
        <v>22999</v>
      </c>
      <c r="AE23" s="106">
        <f t="shared" si="21"/>
        <v>22999</v>
      </c>
      <c r="AF23" s="106">
        <f t="shared" si="21"/>
        <v>0</v>
      </c>
      <c r="AG23" s="157">
        <f t="shared" si="21"/>
        <v>0</v>
      </c>
      <c r="AH23" s="157">
        <f t="shared" si="21"/>
        <v>0</v>
      </c>
      <c r="AI23" s="157">
        <f t="shared" si="21"/>
        <v>0</v>
      </c>
      <c r="AJ23" s="157">
        <f t="shared" si="21"/>
        <v>0</v>
      </c>
      <c r="AK23" s="157">
        <f t="shared" si="21"/>
        <v>0</v>
      </c>
      <c r="AL23" s="157">
        <f t="shared" si="21"/>
        <v>0</v>
      </c>
      <c r="AM23" s="157">
        <f t="shared" si="21"/>
        <v>0</v>
      </c>
      <c r="AN23" s="409">
        <f t="shared" si="21"/>
        <v>0</v>
      </c>
      <c r="AO23" s="294">
        <f t="shared" ref="AO23:AX23" si="22">SUM(AO20:AO22)</f>
        <v>6615075</v>
      </c>
      <c r="AP23" s="106">
        <f t="shared" si="22"/>
        <v>4790038</v>
      </c>
      <c r="AQ23" s="106">
        <f t="shared" si="22"/>
        <v>5000</v>
      </c>
      <c r="AR23" s="106">
        <f t="shared" si="22"/>
        <v>0</v>
      </c>
      <c r="AS23" s="106">
        <f t="shared" si="22"/>
        <v>1620723</v>
      </c>
      <c r="AT23" s="106">
        <f t="shared" si="22"/>
        <v>95799</v>
      </c>
      <c r="AU23" s="106">
        <f t="shared" si="22"/>
        <v>103515</v>
      </c>
      <c r="AV23" s="157">
        <f t="shared" si="22"/>
        <v>12.0611</v>
      </c>
      <c r="AW23" s="157">
        <f t="shared" si="22"/>
        <v>7.9012999999999991</v>
      </c>
      <c r="AX23" s="296">
        <f t="shared" si="22"/>
        <v>4.1597999999999997</v>
      </c>
    </row>
    <row r="24" spans="1:50" ht="12.95" customHeight="1" x14ac:dyDescent="0.25">
      <c r="A24" s="154">
        <v>4</v>
      </c>
      <c r="B24" s="526">
        <v>5448</v>
      </c>
      <c r="C24" s="527">
        <v>600098591</v>
      </c>
      <c r="D24" s="83">
        <v>854727</v>
      </c>
      <c r="E24" s="528" t="s">
        <v>817</v>
      </c>
      <c r="F24" s="83">
        <v>3111</v>
      </c>
      <c r="G24" s="528" t="s">
        <v>331</v>
      </c>
      <c r="H24" s="493" t="s">
        <v>283</v>
      </c>
      <c r="I24" s="495">
        <v>0</v>
      </c>
      <c r="J24" s="496">
        <v>0</v>
      </c>
      <c r="K24" s="496">
        <v>0</v>
      </c>
      <c r="L24" s="496">
        <v>0</v>
      </c>
      <c r="M24" s="411">
        <v>0</v>
      </c>
      <c r="N24" s="411">
        <v>0</v>
      </c>
      <c r="O24" s="496">
        <v>0</v>
      </c>
      <c r="P24" s="497">
        <v>0</v>
      </c>
      <c r="Q24" s="412">
        <v>0</v>
      </c>
      <c r="R24" s="498">
        <v>0</v>
      </c>
      <c r="S24" s="479">
        <f t="shared" ref="S24:S25" si="23">W24*-1</f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2"/>
        <v>0</v>
      </c>
      <c r="AF24" s="486">
        <f t="shared" si="3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ref="AL24:AL25" si="24">AG24+AI24+AJ24</f>
        <v>0</v>
      </c>
      <c r="AM24" s="501">
        <f t="shared" ref="AM24:AM25" si="25">AH24+AK24</f>
        <v>0</v>
      </c>
      <c r="AN24" s="529">
        <f t="shared" si="4"/>
        <v>0</v>
      </c>
      <c r="AO24" s="530">
        <f>I24+AF24</f>
        <v>0</v>
      </c>
      <c r="AP24" s="486">
        <f>J24+V24</f>
        <v>0</v>
      </c>
      <c r="AQ24" s="480">
        <f>K24+Y24</f>
        <v>0</v>
      </c>
      <c r="AR24" s="480">
        <f>L24</f>
        <v>0</v>
      </c>
      <c r="AS24" s="486">
        <f>M24+AA24</f>
        <v>0</v>
      </c>
      <c r="AT24" s="486">
        <f>N24+AB24</f>
        <v>0</v>
      </c>
      <c r="AU24" s="486">
        <f>O24+AE24</f>
        <v>0</v>
      </c>
      <c r="AV24" s="501">
        <f>P24+AN24</f>
        <v>0</v>
      </c>
      <c r="AW24" s="501">
        <f>Q24+AL24</f>
        <v>0</v>
      </c>
      <c r="AX24" s="502">
        <f>R24+AM24</f>
        <v>0</v>
      </c>
    </row>
    <row r="25" spans="1:50" ht="12.95" customHeight="1" x14ac:dyDescent="0.25">
      <c r="A25" s="154">
        <v>4</v>
      </c>
      <c r="B25" s="526">
        <v>5448</v>
      </c>
      <c r="C25" s="527">
        <v>600098591</v>
      </c>
      <c r="D25" s="83">
        <v>854727</v>
      </c>
      <c r="E25" s="528" t="s">
        <v>818</v>
      </c>
      <c r="F25" s="83">
        <v>3141</v>
      </c>
      <c r="G25" s="528" t="s">
        <v>321</v>
      </c>
      <c r="H25" s="493" t="s">
        <v>284</v>
      </c>
      <c r="I25" s="495">
        <v>0</v>
      </c>
      <c r="J25" s="496">
        <v>0</v>
      </c>
      <c r="K25" s="496">
        <v>0</v>
      </c>
      <c r="L25" s="496">
        <v>0</v>
      </c>
      <c r="M25" s="411">
        <v>0</v>
      </c>
      <c r="N25" s="411">
        <v>0</v>
      </c>
      <c r="O25" s="496">
        <v>0</v>
      </c>
      <c r="P25" s="497">
        <v>0</v>
      </c>
      <c r="Q25" s="412">
        <v>0</v>
      </c>
      <c r="R25" s="498">
        <v>0</v>
      </c>
      <c r="S25" s="479">
        <f t="shared" si="23"/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486">
        <v>0</v>
      </c>
      <c r="Y25" s="486">
        <f>SUM(W25:X25)</f>
        <v>0</v>
      </c>
      <c r="Z25" s="486">
        <f>V25+Y25</f>
        <v>0</v>
      </c>
      <c r="AA25" s="319">
        <f>ROUND((V25+W25)*33.8%,0)</f>
        <v>0</v>
      </c>
      <c r="AB25" s="178">
        <f>ROUND(V25*2%,0)</f>
        <v>0</v>
      </c>
      <c r="AC25" s="486">
        <v>0</v>
      </c>
      <c r="AD25" s="486">
        <v>0</v>
      </c>
      <c r="AE25" s="486">
        <f t="shared" si="2"/>
        <v>0</v>
      </c>
      <c r="AF25" s="486">
        <f t="shared" si="3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24"/>
        <v>0</v>
      </c>
      <c r="AM25" s="501">
        <f t="shared" si="25"/>
        <v>0</v>
      </c>
      <c r="AN25" s="529">
        <f t="shared" si="4"/>
        <v>0</v>
      </c>
      <c r="AO25" s="530">
        <f>I25+AF25</f>
        <v>0</v>
      </c>
      <c r="AP25" s="486">
        <f>J25+V25</f>
        <v>0</v>
      </c>
      <c r="AQ25" s="480">
        <f>K25+Y25</f>
        <v>0</v>
      </c>
      <c r="AR25" s="480">
        <f>L25</f>
        <v>0</v>
      </c>
      <c r="AS25" s="486">
        <f>M25+AA25</f>
        <v>0</v>
      </c>
      <c r="AT25" s="486">
        <f>N25+AB25</f>
        <v>0</v>
      </c>
      <c r="AU25" s="486">
        <f>O25+AE25</f>
        <v>0</v>
      </c>
      <c r="AV25" s="501">
        <f>P25+AN25</f>
        <v>0</v>
      </c>
      <c r="AW25" s="501">
        <f>Q25+AL25</f>
        <v>0</v>
      </c>
      <c r="AX25" s="502">
        <f>R25+AM25</f>
        <v>0</v>
      </c>
    </row>
    <row r="26" spans="1:50" ht="12.95" customHeight="1" x14ac:dyDescent="0.25">
      <c r="A26" s="156">
        <v>4</v>
      </c>
      <c r="B26" s="104">
        <v>5448</v>
      </c>
      <c r="C26" s="105">
        <v>600098591</v>
      </c>
      <c r="D26" s="104">
        <v>854727</v>
      </c>
      <c r="E26" s="298" t="s">
        <v>381</v>
      </c>
      <c r="F26" s="92"/>
      <c r="G26" s="299"/>
      <c r="H26" s="93"/>
      <c r="I26" s="294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57">
        <v>0</v>
      </c>
      <c r="Q26" s="157">
        <v>0</v>
      </c>
      <c r="R26" s="296">
        <v>0</v>
      </c>
      <c r="S26" s="149">
        <f t="shared" ref="S26:AN26" si="26">SUM(S24:S25)</f>
        <v>0</v>
      </c>
      <c r="T26" s="106">
        <f t="shared" si="26"/>
        <v>0</v>
      </c>
      <c r="U26" s="106">
        <f t="shared" si="26"/>
        <v>0</v>
      </c>
      <c r="V26" s="106">
        <f t="shared" si="26"/>
        <v>0</v>
      </c>
      <c r="W26" s="106">
        <f t="shared" si="26"/>
        <v>0</v>
      </c>
      <c r="X26" s="106">
        <f t="shared" si="26"/>
        <v>0</v>
      </c>
      <c r="Y26" s="106">
        <f t="shared" si="26"/>
        <v>0</v>
      </c>
      <c r="Z26" s="106">
        <f t="shared" si="26"/>
        <v>0</v>
      </c>
      <c r="AA26" s="106">
        <f t="shared" si="26"/>
        <v>0</v>
      </c>
      <c r="AB26" s="106">
        <f t="shared" si="26"/>
        <v>0</v>
      </c>
      <c r="AC26" s="106">
        <f t="shared" si="26"/>
        <v>0</v>
      </c>
      <c r="AD26" s="106">
        <f t="shared" si="26"/>
        <v>0</v>
      </c>
      <c r="AE26" s="106">
        <f t="shared" si="26"/>
        <v>0</v>
      </c>
      <c r="AF26" s="106">
        <f t="shared" si="26"/>
        <v>0</v>
      </c>
      <c r="AG26" s="157">
        <f t="shared" si="26"/>
        <v>0</v>
      </c>
      <c r="AH26" s="157">
        <f t="shared" si="26"/>
        <v>0</v>
      </c>
      <c r="AI26" s="157">
        <f t="shared" si="26"/>
        <v>0</v>
      </c>
      <c r="AJ26" s="157">
        <f t="shared" si="26"/>
        <v>0</v>
      </c>
      <c r="AK26" s="157">
        <f t="shared" si="26"/>
        <v>0</v>
      </c>
      <c r="AL26" s="157">
        <f t="shared" si="26"/>
        <v>0</v>
      </c>
      <c r="AM26" s="157">
        <f t="shared" si="26"/>
        <v>0</v>
      </c>
      <c r="AN26" s="409">
        <f t="shared" si="26"/>
        <v>0</v>
      </c>
      <c r="AO26" s="294">
        <f t="shared" ref="AO26:AX26" si="27">SUM(AO24:AO25)</f>
        <v>0</v>
      </c>
      <c r="AP26" s="106">
        <f t="shared" si="27"/>
        <v>0</v>
      </c>
      <c r="AQ26" s="106">
        <f t="shared" si="27"/>
        <v>0</v>
      </c>
      <c r="AR26" s="106">
        <f t="shared" si="27"/>
        <v>0</v>
      </c>
      <c r="AS26" s="106">
        <f t="shared" si="27"/>
        <v>0</v>
      </c>
      <c r="AT26" s="106">
        <f t="shared" si="27"/>
        <v>0</v>
      </c>
      <c r="AU26" s="106">
        <f t="shared" si="27"/>
        <v>0</v>
      </c>
      <c r="AV26" s="157">
        <f t="shared" si="27"/>
        <v>0</v>
      </c>
      <c r="AW26" s="157">
        <f t="shared" si="27"/>
        <v>0</v>
      </c>
      <c r="AX26" s="296">
        <f t="shared" si="27"/>
        <v>0</v>
      </c>
    </row>
    <row r="27" spans="1:50" ht="12.95" customHeight="1" x14ac:dyDescent="0.25">
      <c r="A27" s="154">
        <v>5</v>
      </c>
      <c r="B27" s="526">
        <v>5447</v>
      </c>
      <c r="C27" s="107">
        <v>600099512</v>
      </c>
      <c r="D27" s="83">
        <v>854816</v>
      </c>
      <c r="E27" s="528" t="s">
        <v>382</v>
      </c>
      <c r="F27" s="83">
        <v>3233</v>
      </c>
      <c r="G27" s="528" t="s">
        <v>324</v>
      </c>
      <c r="H27" s="493" t="s">
        <v>284</v>
      </c>
      <c r="I27" s="495">
        <v>3116479</v>
      </c>
      <c r="J27" s="496">
        <v>2253001</v>
      </c>
      <c r="K27" s="496">
        <v>20000</v>
      </c>
      <c r="L27" s="496">
        <v>0</v>
      </c>
      <c r="M27" s="411">
        <v>768274</v>
      </c>
      <c r="N27" s="411">
        <v>45060</v>
      </c>
      <c r="O27" s="496">
        <v>30144</v>
      </c>
      <c r="P27" s="497">
        <v>5.1400000000000006</v>
      </c>
      <c r="Q27" s="412">
        <v>3.5900000000000003</v>
      </c>
      <c r="R27" s="498">
        <v>1.55</v>
      </c>
      <c r="S27" s="479">
        <f>W27*-1</f>
        <v>0</v>
      </c>
      <c r="T27" s="486">
        <v>0</v>
      </c>
      <c r="U27" s="486">
        <v>0</v>
      </c>
      <c r="V27" s="486">
        <f>SUM(S27:U27)</f>
        <v>0</v>
      </c>
      <c r="W27" s="486">
        <v>0</v>
      </c>
      <c r="X27" s="486">
        <v>0</v>
      </c>
      <c r="Y27" s="486">
        <f>SUM(W27:X27)</f>
        <v>0</v>
      </c>
      <c r="Z27" s="486">
        <f>V27+Y27</f>
        <v>0</v>
      </c>
      <c r="AA27" s="319">
        <f>ROUND((V27+W27)*33.8%,0)</f>
        <v>0</v>
      </c>
      <c r="AB27" s="178">
        <f>ROUND(V27*2%,0)</f>
        <v>0</v>
      </c>
      <c r="AC27" s="486">
        <v>0</v>
      </c>
      <c r="AD27" s="486">
        <v>0</v>
      </c>
      <c r="AE27" s="486">
        <f t="shared" si="2"/>
        <v>0</v>
      </c>
      <c r="AF27" s="486">
        <f t="shared" si="3"/>
        <v>0</v>
      </c>
      <c r="AG27" s="501">
        <v>0</v>
      </c>
      <c r="AH27" s="501">
        <v>0</v>
      </c>
      <c r="AI27" s="501">
        <v>0</v>
      </c>
      <c r="AJ27" s="501">
        <v>0</v>
      </c>
      <c r="AK27" s="501">
        <v>0</v>
      </c>
      <c r="AL27" s="501">
        <f>AG27+AI27+AJ27</f>
        <v>0</v>
      </c>
      <c r="AM27" s="501">
        <f>AH27+AK27</f>
        <v>0</v>
      </c>
      <c r="AN27" s="529">
        <f t="shared" si="4"/>
        <v>0</v>
      </c>
      <c r="AO27" s="530">
        <f>I27+AF27</f>
        <v>3116479</v>
      </c>
      <c r="AP27" s="486">
        <f>J27+V27</f>
        <v>2253001</v>
      </c>
      <c r="AQ27" s="480">
        <f>K27+Y27</f>
        <v>20000</v>
      </c>
      <c r="AR27" s="480">
        <f>L27</f>
        <v>0</v>
      </c>
      <c r="AS27" s="486">
        <f>M27+AA27</f>
        <v>768274</v>
      </c>
      <c r="AT27" s="486">
        <f>N27+AB27</f>
        <v>45060</v>
      </c>
      <c r="AU27" s="486">
        <f>O27+AE27</f>
        <v>30144</v>
      </c>
      <c r="AV27" s="501">
        <f>P27+AN27</f>
        <v>5.1400000000000006</v>
      </c>
      <c r="AW27" s="501">
        <f>Q27+AL27</f>
        <v>3.5900000000000003</v>
      </c>
      <c r="AX27" s="502">
        <f>R27+AM27</f>
        <v>1.55</v>
      </c>
    </row>
    <row r="28" spans="1:50" ht="12.95" customHeight="1" x14ac:dyDescent="0.25">
      <c r="A28" s="156">
        <v>5</v>
      </c>
      <c r="B28" s="104">
        <v>5447</v>
      </c>
      <c r="C28" s="105">
        <v>600099512</v>
      </c>
      <c r="D28" s="104">
        <v>854816</v>
      </c>
      <c r="E28" s="298" t="s">
        <v>383</v>
      </c>
      <c r="F28" s="92"/>
      <c r="G28" s="299"/>
      <c r="H28" s="93"/>
      <c r="I28" s="294">
        <v>3116479</v>
      </c>
      <c r="J28" s="106">
        <v>2253001</v>
      </c>
      <c r="K28" s="106">
        <v>20000</v>
      </c>
      <c r="L28" s="106">
        <v>0</v>
      </c>
      <c r="M28" s="106">
        <v>768274</v>
      </c>
      <c r="N28" s="106">
        <v>45060</v>
      </c>
      <c r="O28" s="106">
        <v>30144</v>
      </c>
      <c r="P28" s="157">
        <v>5.1400000000000006</v>
      </c>
      <c r="Q28" s="157">
        <v>3.5900000000000003</v>
      </c>
      <c r="R28" s="296">
        <v>1.55</v>
      </c>
      <c r="S28" s="149">
        <f t="shared" ref="S28:AN28" si="28">SUM(S27)</f>
        <v>0</v>
      </c>
      <c r="T28" s="106">
        <f t="shared" si="28"/>
        <v>0</v>
      </c>
      <c r="U28" s="106">
        <f t="shared" si="28"/>
        <v>0</v>
      </c>
      <c r="V28" s="106">
        <f t="shared" si="28"/>
        <v>0</v>
      </c>
      <c r="W28" s="106">
        <f t="shared" si="28"/>
        <v>0</v>
      </c>
      <c r="X28" s="106">
        <f t="shared" si="28"/>
        <v>0</v>
      </c>
      <c r="Y28" s="106">
        <f t="shared" si="28"/>
        <v>0</v>
      </c>
      <c r="Z28" s="106">
        <f t="shared" si="28"/>
        <v>0</v>
      </c>
      <c r="AA28" s="106">
        <f t="shared" si="28"/>
        <v>0</v>
      </c>
      <c r="AB28" s="106">
        <f t="shared" si="28"/>
        <v>0</v>
      </c>
      <c r="AC28" s="106">
        <f t="shared" si="28"/>
        <v>0</v>
      </c>
      <c r="AD28" s="106">
        <f t="shared" si="28"/>
        <v>0</v>
      </c>
      <c r="AE28" s="106">
        <f t="shared" si="28"/>
        <v>0</v>
      </c>
      <c r="AF28" s="106">
        <f t="shared" si="28"/>
        <v>0</v>
      </c>
      <c r="AG28" s="157">
        <f t="shared" si="28"/>
        <v>0</v>
      </c>
      <c r="AH28" s="157">
        <f t="shared" si="28"/>
        <v>0</v>
      </c>
      <c r="AI28" s="157">
        <f t="shared" si="28"/>
        <v>0</v>
      </c>
      <c r="AJ28" s="157">
        <f t="shared" si="28"/>
        <v>0</v>
      </c>
      <c r="AK28" s="157">
        <f t="shared" si="28"/>
        <v>0</v>
      </c>
      <c r="AL28" s="157">
        <f t="shared" si="28"/>
        <v>0</v>
      </c>
      <c r="AM28" s="157">
        <f t="shared" si="28"/>
        <v>0</v>
      </c>
      <c r="AN28" s="409">
        <f t="shared" si="28"/>
        <v>0</v>
      </c>
      <c r="AO28" s="294">
        <f t="shared" ref="AO28:AX28" si="29">SUM(AO27)</f>
        <v>3116479</v>
      </c>
      <c r="AP28" s="106">
        <f t="shared" si="29"/>
        <v>2253001</v>
      </c>
      <c r="AQ28" s="106">
        <f t="shared" si="29"/>
        <v>20000</v>
      </c>
      <c r="AR28" s="106">
        <f t="shared" si="29"/>
        <v>0</v>
      </c>
      <c r="AS28" s="106">
        <f t="shared" si="29"/>
        <v>768274</v>
      </c>
      <c r="AT28" s="106">
        <f t="shared" si="29"/>
        <v>45060</v>
      </c>
      <c r="AU28" s="106">
        <f t="shared" si="29"/>
        <v>30144</v>
      </c>
      <c r="AV28" s="157">
        <f t="shared" si="29"/>
        <v>5.1400000000000006</v>
      </c>
      <c r="AW28" s="157">
        <f t="shared" si="29"/>
        <v>3.5900000000000003</v>
      </c>
      <c r="AX28" s="296">
        <f t="shared" si="29"/>
        <v>1.55</v>
      </c>
    </row>
    <row r="29" spans="1:50" ht="12.95" customHeight="1" x14ac:dyDescent="0.25">
      <c r="A29" s="154">
        <v>6</v>
      </c>
      <c r="B29" s="526">
        <v>5444</v>
      </c>
      <c r="C29" s="527">
        <v>600099296</v>
      </c>
      <c r="D29" s="83">
        <v>854824</v>
      </c>
      <c r="E29" s="528" t="s">
        <v>384</v>
      </c>
      <c r="F29" s="83">
        <v>3113</v>
      </c>
      <c r="G29" s="528" t="s">
        <v>335</v>
      </c>
      <c r="H29" s="493" t="s">
        <v>283</v>
      </c>
      <c r="I29" s="495">
        <v>16840581</v>
      </c>
      <c r="J29" s="496">
        <v>11850479</v>
      </c>
      <c r="K29" s="496">
        <v>147336</v>
      </c>
      <c r="L29" s="496">
        <v>36408</v>
      </c>
      <c r="M29" s="411">
        <v>4042956</v>
      </c>
      <c r="N29" s="411">
        <v>237010</v>
      </c>
      <c r="O29" s="496">
        <v>562800</v>
      </c>
      <c r="P29" s="497">
        <v>22.7607</v>
      </c>
      <c r="Q29" s="412">
        <v>16.652699999999999</v>
      </c>
      <c r="R29" s="498">
        <v>6.1079999999999997</v>
      </c>
      <c r="S29" s="479">
        <f t="shared" ref="S29:S34" si="30">W29*-1</f>
        <v>0</v>
      </c>
      <c r="T29" s="486">
        <v>0</v>
      </c>
      <c r="U29" s="486">
        <v>0</v>
      </c>
      <c r="V29" s="486">
        <f t="shared" ref="V29:V34" si="31">SUM(S29:U29)</f>
        <v>0</v>
      </c>
      <c r="W29" s="486">
        <v>0</v>
      </c>
      <c r="X29" s="486">
        <v>0</v>
      </c>
      <c r="Y29" s="486">
        <f t="shared" ref="Y29:Y34" si="32">SUM(W29:X29)</f>
        <v>0</v>
      </c>
      <c r="Z29" s="486">
        <f t="shared" ref="Z29:Z34" si="33">V29+Y29</f>
        <v>0</v>
      </c>
      <c r="AA29" s="319">
        <f t="shared" ref="AA29:AA34" si="34">ROUND((V29+W29)*33.8%,0)</f>
        <v>0</v>
      </c>
      <c r="AB29" s="178">
        <f t="shared" ref="AB29:AB34" si="35">ROUND(V29*2%,0)</f>
        <v>0</v>
      </c>
      <c r="AC29" s="486">
        <v>0</v>
      </c>
      <c r="AD29" s="486">
        <v>0</v>
      </c>
      <c r="AE29" s="486">
        <f t="shared" si="2"/>
        <v>0</v>
      </c>
      <c r="AF29" s="486">
        <f t="shared" si="3"/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f t="shared" ref="AL29:AL34" si="36">AG29+AI29+AJ29</f>
        <v>0</v>
      </c>
      <c r="AM29" s="501">
        <f t="shared" ref="AM29:AM34" si="37">AH29+AK29</f>
        <v>0</v>
      </c>
      <c r="AN29" s="529">
        <f t="shared" si="4"/>
        <v>0</v>
      </c>
      <c r="AO29" s="530">
        <f t="shared" ref="AO29:AO34" si="38">I29+AF29</f>
        <v>16840581</v>
      </c>
      <c r="AP29" s="486">
        <f t="shared" ref="AP29:AP34" si="39">J29+V29</f>
        <v>11850479</v>
      </c>
      <c r="AQ29" s="480">
        <f t="shared" ref="AQ29:AQ34" si="40">K29+Y29</f>
        <v>147336</v>
      </c>
      <c r="AR29" s="480">
        <f t="shared" ref="AR29:AR34" si="41">L29</f>
        <v>36408</v>
      </c>
      <c r="AS29" s="486">
        <f t="shared" ref="AS29:AT34" si="42">M29+AA29</f>
        <v>4042956</v>
      </c>
      <c r="AT29" s="486">
        <f t="shared" si="42"/>
        <v>237010</v>
      </c>
      <c r="AU29" s="486">
        <f t="shared" ref="AU29:AU34" si="43">O29+AE29</f>
        <v>562800</v>
      </c>
      <c r="AV29" s="501">
        <f t="shared" ref="AV29:AV34" si="44">P29+AN29</f>
        <v>22.7607</v>
      </c>
      <c r="AW29" s="501">
        <f t="shared" ref="AW29:AX34" si="45">Q29+AL29</f>
        <v>16.652699999999999</v>
      </c>
      <c r="AX29" s="502">
        <f t="shared" si="45"/>
        <v>6.1079999999999997</v>
      </c>
    </row>
    <row r="30" spans="1:50" ht="12.95" customHeight="1" x14ac:dyDescent="0.25">
      <c r="A30" s="154">
        <v>6</v>
      </c>
      <c r="B30" s="526">
        <v>5444</v>
      </c>
      <c r="C30" s="527">
        <v>600099296</v>
      </c>
      <c r="D30" s="83">
        <v>854824</v>
      </c>
      <c r="E30" s="528" t="s">
        <v>384</v>
      </c>
      <c r="F30" s="83">
        <v>3113</v>
      </c>
      <c r="G30" s="528" t="s">
        <v>325</v>
      </c>
      <c r="H30" s="493" t="s">
        <v>284</v>
      </c>
      <c r="I30" s="495">
        <v>693066</v>
      </c>
      <c r="J30" s="496">
        <v>509842</v>
      </c>
      <c r="K30" s="496">
        <v>0</v>
      </c>
      <c r="L30" s="496">
        <v>0</v>
      </c>
      <c r="M30" s="411">
        <v>172327</v>
      </c>
      <c r="N30" s="411">
        <v>10197</v>
      </c>
      <c r="O30" s="496">
        <v>700</v>
      </c>
      <c r="P30" s="497">
        <v>1.3700000000000003</v>
      </c>
      <c r="Q30" s="412">
        <v>1.3700000000000003</v>
      </c>
      <c r="R30" s="498">
        <v>0</v>
      </c>
      <c r="S30" s="479">
        <f t="shared" si="30"/>
        <v>0</v>
      </c>
      <c r="T30" s="486">
        <v>0</v>
      </c>
      <c r="U30" s="486">
        <v>0</v>
      </c>
      <c r="V30" s="486">
        <f t="shared" si="31"/>
        <v>0</v>
      </c>
      <c r="W30" s="486">
        <v>0</v>
      </c>
      <c r="X30" s="486">
        <v>0</v>
      </c>
      <c r="Y30" s="486">
        <f t="shared" si="32"/>
        <v>0</v>
      </c>
      <c r="Z30" s="486">
        <f t="shared" si="33"/>
        <v>0</v>
      </c>
      <c r="AA30" s="319">
        <f t="shared" si="34"/>
        <v>0</v>
      </c>
      <c r="AB30" s="178">
        <f t="shared" si="35"/>
        <v>0</v>
      </c>
      <c r="AC30" s="486">
        <v>1250</v>
      </c>
      <c r="AD30" s="486">
        <v>0</v>
      </c>
      <c r="AE30" s="486">
        <f t="shared" si="2"/>
        <v>1250</v>
      </c>
      <c r="AF30" s="486">
        <f t="shared" si="3"/>
        <v>1250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si="36"/>
        <v>0</v>
      </c>
      <c r="AM30" s="501">
        <f t="shared" si="37"/>
        <v>0</v>
      </c>
      <c r="AN30" s="529">
        <f t="shared" si="4"/>
        <v>0</v>
      </c>
      <c r="AO30" s="530">
        <f t="shared" si="38"/>
        <v>694316</v>
      </c>
      <c r="AP30" s="486">
        <f t="shared" si="39"/>
        <v>509842</v>
      </c>
      <c r="AQ30" s="480">
        <f t="shared" si="40"/>
        <v>0</v>
      </c>
      <c r="AR30" s="480">
        <f t="shared" si="41"/>
        <v>0</v>
      </c>
      <c r="AS30" s="486">
        <f t="shared" si="42"/>
        <v>172327</v>
      </c>
      <c r="AT30" s="486">
        <f t="shared" si="42"/>
        <v>10197</v>
      </c>
      <c r="AU30" s="486">
        <f t="shared" si="43"/>
        <v>1950</v>
      </c>
      <c r="AV30" s="501">
        <f t="shared" si="44"/>
        <v>1.3700000000000003</v>
      </c>
      <c r="AW30" s="501">
        <f t="shared" si="45"/>
        <v>1.3700000000000003</v>
      </c>
      <c r="AX30" s="502">
        <f t="shared" si="45"/>
        <v>0</v>
      </c>
    </row>
    <row r="31" spans="1:50" ht="12.95" customHeight="1" x14ac:dyDescent="0.25">
      <c r="A31" s="154">
        <v>6</v>
      </c>
      <c r="B31" s="526">
        <v>5444</v>
      </c>
      <c r="C31" s="527">
        <v>600099296</v>
      </c>
      <c r="D31" s="83">
        <v>854824</v>
      </c>
      <c r="E31" s="528" t="s">
        <v>384</v>
      </c>
      <c r="F31" s="83">
        <v>3122</v>
      </c>
      <c r="G31" s="528" t="s">
        <v>326</v>
      </c>
      <c r="H31" s="493" t="s">
        <v>283</v>
      </c>
      <c r="I31" s="495">
        <v>7654533</v>
      </c>
      <c r="J31" s="496">
        <v>5460552</v>
      </c>
      <c r="K31" s="496">
        <v>77992</v>
      </c>
      <c r="L31" s="496">
        <v>4440</v>
      </c>
      <c r="M31" s="411">
        <v>1870528</v>
      </c>
      <c r="N31" s="411">
        <v>109211</v>
      </c>
      <c r="O31" s="496">
        <v>136250</v>
      </c>
      <c r="P31" s="497">
        <v>9.9675000000000011</v>
      </c>
      <c r="Q31" s="412">
        <v>8.6447000000000003</v>
      </c>
      <c r="R31" s="498">
        <v>1.3228</v>
      </c>
      <c r="S31" s="479">
        <f t="shared" si="30"/>
        <v>0</v>
      </c>
      <c r="T31" s="486">
        <v>0</v>
      </c>
      <c r="U31" s="486">
        <v>0</v>
      </c>
      <c r="V31" s="486">
        <f t="shared" si="31"/>
        <v>0</v>
      </c>
      <c r="W31" s="486">
        <v>0</v>
      </c>
      <c r="X31" s="486">
        <v>0</v>
      </c>
      <c r="Y31" s="486">
        <f t="shared" si="32"/>
        <v>0</v>
      </c>
      <c r="Z31" s="486">
        <f t="shared" si="33"/>
        <v>0</v>
      </c>
      <c r="AA31" s="319">
        <f t="shared" si="34"/>
        <v>0</v>
      </c>
      <c r="AB31" s="178">
        <f t="shared" si="35"/>
        <v>0</v>
      </c>
      <c r="AC31" s="486">
        <v>0</v>
      </c>
      <c r="AD31" s="486">
        <v>0</v>
      </c>
      <c r="AE31" s="486">
        <f t="shared" si="2"/>
        <v>0</v>
      </c>
      <c r="AF31" s="486">
        <f t="shared" si="3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si="36"/>
        <v>0</v>
      </c>
      <c r="AM31" s="501">
        <f t="shared" si="37"/>
        <v>0</v>
      </c>
      <c r="AN31" s="529">
        <f t="shared" si="4"/>
        <v>0</v>
      </c>
      <c r="AO31" s="530">
        <f t="shared" si="38"/>
        <v>7654533</v>
      </c>
      <c r="AP31" s="486">
        <f t="shared" si="39"/>
        <v>5460552</v>
      </c>
      <c r="AQ31" s="480">
        <f t="shared" si="40"/>
        <v>77992</v>
      </c>
      <c r="AR31" s="480">
        <f t="shared" si="41"/>
        <v>4440</v>
      </c>
      <c r="AS31" s="486">
        <f t="shared" si="42"/>
        <v>1870528</v>
      </c>
      <c r="AT31" s="486">
        <f t="shared" si="42"/>
        <v>109211</v>
      </c>
      <c r="AU31" s="486">
        <f t="shared" si="43"/>
        <v>136250</v>
      </c>
      <c r="AV31" s="501">
        <f t="shared" si="44"/>
        <v>9.9675000000000011</v>
      </c>
      <c r="AW31" s="501">
        <f t="shared" si="45"/>
        <v>8.6447000000000003</v>
      </c>
      <c r="AX31" s="502">
        <f t="shared" si="45"/>
        <v>1.3228</v>
      </c>
    </row>
    <row r="32" spans="1:50" ht="12.95" customHeight="1" x14ac:dyDescent="0.25">
      <c r="A32" s="154">
        <v>6</v>
      </c>
      <c r="B32" s="526">
        <v>5444</v>
      </c>
      <c r="C32" s="527">
        <v>600099296</v>
      </c>
      <c r="D32" s="83">
        <v>854824</v>
      </c>
      <c r="E32" s="528" t="s">
        <v>384</v>
      </c>
      <c r="F32" s="83">
        <v>3141</v>
      </c>
      <c r="G32" s="528" t="s">
        <v>321</v>
      </c>
      <c r="H32" s="493" t="s">
        <v>284</v>
      </c>
      <c r="I32" s="495">
        <v>543418</v>
      </c>
      <c r="J32" s="496">
        <v>394340</v>
      </c>
      <c r="K32" s="496">
        <v>0</v>
      </c>
      <c r="L32" s="496">
        <v>0</v>
      </c>
      <c r="M32" s="411">
        <v>133287</v>
      </c>
      <c r="N32" s="411">
        <v>7887</v>
      </c>
      <c r="O32" s="496">
        <v>7904</v>
      </c>
      <c r="P32" s="497">
        <v>1.3399999999999999</v>
      </c>
      <c r="Q32" s="412">
        <v>0</v>
      </c>
      <c r="R32" s="498">
        <v>1.3399999999999999</v>
      </c>
      <c r="S32" s="479">
        <f t="shared" si="30"/>
        <v>0</v>
      </c>
      <c r="T32" s="486">
        <v>0</v>
      </c>
      <c r="U32" s="486">
        <v>0</v>
      </c>
      <c r="V32" s="486">
        <f t="shared" si="31"/>
        <v>0</v>
      </c>
      <c r="W32" s="486">
        <v>0</v>
      </c>
      <c r="X32" s="486">
        <v>0</v>
      </c>
      <c r="Y32" s="486">
        <f t="shared" si="32"/>
        <v>0</v>
      </c>
      <c r="Z32" s="486">
        <f t="shared" si="33"/>
        <v>0</v>
      </c>
      <c r="AA32" s="319">
        <f t="shared" si="34"/>
        <v>0</v>
      </c>
      <c r="AB32" s="178">
        <f t="shared" si="35"/>
        <v>0</v>
      </c>
      <c r="AC32" s="486">
        <v>0</v>
      </c>
      <c r="AD32" s="486">
        <v>0</v>
      </c>
      <c r="AE32" s="486">
        <f t="shared" si="2"/>
        <v>0</v>
      </c>
      <c r="AF32" s="486">
        <f t="shared" si="3"/>
        <v>0</v>
      </c>
      <c r="AG32" s="501">
        <v>0</v>
      </c>
      <c r="AH32" s="501">
        <v>0</v>
      </c>
      <c r="AI32" s="501">
        <v>0</v>
      </c>
      <c r="AJ32" s="501">
        <v>0</v>
      </c>
      <c r="AK32" s="501">
        <v>0</v>
      </c>
      <c r="AL32" s="501">
        <f t="shared" si="36"/>
        <v>0</v>
      </c>
      <c r="AM32" s="501">
        <f t="shared" si="37"/>
        <v>0</v>
      </c>
      <c r="AN32" s="529">
        <f t="shared" si="4"/>
        <v>0</v>
      </c>
      <c r="AO32" s="530">
        <f t="shared" si="38"/>
        <v>543418</v>
      </c>
      <c r="AP32" s="486">
        <f t="shared" si="39"/>
        <v>394340</v>
      </c>
      <c r="AQ32" s="480">
        <f t="shared" si="40"/>
        <v>0</v>
      </c>
      <c r="AR32" s="480">
        <f t="shared" si="41"/>
        <v>0</v>
      </c>
      <c r="AS32" s="486">
        <f t="shared" si="42"/>
        <v>133287</v>
      </c>
      <c r="AT32" s="486">
        <f t="shared" si="42"/>
        <v>7887</v>
      </c>
      <c r="AU32" s="486">
        <f t="shared" si="43"/>
        <v>7904</v>
      </c>
      <c r="AV32" s="501">
        <f t="shared" si="44"/>
        <v>1.3399999999999999</v>
      </c>
      <c r="AW32" s="501">
        <f t="shared" si="45"/>
        <v>0</v>
      </c>
      <c r="AX32" s="502">
        <f t="shared" si="45"/>
        <v>1.3399999999999999</v>
      </c>
    </row>
    <row r="33" spans="1:50" ht="12.95" customHeight="1" x14ac:dyDescent="0.25">
      <c r="A33" s="154">
        <v>6</v>
      </c>
      <c r="B33" s="526">
        <v>5444</v>
      </c>
      <c r="C33" s="527">
        <v>600099296</v>
      </c>
      <c r="D33" s="83">
        <v>854824</v>
      </c>
      <c r="E33" s="528" t="s">
        <v>384</v>
      </c>
      <c r="F33" s="83">
        <v>3143</v>
      </c>
      <c r="G33" s="528" t="s">
        <v>634</v>
      </c>
      <c r="H33" s="493" t="s">
        <v>283</v>
      </c>
      <c r="I33" s="495">
        <v>1641024</v>
      </c>
      <c r="J33" s="496">
        <v>1159149</v>
      </c>
      <c r="K33" s="496">
        <v>50000</v>
      </c>
      <c r="L33" s="496">
        <v>0</v>
      </c>
      <c r="M33" s="411">
        <v>408692</v>
      </c>
      <c r="N33" s="411">
        <v>23183</v>
      </c>
      <c r="O33" s="496">
        <v>0</v>
      </c>
      <c r="P33" s="497">
        <v>2.7932999999999999</v>
      </c>
      <c r="Q33" s="412">
        <v>2.7932999999999999</v>
      </c>
      <c r="R33" s="498">
        <v>0</v>
      </c>
      <c r="S33" s="479">
        <f t="shared" si="30"/>
        <v>0</v>
      </c>
      <c r="T33" s="486">
        <v>0</v>
      </c>
      <c r="U33" s="486">
        <v>0</v>
      </c>
      <c r="V33" s="486">
        <f t="shared" si="31"/>
        <v>0</v>
      </c>
      <c r="W33" s="486">
        <v>0</v>
      </c>
      <c r="X33" s="486">
        <v>0</v>
      </c>
      <c r="Y33" s="486">
        <f t="shared" si="32"/>
        <v>0</v>
      </c>
      <c r="Z33" s="486">
        <f t="shared" si="33"/>
        <v>0</v>
      </c>
      <c r="AA33" s="319">
        <f t="shared" si="34"/>
        <v>0</v>
      </c>
      <c r="AB33" s="178">
        <f t="shared" si="35"/>
        <v>0</v>
      </c>
      <c r="AC33" s="486">
        <v>0</v>
      </c>
      <c r="AD33" s="486">
        <v>0</v>
      </c>
      <c r="AE33" s="486">
        <f t="shared" si="2"/>
        <v>0</v>
      </c>
      <c r="AF33" s="486">
        <f t="shared" si="3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si="36"/>
        <v>0</v>
      </c>
      <c r="AM33" s="501">
        <f t="shared" si="37"/>
        <v>0</v>
      </c>
      <c r="AN33" s="529">
        <f t="shared" si="4"/>
        <v>0</v>
      </c>
      <c r="AO33" s="530">
        <f t="shared" si="38"/>
        <v>1641024</v>
      </c>
      <c r="AP33" s="486">
        <f t="shared" si="39"/>
        <v>1159149</v>
      </c>
      <c r="AQ33" s="480">
        <f t="shared" si="40"/>
        <v>50000</v>
      </c>
      <c r="AR33" s="480">
        <f t="shared" si="41"/>
        <v>0</v>
      </c>
      <c r="AS33" s="486">
        <f t="shared" si="42"/>
        <v>408692</v>
      </c>
      <c r="AT33" s="486">
        <f t="shared" si="42"/>
        <v>23183</v>
      </c>
      <c r="AU33" s="486">
        <f t="shared" si="43"/>
        <v>0</v>
      </c>
      <c r="AV33" s="501">
        <f t="shared" si="44"/>
        <v>2.7932999999999999</v>
      </c>
      <c r="AW33" s="501">
        <f t="shared" si="45"/>
        <v>2.7932999999999999</v>
      </c>
      <c r="AX33" s="502">
        <f t="shared" si="45"/>
        <v>0</v>
      </c>
    </row>
    <row r="34" spans="1:50" ht="12.95" customHeight="1" x14ac:dyDescent="0.25">
      <c r="A34" s="154">
        <v>6</v>
      </c>
      <c r="B34" s="526">
        <v>5444</v>
      </c>
      <c r="C34" s="527">
        <v>600099296</v>
      </c>
      <c r="D34" s="83">
        <v>854824</v>
      </c>
      <c r="E34" s="528" t="s">
        <v>384</v>
      </c>
      <c r="F34" s="83">
        <v>3143</v>
      </c>
      <c r="G34" s="528" t="s">
        <v>635</v>
      </c>
      <c r="H34" s="493" t="s">
        <v>284</v>
      </c>
      <c r="I34" s="495">
        <v>42533</v>
      </c>
      <c r="J34" s="496">
        <v>49700</v>
      </c>
      <c r="K34" s="496">
        <v>-20000</v>
      </c>
      <c r="L34" s="496">
        <v>0</v>
      </c>
      <c r="M34" s="411">
        <v>10039</v>
      </c>
      <c r="N34" s="411">
        <v>994</v>
      </c>
      <c r="O34" s="496">
        <v>1800</v>
      </c>
      <c r="P34" s="497">
        <v>0.13</v>
      </c>
      <c r="Q34" s="412">
        <v>0</v>
      </c>
      <c r="R34" s="498">
        <v>0.13</v>
      </c>
      <c r="S34" s="479">
        <f t="shared" si="30"/>
        <v>0</v>
      </c>
      <c r="T34" s="486">
        <v>0</v>
      </c>
      <c r="U34" s="486">
        <v>0</v>
      </c>
      <c r="V34" s="486">
        <f t="shared" si="31"/>
        <v>0</v>
      </c>
      <c r="W34" s="486">
        <v>0</v>
      </c>
      <c r="X34" s="486">
        <v>0</v>
      </c>
      <c r="Y34" s="486">
        <f t="shared" si="32"/>
        <v>0</v>
      </c>
      <c r="Z34" s="486">
        <f t="shared" si="33"/>
        <v>0</v>
      </c>
      <c r="AA34" s="319">
        <f t="shared" si="34"/>
        <v>0</v>
      </c>
      <c r="AB34" s="178">
        <f t="shared" si="35"/>
        <v>0</v>
      </c>
      <c r="AC34" s="486">
        <v>0</v>
      </c>
      <c r="AD34" s="486">
        <v>0</v>
      </c>
      <c r="AE34" s="486">
        <f t="shared" si="2"/>
        <v>0</v>
      </c>
      <c r="AF34" s="486">
        <f t="shared" si="3"/>
        <v>0</v>
      </c>
      <c r="AG34" s="501">
        <v>0</v>
      </c>
      <c r="AH34" s="501">
        <v>0</v>
      </c>
      <c r="AI34" s="501">
        <v>0</v>
      </c>
      <c r="AJ34" s="501">
        <v>0</v>
      </c>
      <c r="AK34" s="501">
        <v>0</v>
      </c>
      <c r="AL34" s="501">
        <f t="shared" si="36"/>
        <v>0</v>
      </c>
      <c r="AM34" s="501">
        <f t="shared" si="37"/>
        <v>0</v>
      </c>
      <c r="AN34" s="529">
        <f t="shared" si="4"/>
        <v>0</v>
      </c>
      <c r="AO34" s="530">
        <f t="shared" si="38"/>
        <v>42533</v>
      </c>
      <c r="AP34" s="486">
        <f t="shared" si="39"/>
        <v>49700</v>
      </c>
      <c r="AQ34" s="480">
        <f t="shared" si="40"/>
        <v>-20000</v>
      </c>
      <c r="AR34" s="480">
        <f t="shared" si="41"/>
        <v>0</v>
      </c>
      <c r="AS34" s="486">
        <f t="shared" si="42"/>
        <v>10039</v>
      </c>
      <c r="AT34" s="486">
        <f t="shared" si="42"/>
        <v>994</v>
      </c>
      <c r="AU34" s="486">
        <f t="shared" si="43"/>
        <v>1800</v>
      </c>
      <c r="AV34" s="501">
        <f t="shared" si="44"/>
        <v>0.13</v>
      </c>
      <c r="AW34" s="501">
        <f t="shared" si="45"/>
        <v>0</v>
      </c>
      <c r="AX34" s="502">
        <f t="shared" si="45"/>
        <v>0.13</v>
      </c>
    </row>
    <row r="35" spans="1:50" ht="12.95" customHeight="1" x14ac:dyDescent="0.25">
      <c r="A35" s="156">
        <v>6</v>
      </c>
      <c r="B35" s="104">
        <v>5444</v>
      </c>
      <c r="C35" s="105">
        <v>600099296</v>
      </c>
      <c r="D35" s="104">
        <v>854824</v>
      </c>
      <c r="E35" s="298" t="s">
        <v>385</v>
      </c>
      <c r="F35" s="92"/>
      <c r="G35" s="299"/>
      <c r="H35" s="93"/>
      <c r="I35" s="294">
        <v>27415155</v>
      </c>
      <c r="J35" s="106">
        <v>19424062</v>
      </c>
      <c r="K35" s="106">
        <v>255328</v>
      </c>
      <c r="L35" s="106">
        <v>40848</v>
      </c>
      <c r="M35" s="106">
        <v>6637829</v>
      </c>
      <c r="N35" s="106">
        <v>388482</v>
      </c>
      <c r="O35" s="106">
        <v>709454</v>
      </c>
      <c r="P35" s="157">
        <v>38.361500000000014</v>
      </c>
      <c r="Q35" s="157">
        <v>29.460699999999999</v>
      </c>
      <c r="R35" s="296">
        <v>8.9008000000000003</v>
      </c>
      <c r="S35" s="149">
        <f t="shared" ref="S35:AN35" si="46">SUM(S29:S34)</f>
        <v>0</v>
      </c>
      <c r="T35" s="106">
        <f t="shared" si="46"/>
        <v>0</v>
      </c>
      <c r="U35" s="106">
        <f t="shared" si="46"/>
        <v>0</v>
      </c>
      <c r="V35" s="106">
        <f t="shared" si="46"/>
        <v>0</v>
      </c>
      <c r="W35" s="106">
        <f t="shared" si="46"/>
        <v>0</v>
      </c>
      <c r="X35" s="106">
        <f t="shared" si="46"/>
        <v>0</v>
      </c>
      <c r="Y35" s="106">
        <f t="shared" si="46"/>
        <v>0</v>
      </c>
      <c r="Z35" s="106">
        <f t="shared" si="46"/>
        <v>0</v>
      </c>
      <c r="AA35" s="106">
        <f t="shared" si="46"/>
        <v>0</v>
      </c>
      <c r="AB35" s="106">
        <f t="shared" si="46"/>
        <v>0</v>
      </c>
      <c r="AC35" s="106">
        <f t="shared" si="46"/>
        <v>1250</v>
      </c>
      <c r="AD35" s="106">
        <f t="shared" si="46"/>
        <v>0</v>
      </c>
      <c r="AE35" s="106">
        <f t="shared" si="46"/>
        <v>1250</v>
      </c>
      <c r="AF35" s="106">
        <f t="shared" si="46"/>
        <v>1250</v>
      </c>
      <c r="AG35" s="157">
        <f t="shared" si="46"/>
        <v>0</v>
      </c>
      <c r="AH35" s="157">
        <f t="shared" si="46"/>
        <v>0</v>
      </c>
      <c r="AI35" s="157">
        <f t="shared" si="46"/>
        <v>0</v>
      </c>
      <c r="AJ35" s="157">
        <f t="shared" si="46"/>
        <v>0</v>
      </c>
      <c r="AK35" s="157">
        <f t="shared" si="46"/>
        <v>0</v>
      </c>
      <c r="AL35" s="157">
        <f t="shared" si="46"/>
        <v>0</v>
      </c>
      <c r="AM35" s="157">
        <f t="shared" si="46"/>
        <v>0</v>
      </c>
      <c r="AN35" s="409">
        <f t="shared" si="46"/>
        <v>0</v>
      </c>
      <c r="AO35" s="294">
        <f t="shared" ref="AO35:AX35" si="47">SUM(AO29:AO34)</f>
        <v>27416405</v>
      </c>
      <c r="AP35" s="106">
        <f t="shared" si="47"/>
        <v>19424062</v>
      </c>
      <c r="AQ35" s="106">
        <f t="shared" si="47"/>
        <v>255328</v>
      </c>
      <c r="AR35" s="106">
        <f t="shared" si="47"/>
        <v>40848</v>
      </c>
      <c r="AS35" s="106">
        <f t="shared" si="47"/>
        <v>6637829</v>
      </c>
      <c r="AT35" s="106">
        <f t="shared" si="47"/>
        <v>388482</v>
      </c>
      <c r="AU35" s="106">
        <f t="shared" si="47"/>
        <v>710704</v>
      </c>
      <c r="AV35" s="157">
        <f t="shared" si="47"/>
        <v>38.361500000000014</v>
      </c>
      <c r="AW35" s="157">
        <f t="shared" si="47"/>
        <v>29.460699999999999</v>
      </c>
      <c r="AX35" s="296">
        <f t="shared" si="47"/>
        <v>8.9008000000000003</v>
      </c>
    </row>
    <row r="36" spans="1:50" ht="12.95" customHeight="1" x14ac:dyDescent="0.25">
      <c r="A36" s="154">
        <v>7</v>
      </c>
      <c r="B36" s="526">
        <v>5449</v>
      </c>
      <c r="C36" s="527">
        <v>600099458</v>
      </c>
      <c r="D36" s="83">
        <v>70188408</v>
      </c>
      <c r="E36" s="528" t="s">
        <v>386</v>
      </c>
      <c r="F36" s="83">
        <v>3114</v>
      </c>
      <c r="G36" s="531" t="s">
        <v>564</v>
      </c>
      <c r="H36" s="493" t="s">
        <v>283</v>
      </c>
      <c r="I36" s="495">
        <v>7450492</v>
      </c>
      <c r="J36" s="496">
        <v>5377215</v>
      </c>
      <c r="K36" s="496">
        <v>38180</v>
      </c>
      <c r="L36" s="496">
        <v>5180</v>
      </c>
      <c r="M36" s="411">
        <v>1828652</v>
      </c>
      <c r="N36" s="411">
        <v>107545</v>
      </c>
      <c r="O36" s="496">
        <v>98900</v>
      </c>
      <c r="P36" s="497">
        <v>8.7377000000000002</v>
      </c>
      <c r="Q36" s="412">
        <v>6</v>
      </c>
      <c r="R36" s="498">
        <v>2.7376999999999998</v>
      </c>
      <c r="S36" s="479">
        <f t="shared" ref="S36:S40" si="48">W36*-1</f>
        <v>0</v>
      </c>
      <c r="T36" s="486">
        <v>0</v>
      </c>
      <c r="U36" s="486">
        <v>-13991</v>
      </c>
      <c r="V36" s="486">
        <f>SUM(S36:U36)</f>
        <v>-13991</v>
      </c>
      <c r="W36" s="486">
        <v>0</v>
      </c>
      <c r="X36" s="486">
        <v>0</v>
      </c>
      <c r="Y36" s="486">
        <f>SUM(W36:X36)</f>
        <v>0</v>
      </c>
      <c r="Z36" s="486">
        <f>V36+Y36</f>
        <v>-13991</v>
      </c>
      <c r="AA36" s="319">
        <f>ROUND((V36+W36)*33.8%,0)</f>
        <v>-4729</v>
      </c>
      <c r="AB36" s="178">
        <f>ROUND(V36*2%,0)</f>
        <v>-280</v>
      </c>
      <c r="AC36" s="486">
        <v>0</v>
      </c>
      <c r="AD36" s="486">
        <v>19000</v>
      </c>
      <c r="AE36" s="486">
        <f t="shared" si="2"/>
        <v>19000</v>
      </c>
      <c r="AF36" s="486">
        <f t="shared" si="3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ref="AL36:AL40" si="49">AG36+AI36+AJ36</f>
        <v>0</v>
      </c>
      <c r="AM36" s="501">
        <f t="shared" ref="AM36:AM40" si="50">AH36+AK36</f>
        <v>0</v>
      </c>
      <c r="AN36" s="529">
        <f t="shared" si="4"/>
        <v>0</v>
      </c>
      <c r="AO36" s="530">
        <f>I36+AF36</f>
        <v>7450492</v>
      </c>
      <c r="AP36" s="486">
        <f>J36+V36</f>
        <v>5363224</v>
      </c>
      <c r="AQ36" s="480">
        <f>K36+Y36</f>
        <v>38180</v>
      </c>
      <c r="AR36" s="480">
        <f>L36</f>
        <v>5180</v>
      </c>
      <c r="AS36" s="486">
        <f t="shared" ref="AS36:AT40" si="51">M36+AA36</f>
        <v>1823923</v>
      </c>
      <c r="AT36" s="486">
        <f t="shared" si="51"/>
        <v>107265</v>
      </c>
      <c r="AU36" s="486">
        <f>O36+AE36</f>
        <v>117900</v>
      </c>
      <c r="AV36" s="501">
        <f>P36+AN36</f>
        <v>8.7377000000000002</v>
      </c>
      <c r="AW36" s="501">
        <f t="shared" ref="AW36:AX40" si="52">Q36+AL36</f>
        <v>6</v>
      </c>
      <c r="AX36" s="502">
        <f t="shared" si="52"/>
        <v>2.7376999999999998</v>
      </c>
    </row>
    <row r="37" spans="1:50" ht="12.95" customHeight="1" x14ac:dyDescent="0.25">
      <c r="A37" s="154">
        <v>7</v>
      </c>
      <c r="B37" s="526">
        <v>5449</v>
      </c>
      <c r="C37" s="527">
        <v>600099458</v>
      </c>
      <c r="D37" s="83">
        <v>70188408</v>
      </c>
      <c r="E37" s="528" t="s">
        <v>386</v>
      </c>
      <c r="F37" s="83">
        <v>3114</v>
      </c>
      <c r="G37" s="531" t="s">
        <v>319</v>
      </c>
      <c r="H37" s="493" t="s">
        <v>283</v>
      </c>
      <c r="I37" s="495">
        <v>1351424</v>
      </c>
      <c r="J37" s="496">
        <v>995158</v>
      </c>
      <c r="K37" s="496">
        <v>0</v>
      </c>
      <c r="L37" s="496">
        <v>0</v>
      </c>
      <c r="M37" s="411">
        <v>336363</v>
      </c>
      <c r="N37" s="411">
        <v>19903</v>
      </c>
      <c r="O37" s="496">
        <v>0</v>
      </c>
      <c r="P37" s="497">
        <v>2.5383</v>
      </c>
      <c r="Q37" s="412">
        <v>2.5383</v>
      </c>
      <c r="R37" s="498">
        <v>0</v>
      </c>
      <c r="S37" s="479">
        <f t="shared" si="48"/>
        <v>0</v>
      </c>
      <c r="T37" s="486">
        <v>0</v>
      </c>
      <c r="U37" s="486">
        <v>0</v>
      </c>
      <c r="V37" s="486">
        <f>SUM(S37:U37)</f>
        <v>0</v>
      </c>
      <c r="W37" s="486">
        <v>0</v>
      </c>
      <c r="X37" s="486">
        <v>0</v>
      </c>
      <c r="Y37" s="486">
        <f>SUM(W37:X37)</f>
        <v>0</v>
      </c>
      <c r="Z37" s="486">
        <f>V37+Y37</f>
        <v>0</v>
      </c>
      <c r="AA37" s="319">
        <f>ROUND((V37+W37)*33.8%,0)</f>
        <v>0</v>
      </c>
      <c r="AB37" s="178">
        <f>ROUND(V37*2%,0)</f>
        <v>0</v>
      </c>
      <c r="AC37" s="486">
        <v>0</v>
      </c>
      <c r="AD37" s="486">
        <v>0</v>
      </c>
      <c r="AE37" s="486">
        <f t="shared" si="2"/>
        <v>0</v>
      </c>
      <c r="AF37" s="486">
        <f t="shared" si="3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si="49"/>
        <v>0</v>
      </c>
      <c r="AM37" s="501">
        <f t="shared" si="50"/>
        <v>0</v>
      </c>
      <c r="AN37" s="529">
        <f t="shared" si="4"/>
        <v>0</v>
      </c>
      <c r="AO37" s="530">
        <f>I37+AF37</f>
        <v>1351424</v>
      </c>
      <c r="AP37" s="486">
        <f>J37+V37</f>
        <v>995158</v>
      </c>
      <c r="AQ37" s="480">
        <f>K37+Y37</f>
        <v>0</v>
      </c>
      <c r="AR37" s="480">
        <f>L37</f>
        <v>0</v>
      </c>
      <c r="AS37" s="486">
        <f t="shared" si="51"/>
        <v>336363</v>
      </c>
      <c r="AT37" s="486">
        <f t="shared" si="51"/>
        <v>19903</v>
      </c>
      <c r="AU37" s="486">
        <f>O37+AE37</f>
        <v>0</v>
      </c>
      <c r="AV37" s="501">
        <f>P37+AN37</f>
        <v>2.5383</v>
      </c>
      <c r="AW37" s="501">
        <f t="shared" si="52"/>
        <v>2.5383</v>
      </c>
      <c r="AX37" s="502">
        <f t="shared" si="52"/>
        <v>0</v>
      </c>
    </row>
    <row r="38" spans="1:50" ht="12.95" customHeight="1" x14ac:dyDescent="0.25">
      <c r="A38" s="154">
        <v>7</v>
      </c>
      <c r="B38" s="526">
        <v>5449</v>
      </c>
      <c r="C38" s="527">
        <v>600099458</v>
      </c>
      <c r="D38" s="83">
        <v>70188408</v>
      </c>
      <c r="E38" s="528" t="s">
        <v>386</v>
      </c>
      <c r="F38" s="83">
        <v>3143</v>
      </c>
      <c r="G38" s="528" t="s">
        <v>634</v>
      </c>
      <c r="H38" s="493" t="s">
        <v>283</v>
      </c>
      <c r="I38" s="495">
        <v>413016</v>
      </c>
      <c r="J38" s="496">
        <v>304135</v>
      </c>
      <c r="K38" s="496">
        <v>0</v>
      </c>
      <c r="L38" s="496">
        <v>0</v>
      </c>
      <c r="M38" s="411">
        <v>102798</v>
      </c>
      <c r="N38" s="411">
        <v>6083</v>
      </c>
      <c r="O38" s="496">
        <v>0</v>
      </c>
      <c r="P38" s="497">
        <v>0.66669999999999996</v>
      </c>
      <c r="Q38" s="412">
        <v>0.66669999999999996</v>
      </c>
      <c r="R38" s="498">
        <v>0</v>
      </c>
      <c r="S38" s="479">
        <f t="shared" si="48"/>
        <v>0</v>
      </c>
      <c r="T38" s="486">
        <v>0</v>
      </c>
      <c r="U38" s="486">
        <v>0</v>
      </c>
      <c r="V38" s="486">
        <f>SUM(S38:U38)</f>
        <v>0</v>
      </c>
      <c r="W38" s="486">
        <v>0</v>
      </c>
      <c r="X38" s="486">
        <v>0</v>
      </c>
      <c r="Y38" s="486">
        <f>SUM(W38:X38)</f>
        <v>0</v>
      </c>
      <c r="Z38" s="486">
        <f>V38+Y38</f>
        <v>0</v>
      </c>
      <c r="AA38" s="319">
        <f>ROUND((V38+W38)*33.8%,0)</f>
        <v>0</v>
      </c>
      <c r="AB38" s="178">
        <f>ROUND(V38*2%,0)</f>
        <v>0</v>
      </c>
      <c r="AC38" s="486">
        <v>0</v>
      </c>
      <c r="AD38" s="486">
        <v>0</v>
      </c>
      <c r="AE38" s="486">
        <f t="shared" si="2"/>
        <v>0</v>
      </c>
      <c r="AF38" s="486">
        <f t="shared" si="3"/>
        <v>0</v>
      </c>
      <c r="AG38" s="501">
        <v>0</v>
      </c>
      <c r="AH38" s="501">
        <v>0</v>
      </c>
      <c r="AI38" s="501">
        <v>0</v>
      </c>
      <c r="AJ38" s="501">
        <v>0</v>
      </c>
      <c r="AK38" s="501">
        <v>0</v>
      </c>
      <c r="AL38" s="501">
        <f t="shared" si="49"/>
        <v>0</v>
      </c>
      <c r="AM38" s="501">
        <f t="shared" si="50"/>
        <v>0</v>
      </c>
      <c r="AN38" s="529">
        <f t="shared" si="4"/>
        <v>0</v>
      </c>
      <c r="AO38" s="530">
        <f>I38+AF38</f>
        <v>413016</v>
      </c>
      <c r="AP38" s="486">
        <f>J38+V38</f>
        <v>304135</v>
      </c>
      <c r="AQ38" s="480">
        <f>K38+Y38</f>
        <v>0</v>
      </c>
      <c r="AR38" s="480">
        <f>L38</f>
        <v>0</v>
      </c>
      <c r="AS38" s="486">
        <f t="shared" si="51"/>
        <v>102798</v>
      </c>
      <c r="AT38" s="486">
        <f t="shared" si="51"/>
        <v>6083</v>
      </c>
      <c r="AU38" s="486">
        <f>O38+AE38</f>
        <v>0</v>
      </c>
      <c r="AV38" s="501">
        <f>P38+AN38</f>
        <v>0.66669999999999996</v>
      </c>
      <c r="AW38" s="501">
        <f t="shared" si="52"/>
        <v>0.66669999999999996</v>
      </c>
      <c r="AX38" s="502">
        <f t="shared" si="52"/>
        <v>0</v>
      </c>
    </row>
    <row r="39" spans="1:50" ht="12.95" customHeight="1" x14ac:dyDescent="0.25">
      <c r="A39" s="154">
        <v>7</v>
      </c>
      <c r="B39" s="526">
        <v>5449</v>
      </c>
      <c r="C39" s="527">
        <v>600099458</v>
      </c>
      <c r="D39" s="83">
        <v>70188408</v>
      </c>
      <c r="E39" s="528" t="s">
        <v>386</v>
      </c>
      <c r="F39" s="83">
        <v>3143</v>
      </c>
      <c r="G39" s="528" t="s">
        <v>810</v>
      </c>
      <c r="H39" s="493" t="s">
        <v>283</v>
      </c>
      <c r="I39" s="495">
        <v>182734</v>
      </c>
      <c r="J39" s="496">
        <v>134561</v>
      </c>
      <c r="K39" s="496">
        <v>0</v>
      </c>
      <c r="L39" s="496">
        <v>0</v>
      </c>
      <c r="M39" s="411">
        <v>45482</v>
      </c>
      <c r="N39" s="411">
        <v>2691</v>
      </c>
      <c r="O39" s="496">
        <v>0</v>
      </c>
      <c r="P39" s="497">
        <v>0.41670000000000001</v>
      </c>
      <c r="Q39" s="412">
        <v>0.41670000000000001</v>
      </c>
      <c r="R39" s="498">
        <v>0</v>
      </c>
      <c r="S39" s="479">
        <f t="shared" si="48"/>
        <v>0</v>
      </c>
      <c r="T39" s="486">
        <v>0</v>
      </c>
      <c r="U39" s="486">
        <v>0</v>
      </c>
      <c r="V39" s="486">
        <f>SUM(S39:U39)</f>
        <v>0</v>
      </c>
      <c r="W39" s="486">
        <v>0</v>
      </c>
      <c r="X39" s="486">
        <v>0</v>
      </c>
      <c r="Y39" s="486">
        <f>SUM(W39:X39)</f>
        <v>0</v>
      </c>
      <c r="Z39" s="486">
        <f>V39+Y39</f>
        <v>0</v>
      </c>
      <c r="AA39" s="319">
        <f>ROUND((V39+W39)*33.8%,0)</f>
        <v>0</v>
      </c>
      <c r="AB39" s="178">
        <f>ROUND(V39*2%,0)</f>
        <v>0</v>
      </c>
      <c r="AC39" s="486">
        <v>0</v>
      </c>
      <c r="AD39" s="486">
        <v>0</v>
      </c>
      <c r="AE39" s="486">
        <f t="shared" si="2"/>
        <v>0</v>
      </c>
      <c r="AF39" s="486">
        <f t="shared" si="3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si="49"/>
        <v>0</v>
      </c>
      <c r="AM39" s="501">
        <f t="shared" si="50"/>
        <v>0</v>
      </c>
      <c r="AN39" s="529">
        <f t="shared" si="4"/>
        <v>0</v>
      </c>
      <c r="AO39" s="530">
        <f>I39+AF39</f>
        <v>182734</v>
      </c>
      <c r="AP39" s="486">
        <f>J39+V39</f>
        <v>134561</v>
      </c>
      <c r="AQ39" s="480">
        <f>K39+Y39</f>
        <v>0</v>
      </c>
      <c r="AR39" s="480">
        <f>L39</f>
        <v>0</v>
      </c>
      <c r="AS39" s="486">
        <f t="shared" si="51"/>
        <v>45482</v>
      </c>
      <c r="AT39" s="486">
        <f t="shared" si="51"/>
        <v>2691</v>
      </c>
      <c r="AU39" s="486">
        <f>O39+AE39</f>
        <v>0</v>
      </c>
      <c r="AV39" s="501">
        <f>P39+AN39</f>
        <v>0.41670000000000001</v>
      </c>
      <c r="AW39" s="501">
        <f t="shared" si="52"/>
        <v>0.41670000000000001</v>
      </c>
      <c r="AX39" s="502">
        <f t="shared" si="52"/>
        <v>0</v>
      </c>
    </row>
    <row r="40" spans="1:50" ht="12.95" customHeight="1" x14ac:dyDescent="0.25">
      <c r="A40" s="154">
        <v>7</v>
      </c>
      <c r="B40" s="526">
        <v>5449</v>
      </c>
      <c r="C40" s="527">
        <v>600099458</v>
      </c>
      <c r="D40" s="83">
        <v>70188408</v>
      </c>
      <c r="E40" s="528" t="s">
        <v>386</v>
      </c>
      <c r="F40" s="83">
        <v>3143</v>
      </c>
      <c r="G40" s="528" t="s">
        <v>635</v>
      </c>
      <c r="H40" s="493" t="s">
        <v>284</v>
      </c>
      <c r="I40" s="495">
        <v>2809</v>
      </c>
      <c r="J40" s="496">
        <v>1980</v>
      </c>
      <c r="K40" s="496">
        <v>0</v>
      </c>
      <c r="L40" s="496">
        <v>0</v>
      </c>
      <c r="M40" s="411">
        <v>669</v>
      </c>
      <c r="N40" s="411">
        <v>40</v>
      </c>
      <c r="O40" s="496">
        <v>120</v>
      </c>
      <c r="P40" s="497">
        <v>0.01</v>
      </c>
      <c r="Q40" s="412">
        <v>0</v>
      </c>
      <c r="R40" s="498">
        <v>0.01</v>
      </c>
      <c r="S40" s="479">
        <f t="shared" si="48"/>
        <v>0</v>
      </c>
      <c r="T40" s="486">
        <v>0</v>
      </c>
      <c r="U40" s="486">
        <v>0</v>
      </c>
      <c r="V40" s="486">
        <f>SUM(S40:U40)</f>
        <v>0</v>
      </c>
      <c r="W40" s="486">
        <v>0</v>
      </c>
      <c r="X40" s="486">
        <v>0</v>
      </c>
      <c r="Y40" s="486">
        <f>SUM(W40:X40)</f>
        <v>0</v>
      </c>
      <c r="Z40" s="486">
        <f>V40+Y40</f>
        <v>0</v>
      </c>
      <c r="AA40" s="319">
        <f>ROUND((V40+W40)*33.8%,0)</f>
        <v>0</v>
      </c>
      <c r="AB40" s="178">
        <f>ROUND(V40*2%,0)</f>
        <v>0</v>
      </c>
      <c r="AC40" s="486">
        <v>0</v>
      </c>
      <c r="AD40" s="486">
        <v>0</v>
      </c>
      <c r="AE40" s="486">
        <f t="shared" si="2"/>
        <v>0</v>
      </c>
      <c r="AF40" s="486">
        <f t="shared" si="3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49"/>
        <v>0</v>
      </c>
      <c r="AM40" s="501">
        <f t="shared" si="50"/>
        <v>0</v>
      </c>
      <c r="AN40" s="529">
        <f t="shared" si="4"/>
        <v>0</v>
      </c>
      <c r="AO40" s="530">
        <f>I40+AF40</f>
        <v>2809</v>
      </c>
      <c r="AP40" s="486">
        <f>J40+V40</f>
        <v>1980</v>
      </c>
      <c r="AQ40" s="480">
        <f>K40+Y40</f>
        <v>0</v>
      </c>
      <c r="AR40" s="480">
        <f>L40</f>
        <v>0</v>
      </c>
      <c r="AS40" s="486">
        <f t="shared" si="51"/>
        <v>669</v>
      </c>
      <c r="AT40" s="486">
        <f t="shared" si="51"/>
        <v>40</v>
      </c>
      <c r="AU40" s="486">
        <f>O40+AE40</f>
        <v>120</v>
      </c>
      <c r="AV40" s="501">
        <f>P40+AN40</f>
        <v>0.01</v>
      </c>
      <c r="AW40" s="501">
        <f t="shared" si="52"/>
        <v>0</v>
      </c>
      <c r="AX40" s="502">
        <f t="shared" si="52"/>
        <v>0.01</v>
      </c>
    </row>
    <row r="41" spans="1:50" ht="12.95" customHeight="1" x14ac:dyDescent="0.25">
      <c r="A41" s="156">
        <v>7</v>
      </c>
      <c r="B41" s="104">
        <v>5449</v>
      </c>
      <c r="C41" s="105">
        <v>600099458</v>
      </c>
      <c r="D41" s="104">
        <v>70188408</v>
      </c>
      <c r="E41" s="298" t="s">
        <v>387</v>
      </c>
      <c r="F41" s="92"/>
      <c r="G41" s="299"/>
      <c r="H41" s="93"/>
      <c r="I41" s="294">
        <v>9400475</v>
      </c>
      <c r="J41" s="106">
        <v>6813049</v>
      </c>
      <c r="K41" s="106">
        <v>38180</v>
      </c>
      <c r="L41" s="106">
        <v>5180</v>
      </c>
      <c r="M41" s="106">
        <v>2313964</v>
      </c>
      <c r="N41" s="106">
        <v>136262</v>
      </c>
      <c r="O41" s="106">
        <v>99020</v>
      </c>
      <c r="P41" s="157">
        <v>12.369400000000001</v>
      </c>
      <c r="Q41" s="157">
        <v>9.6217000000000006</v>
      </c>
      <c r="R41" s="296">
        <v>2.7476999999999996</v>
      </c>
      <c r="S41" s="149">
        <f t="shared" ref="S41:AN41" si="53">SUM(S36:S40)</f>
        <v>0</v>
      </c>
      <c r="T41" s="106">
        <f t="shared" si="53"/>
        <v>0</v>
      </c>
      <c r="U41" s="106">
        <f t="shared" si="53"/>
        <v>-13991</v>
      </c>
      <c r="V41" s="106">
        <f t="shared" si="53"/>
        <v>-13991</v>
      </c>
      <c r="W41" s="106">
        <f t="shared" si="53"/>
        <v>0</v>
      </c>
      <c r="X41" s="106">
        <f t="shared" si="53"/>
        <v>0</v>
      </c>
      <c r="Y41" s="106">
        <f t="shared" si="53"/>
        <v>0</v>
      </c>
      <c r="Z41" s="106">
        <f t="shared" si="53"/>
        <v>-13991</v>
      </c>
      <c r="AA41" s="106">
        <f t="shared" si="53"/>
        <v>-4729</v>
      </c>
      <c r="AB41" s="106">
        <f t="shared" si="53"/>
        <v>-280</v>
      </c>
      <c r="AC41" s="106">
        <f t="shared" si="53"/>
        <v>0</v>
      </c>
      <c r="AD41" s="106">
        <f t="shared" si="53"/>
        <v>19000</v>
      </c>
      <c r="AE41" s="106">
        <f t="shared" si="53"/>
        <v>19000</v>
      </c>
      <c r="AF41" s="106">
        <f t="shared" si="53"/>
        <v>0</v>
      </c>
      <c r="AG41" s="157">
        <f t="shared" si="53"/>
        <v>0</v>
      </c>
      <c r="AH41" s="157">
        <f t="shared" si="53"/>
        <v>0</v>
      </c>
      <c r="AI41" s="157">
        <f t="shared" si="53"/>
        <v>0</v>
      </c>
      <c r="AJ41" s="157">
        <f t="shared" si="53"/>
        <v>0</v>
      </c>
      <c r="AK41" s="157">
        <f t="shared" si="53"/>
        <v>0</v>
      </c>
      <c r="AL41" s="157">
        <f t="shared" si="53"/>
        <v>0</v>
      </c>
      <c r="AM41" s="157">
        <f t="shared" si="53"/>
        <v>0</v>
      </c>
      <c r="AN41" s="409">
        <f t="shared" si="53"/>
        <v>0</v>
      </c>
      <c r="AO41" s="294">
        <f t="shared" ref="AO41:AX41" si="54">SUM(AO36:AO40)</f>
        <v>9400475</v>
      </c>
      <c r="AP41" s="106">
        <f t="shared" si="54"/>
        <v>6799058</v>
      </c>
      <c r="AQ41" s="106">
        <f t="shared" si="54"/>
        <v>38180</v>
      </c>
      <c r="AR41" s="106">
        <f t="shared" si="54"/>
        <v>5180</v>
      </c>
      <c r="AS41" s="106">
        <f t="shared" si="54"/>
        <v>2309235</v>
      </c>
      <c r="AT41" s="106">
        <f t="shared" si="54"/>
        <v>135982</v>
      </c>
      <c r="AU41" s="106">
        <f t="shared" si="54"/>
        <v>118020</v>
      </c>
      <c r="AV41" s="157">
        <f t="shared" si="54"/>
        <v>12.369400000000001</v>
      </c>
      <c r="AW41" s="157">
        <f t="shared" si="54"/>
        <v>9.6217000000000006</v>
      </c>
      <c r="AX41" s="296">
        <f t="shared" si="54"/>
        <v>2.7476999999999996</v>
      </c>
    </row>
    <row r="42" spans="1:50" ht="12.95" customHeight="1" x14ac:dyDescent="0.25">
      <c r="A42" s="154">
        <v>8</v>
      </c>
      <c r="B42" s="526">
        <v>5443</v>
      </c>
      <c r="C42" s="527">
        <v>600099237</v>
      </c>
      <c r="D42" s="83">
        <v>854841</v>
      </c>
      <c r="E42" s="528" t="s">
        <v>388</v>
      </c>
      <c r="F42" s="83">
        <v>3113</v>
      </c>
      <c r="G42" s="528" t="s">
        <v>335</v>
      </c>
      <c r="H42" s="493" t="s">
        <v>283</v>
      </c>
      <c r="I42" s="495">
        <v>24546342</v>
      </c>
      <c r="J42" s="496">
        <v>17256580</v>
      </c>
      <c r="K42" s="496">
        <v>260296</v>
      </c>
      <c r="L42" s="496">
        <v>215296</v>
      </c>
      <c r="M42" s="411">
        <v>5847934</v>
      </c>
      <c r="N42" s="411">
        <v>345132</v>
      </c>
      <c r="O42" s="496">
        <v>836400</v>
      </c>
      <c r="P42" s="497">
        <v>32.979300000000002</v>
      </c>
      <c r="Q42" s="412">
        <v>25.456700000000001</v>
      </c>
      <c r="R42" s="498">
        <v>7.5226000000000006</v>
      </c>
      <c r="S42" s="479">
        <f t="shared" ref="S42:S46" si="55">W42*-1</f>
        <v>-30000</v>
      </c>
      <c r="T42" s="486">
        <v>0</v>
      </c>
      <c r="U42" s="486">
        <v>14727</v>
      </c>
      <c r="V42" s="486">
        <f>SUM(S42:U42)</f>
        <v>-15273</v>
      </c>
      <c r="W42" s="486">
        <v>30000</v>
      </c>
      <c r="X42" s="486">
        <v>0</v>
      </c>
      <c r="Y42" s="486">
        <f>SUM(W42:X42)</f>
        <v>30000</v>
      </c>
      <c r="Z42" s="486">
        <f>V42+Y42</f>
        <v>14727</v>
      </c>
      <c r="AA42" s="319">
        <f>ROUND((V42+W42)*33.8%,0)</f>
        <v>4978</v>
      </c>
      <c r="AB42" s="178">
        <f>ROUND(V42*2%,0)</f>
        <v>-305</v>
      </c>
      <c r="AC42" s="486">
        <v>0</v>
      </c>
      <c r="AD42" s="486">
        <v>-20000</v>
      </c>
      <c r="AE42" s="486">
        <f t="shared" si="2"/>
        <v>-20000</v>
      </c>
      <c r="AF42" s="486">
        <f t="shared" si="3"/>
        <v>-600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ref="AL42:AL46" si="56">AG42+AI42+AJ42</f>
        <v>0</v>
      </c>
      <c r="AM42" s="501">
        <f t="shared" ref="AM42:AM46" si="57">AH42+AK42</f>
        <v>0</v>
      </c>
      <c r="AN42" s="529">
        <f t="shared" si="4"/>
        <v>0</v>
      </c>
      <c r="AO42" s="530">
        <f>I42+AF42</f>
        <v>24545742</v>
      </c>
      <c r="AP42" s="486">
        <f>J42+V42</f>
        <v>17241307</v>
      </c>
      <c r="AQ42" s="480">
        <f>K42+Y42</f>
        <v>290296</v>
      </c>
      <c r="AR42" s="480">
        <f>L42</f>
        <v>215296</v>
      </c>
      <c r="AS42" s="486">
        <f t="shared" ref="AS42:AT46" si="58">M42+AA42</f>
        <v>5852912</v>
      </c>
      <c r="AT42" s="486">
        <f t="shared" si="58"/>
        <v>344827</v>
      </c>
      <c r="AU42" s="486">
        <f>O42+AE42</f>
        <v>816400</v>
      </c>
      <c r="AV42" s="501">
        <f>P42+AN42</f>
        <v>32.979300000000002</v>
      </c>
      <c r="AW42" s="501">
        <f t="shared" ref="AW42:AX46" si="59">Q42+AL42</f>
        <v>25.456700000000001</v>
      </c>
      <c r="AX42" s="502">
        <f t="shared" si="59"/>
        <v>7.5226000000000006</v>
      </c>
    </row>
    <row r="43" spans="1:50" ht="12.95" customHeight="1" x14ac:dyDescent="0.25">
      <c r="A43" s="154">
        <v>8</v>
      </c>
      <c r="B43" s="526">
        <v>5443</v>
      </c>
      <c r="C43" s="527">
        <v>600099237</v>
      </c>
      <c r="D43" s="83">
        <v>854841</v>
      </c>
      <c r="E43" s="528" t="s">
        <v>388</v>
      </c>
      <c r="F43" s="83">
        <v>3113</v>
      </c>
      <c r="G43" s="528" t="s">
        <v>325</v>
      </c>
      <c r="H43" s="493" t="s">
        <v>284</v>
      </c>
      <c r="I43" s="495">
        <v>1845716</v>
      </c>
      <c r="J43" s="496">
        <v>1357707</v>
      </c>
      <c r="K43" s="496">
        <v>0</v>
      </c>
      <c r="L43" s="496">
        <v>0</v>
      </c>
      <c r="M43" s="411">
        <v>458905</v>
      </c>
      <c r="N43" s="411">
        <v>27154</v>
      </c>
      <c r="O43" s="496">
        <v>1950</v>
      </c>
      <c r="P43" s="497">
        <v>4.05</v>
      </c>
      <c r="Q43" s="412">
        <v>4.05</v>
      </c>
      <c r="R43" s="498">
        <v>0</v>
      </c>
      <c r="S43" s="479">
        <f t="shared" si="55"/>
        <v>0</v>
      </c>
      <c r="T43" s="486">
        <v>0</v>
      </c>
      <c r="U43" s="486">
        <v>0</v>
      </c>
      <c r="V43" s="486">
        <f>SUM(S43:U43)</f>
        <v>0</v>
      </c>
      <c r="W43" s="486">
        <v>0</v>
      </c>
      <c r="X43" s="486">
        <v>0</v>
      </c>
      <c r="Y43" s="486">
        <f>SUM(W43:X43)</f>
        <v>0</v>
      </c>
      <c r="Z43" s="486">
        <f>V43+Y43</f>
        <v>0</v>
      </c>
      <c r="AA43" s="319">
        <f>ROUND((V43+W43)*33.8%,0)</f>
        <v>0</v>
      </c>
      <c r="AB43" s="178">
        <f>ROUND(V43*2%,0)</f>
        <v>0</v>
      </c>
      <c r="AC43" s="486">
        <v>0</v>
      </c>
      <c r="AD43" s="486">
        <v>0</v>
      </c>
      <c r="AE43" s="486">
        <f t="shared" si="2"/>
        <v>0</v>
      </c>
      <c r="AF43" s="486">
        <f t="shared" si="3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si="56"/>
        <v>0</v>
      </c>
      <c r="AM43" s="501">
        <f t="shared" si="57"/>
        <v>0</v>
      </c>
      <c r="AN43" s="529">
        <f t="shared" si="4"/>
        <v>0</v>
      </c>
      <c r="AO43" s="530">
        <f>I43+AF43</f>
        <v>1845716</v>
      </c>
      <c r="AP43" s="486">
        <f>J43+V43</f>
        <v>1357707</v>
      </c>
      <c r="AQ43" s="480">
        <f>K43+Y43</f>
        <v>0</v>
      </c>
      <c r="AR43" s="480">
        <f>L43</f>
        <v>0</v>
      </c>
      <c r="AS43" s="486">
        <f t="shared" si="58"/>
        <v>458905</v>
      </c>
      <c r="AT43" s="486">
        <f t="shared" si="58"/>
        <v>27154</v>
      </c>
      <c r="AU43" s="486">
        <f>O43+AE43</f>
        <v>1950</v>
      </c>
      <c r="AV43" s="501">
        <f>P43+AN43</f>
        <v>4.05</v>
      </c>
      <c r="AW43" s="501">
        <f t="shared" si="59"/>
        <v>4.05</v>
      </c>
      <c r="AX43" s="502">
        <f t="shared" si="59"/>
        <v>0</v>
      </c>
    </row>
    <row r="44" spans="1:50" ht="12.95" customHeight="1" x14ac:dyDescent="0.25">
      <c r="A44" s="154">
        <v>8</v>
      </c>
      <c r="B44" s="526">
        <v>5443</v>
      </c>
      <c r="C44" s="527">
        <v>600099237</v>
      </c>
      <c r="D44" s="83">
        <v>854841</v>
      </c>
      <c r="E44" s="528" t="s">
        <v>388</v>
      </c>
      <c r="F44" s="83">
        <v>3141</v>
      </c>
      <c r="G44" s="528" t="s">
        <v>321</v>
      </c>
      <c r="H44" s="493" t="s">
        <v>284</v>
      </c>
      <c r="I44" s="495">
        <v>3803963</v>
      </c>
      <c r="J44" s="496">
        <v>2760489</v>
      </c>
      <c r="K44" s="496">
        <v>15000</v>
      </c>
      <c r="L44" s="496">
        <v>0</v>
      </c>
      <c r="M44" s="411">
        <v>938116</v>
      </c>
      <c r="N44" s="411">
        <v>55210</v>
      </c>
      <c r="O44" s="496">
        <v>35148</v>
      </c>
      <c r="P44" s="497">
        <v>9.4200000000000017</v>
      </c>
      <c r="Q44" s="412">
        <v>0</v>
      </c>
      <c r="R44" s="498">
        <v>9.4200000000000017</v>
      </c>
      <c r="S44" s="479">
        <f t="shared" si="55"/>
        <v>0</v>
      </c>
      <c r="T44" s="486">
        <v>0</v>
      </c>
      <c r="U44" s="486">
        <v>0</v>
      </c>
      <c r="V44" s="486">
        <f>SUM(S44:U44)</f>
        <v>0</v>
      </c>
      <c r="W44" s="486">
        <v>0</v>
      </c>
      <c r="X44" s="486">
        <v>0</v>
      </c>
      <c r="Y44" s="486">
        <f>SUM(W44:X44)</f>
        <v>0</v>
      </c>
      <c r="Z44" s="486">
        <f>V44+Y44</f>
        <v>0</v>
      </c>
      <c r="AA44" s="319">
        <f>ROUND((V44+W44)*33.8%,0)</f>
        <v>0</v>
      </c>
      <c r="AB44" s="178">
        <f>ROUND(V44*2%,0)</f>
        <v>0</v>
      </c>
      <c r="AC44" s="486">
        <v>0</v>
      </c>
      <c r="AD44" s="486">
        <v>0</v>
      </c>
      <c r="AE44" s="486">
        <f t="shared" si="2"/>
        <v>0</v>
      </c>
      <c r="AF44" s="486">
        <f t="shared" si="3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si="56"/>
        <v>0</v>
      </c>
      <c r="AM44" s="501">
        <f t="shared" si="57"/>
        <v>0</v>
      </c>
      <c r="AN44" s="529">
        <f t="shared" si="4"/>
        <v>0</v>
      </c>
      <c r="AO44" s="530">
        <f>I44+AF44</f>
        <v>3803963</v>
      </c>
      <c r="AP44" s="486">
        <f>J44+V44</f>
        <v>2760489</v>
      </c>
      <c r="AQ44" s="480">
        <f>K44+Y44</f>
        <v>15000</v>
      </c>
      <c r="AR44" s="480">
        <f>L44</f>
        <v>0</v>
      </c>
      <c r="AS44" s="486">
        <f t="shared" si="58"/>
        <v>938116</v>
      </c>
      <c r="AT44" s="486">
        <f t="shared" si="58"/>
        <v>55210</v>
      </c>
      <c r="AU44" s="486">
        <f>O44+AE44</f>
        <v>35148</v>
      </c>
      <c r="AV44" s="501">
        <f>P44+AN44</f>
        <v>9.4200000000000017</v>
      </c>
      <c r="AW44" s="501">
        <f t="shared" si="59"/>
        <v>0</v>
      </c>
      <c r="AX44" s="502">
        <f t="shared" si="59"/>
        <v>9.4200000000000017</v>
      </c>
    </row>
    <row r="45" spans="1:50" ht="12.95" customHeight="1" x14ac:dyDescent="0.25">
      <c r="A45" s="154">
        <v>8</v>
      </c>
      <c r="B45" s="526">
        <v>5443</v>
      </c>
      <c r="C45" s="527">
        <v>600099237</v>
      </c>
      <c r="D45" s="83">
        <v>854841</v>
      </c>
      <c r="E45" s="528" t="s">
        <v>388</v>
      </c>
      <c r="F45" s="83">
        <v>3143</v>
      </c>
      <c r="G45" s="528" t="s">
        <v>634</v>
      </c>
      <c r="H45" s="493" t="s">
        <v>283</v>
      </c>
      <c r="I45" s="495">
        <v>1381063</v>
      </c>
      <c r="J45" s="496">
        <v>1001219</v>
      </c>
      <c r="K45" s="496">
        <v>16000</v>
      </c>
      <c r="L45" s="496">
        <v>0</v>
      </c>
      <c r="M45" s="411">
        <v>343820</v>
      </c>
      <c r="N45" s="411">
        <v>20024</v>
      </c>
      <c r="O45" s="496">
        <v>0</v>
      </c>
      <c r="P45" s="497">
        <v>2.6500000000000004</v>
      </c>
      <c r="Q45" s="412">
        <v>2.7</v>
      </c>
      <c r="R45" s="498">
        <v>-0.05</v>
      </c>
      <c r="S45" s="479">
        <f t="shared" si="55"/>
        <v>0</v>
      </c>
      <c r="T45" s="486">
        <v>0</v>
      </c>
      <c r="U45" s="486">
        <v>0</v>
      </c>
      <c r="V45" s="486">
        <f>SUM(S45:U45)</f>
        <v>0</v>
      </c>
      <c r="W45" s="486">
        <v>0</v>
      </c>
      <c r="X45" s="486">
        <v>0</v>
      </c>
      <c r="Y45" s="486">
        <f>SUM(W45:X45)</f>
        <v>0</v>
      </c>
      <c r="Z45" s="486">
        <f>V45+Y45</f>
        <v>0</v>
      </c>
      <c r="AA45" s="319">
        <f>ROUND((V45+W45)*33.8%,0)</f>
        <v>0</v>
      </c>
      <c r="AB45" s="178">
        <f>ROUND(V45*2%,0)</f>
        <v>0</v>
      </c>
      <c r="AC45" s="486">
        <v>0</v>
      </c>
      <c r="AD45" s="486">
        <v>0</v>
      </c>
      <c r="AE45" s="486">
        <f t="shared" si="2"/>
        <v>0</v>
      </c>
      <c r="AF45" s="486">
        <f t="shared" si="3"/>
        <v>0</v>
      </c>
      <c r="AG45" s="501">
        <v>0</v>
      </c>
      <c r="AH45" s="501">
        <v>0</v>
      </c>
      <c r="AI45" s="501">
        <v>0</v>
      </c>
      <c r="AJ45" s="501">
        <v>0</v>
      </c>
      <c r="AK45" s="501">
        <v>0</v>
      </c>
      <c r="AL45" s="501">
        <f t="shared" si="56"/>
        <v>0</v>
      </c>
      <c r="AM45" s="501">
        <f t="shared" si="57"/>
        <v>0</v>
      </c>
      <c r="AN45" s="529">
        <f t="shared" si="4"/>
        <v>0</v>
      </c>
      <c r="AO45" s="530">
        <f>I45+AF45</f>
        <v>1381063</v>
      </c>
      <c r="AP45" s="486">
        <f>J45+V45</f>
        <v>1001219</v>
      </c>
      <c r="AQ45" s="480">
        <f>K45+Y45</f>
        <v>16000</v>
      </c>
      <c r="AR45" s="480">
        <f>L45</f>
        <v>0</v>
      </c>
      <c r="AS45" s="486">
        <f t="shared" si="58"/>
        <v>343820</v>
      </c>
      <c r="AT45" s="486">
        <f t="shared" si="58"/>
        <v>20024</v>
      </c>
      <c r="AU45" s="486">
        <f>O45+AE45</f>
        <v>0</v>
      </c>
      <c r="AV45" s="501">
        <f>P45+AN45</f>
        <v>2.6500000000000004</v>
      </c>
      <c r="AW45" s="501">
        <f t="shared" si="59"/>
        <v>2.7</v>
      </c>
      <c r="AX45" s="502">
        <f t="shared" si="59"/>
        <v>-0.05</v>
      </c>
    </row>
    <row r="46" spans="1:50" ht="12.95" customHeight="1" x14ac:dyDescent="0.25">
      <c r="A46" s="154">
        <v>8</v>
      </c>
      <c r="B46" s="526">
        <v>5443</v>
      </c>
      <c r="C46" s="527">
        <v>600099237</v>
      </c>
      <c r="D46" s="83">
        <v>854841</v>
      </c>
      <c r="E46" s="528" t="s">
        <v>388</v>
      </c>
      <c r="F46" s="83">
        <v>3143</v>
      </c>
      <c r="G46" s="528" t="s">
        <v>635</v>
      </c>
      <c r="H46" s="493" t="s">
        <v>284</v>
      </c>
      <c r="I46" s="495">
        <v>49155</v>
      </c>
      <c r="J46" s="496">
        <v>34650</v>
      </c>
      <c r="K46" s="496">
        <v>0</v>
      </c>
      <c r="L46" s="496">
        <v>0</v>
      </c>
      <c r="M46" s="411">
        <v>11712</v>
      </c>
      <c r="N46" s="411">
        <v>693</v>
      </c>
      <c r="O46" s="496">
        <v>2100</v>
      </c>
      <c r="P46" s="497">
        <v>0.2</v>
      </c>
      <c r="Q46" s="412">
        <v>0</v>
      </c>
      <c r="R46" s="498">
        <v>0.2</v>
      </c>
      <c r="S46" s="479">
        <f t="shared" si="55"/>
        <v>0</v>
      </c>
      <c r="T46" s="486">
        <v>0</v>
      </c>
      <c r="U46" s="486">
        <v>0</v>
      </c>
      <c r="V46" s="486">
        <f>SUM(S46:U46)</f>
        <v>0</v>
      </c>
      <c r="W46" s="486">
        <v>0</v>
      </c>
      <c r="X46" s="486">
        <v>0</v>
      </c>
      <c r="Y46" s="486">
        <f>SUM(W46:X46)</f>
        <v>0</v>
      </c>
      <c r="Z46" s="486">
        <f>V46+Y46</f>
        <v>0</v>
      </c>
      <c r="AA46" s="319">
        <f>ROUND((V46+W46)*33.8%,0)</f>
        <v>0</v>
      </c>
      <c r="AB46" s="178">
        <f>ROUND(V46*2%,0)</f>
        <v>0</v>
      </c>
      <c r="AC46" s="486">
        <v>0</v>
      </c>
      <c r="AD46" s="486">
        <v>0</v>
      </c>
      <c r="AE46" s="486">
        <f t="shared" si="2"/>
        <v>0</v>
      </c>
      <c r="AF46" s="486">
        <f t="shared" si="3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si="56"/>
        <v>0</v>
      </c>
      <c r="AM46" s="501">
        <f t="shared" si="57"/>
        <v>0</v>
      </c>
      <c r="AN46" s="529">
        <f t="shared" si="4"/>
        <v>0</v>
      </c>
      <c r="AO46" s="530">
        <f>I46+AF46</f>
        <v>49155</v>
      </c>
      <c r="AP46" s="486">
        <f>J46+V46</f>
        <v>34650</v>
      </c>
      <c r="AQ46" s="480">
        <f>K46+Y46</f>
        <v>0</v>
      </c>
      <c r="AR46" s="480">
        <f>L46</f>
        <v>0</v>
      </c>
      <c r="AS46" s="486">
        <f t="shared" si="58"/>
        <v>11712</v>
      </c>
      <c r="AT46" s="486">
        <f t="shared" si="58"/>
        <v>693</v>
      </c>
      <c r="AU46" s="486">
        <f>O46+AE46</f>
        <v>2100</v>
      </c>
      <c r="AV46" s="501">
        <f>P46+AN46</f>
        <v>0.2</v>
      </c>
      <c r="AW46" s="501">
        <f t="shared" si="59"/>
        <v>0</v>
      </c>
      <c r="AX46" s="502">
        <f t="shared" si="59"/>
        <v>0.2</v>
      </c>
    </row>
    <row r="47" spans="1:50" ht="12.95" customHeight="1" x14ac:dyDescent="0.25">
      <c r="A47" s="156">
        <v>8</v>
      </c>
      <c r="B47" s="104">
        <v>5443</v>
      </c>
      <c r="C47" s="118">
        <v>600099237</v>
      </c>
      <c r="D47" s="104">
        <v>854841</v>
      </c>
      <c r="E47" s="298" t="s">
        <v>389</v>
      </c>
      <c r="F47" s="92"/>
      <c r="G47" s="299"/>
      <c r="H47" s="93"/>
      <c r="I47" s="295">
        <v>31626239</v>
      </c>
      <c r="J47" s="108">
        <v>22410645</v>
      </c>
      <c r="K47" s="108">
        <v>291296</v>
      </c>
      <c r="L47" s="108">
        <v>215296</v>
      </c>
      <c r="M47" s="108">
        <v>7600487</v>
      </c>
      <c r="N47" s="108">
        <v>448213</v>
      </c>
      <c r="O47" s="108">
        <v>875598</v>
      </c>
      <c r="P47" s="158">
        <v>49.299300000000002</v>
      </c>
      <c r="Q47" s="158">
        <v>32.206700000000005</v>
      </c>
      <c r="R47" s="297">
        <v>17.092600000000001</v>
      </c>
      <c r="S47" s="150">
        <f t="shared" ref="S47:AN47" si="60">SUM(S42:S46)</f>
        <v>-30000</v>
      </c>
      <c r="T47" s="108">
        <f t="shared" si="60"/>
        <v>0</v>
      </c>
      <c r="U47" s="108">
        <f t="shared" si="60"/>
        <v>14727</v>
      </c>
      <c r="V47" s="108">
        <f t="shared" si="60"/>
        <v>-15273</v>
      </c>
      <c r="W47" s="108">
        <f t="shared" si="60"/>
        <v>30000</v>
      </c>
      <c r="X47" s="108">
        <f t="shared" si="60"/>
        <v>0</v>
      </c>
      <c r="Y47" s="108">
        <f t="shared" si="60"/>
        <v>30000</v>
      </c>
      <c r="Z47" s="108">
        <f t="shared" si="60"/>
        <v>14727</v>
      </c>
      <c r="AA47" s="108">
        <f t="shared" si="60"/>
        <v>4978</v>
      </c>
      <c r="AB47" s="108">
        <f t="shared" si="60"/>
        <v>-305</v>
      </c>
      <c r="AC47" s="108">
        <f t="shared" si="60"/>
        <v>0</v>
      </c>
      <c r="AD47" s="108">
        <f t="shared" si="60"/>
        <v>-20000</v>
      </c>
      <c r="AE47" s="108">
        <f t="shared" si="60"/>
        <v>-20000</v>
      </c>
      <c r="AF47" s="108">
        <f t="shared" si="60"/>
        <v>-600</v>
      </c>
      <c r="AG47" s="158">
        <f t="shared" si="60"/>
        <v>0</v>
      </c>
      <c r="AH47" s="158">
        <f t="shared" si="60"/>
        <v>0</v>
      </c>
      <c r="AI47" s="158">
        <f t="shared" si="60"/>
        <v>0</v>
      </c>
      <c r="AJ47" s="158">
        <f t="shared" si="60"/>
        <v>0</v>
      </c>
      <c r="AK47" s="158">
        <f t="shared" si="60"/>
        <v>0</v>
      </c>
      <c r="AL47" s="158">
        <f t="shared" si="60"/>
        <v>0</v>
      </c>
      <c r="AM47" s="158">
        <f t="shared" si="60"/>
        <v>0</v>
      </c>
      <c r="AN47" s="410">
        <f t="shared" si="60"/>
        <v>0</v>
      </c>
      <c r="AO47" s="295">
        <f t="shared" ref="AO47:AX47" si="61">SUM(AO42:AO46)</f>
        <v>31625639</v>
      </c>
      <c r="AP47" s="108">
        <f t="shared" si="61"/>
        <v>22395372</v>
      </c>
      <c r="AQ47" s="108">
        <f t="shared" si="61"/>
        <v>321296</v>
      </c>
      <c r="AR47" s="108">
        <f t="shared" si="61"/>
        <v>215296</v>
      </c>
      <c r="AS47" s="108">
        <f t="shared" si="61"/>
        <v>7605465</v>
      </c>
      <c r="AT47" s="108">
        <f t="shared" si="61"/>
        <v>447908</v>
      </c>
      <c r="AU47" s="108">
        <f t="shared" si="61"/>
        <v>855598</v>
      </c>
      <c r="AV47" s="158">
        <f t="shared" si="61"/>
        <v>49.299300000000002</v>
      </c>
      <c r="AW47" s="158">
        <f t="shared" si="61"/>
        <v>32.206700000000005</v>
      </c>
      <c r="AX47" s="297">
        <f t="shared" si="61"/>
        <v>17.092600000000001</v>
      </c>
    </row>
    <row r="48" spans="1:50" ht="12.95" customHeight="1" x14ac:dyDescent="0.25">
      <c r="A48" s="154">
        <v>9</v>
      </c>
      <c r="B48" s="526">
        <v>5445</v>
      </c>
      <c r="C48" s="527">
        <v>600099351</v>
      </c>
      <c r="D48" s="83">
        <v>70155771</v>
      </c>
      <c r="E48" s="528" t="s">
        <v>390</v>
      </c>
      <c r="F48" s="83">
        <v>3113</v>
      </c>
      <c r="G48" s="528" t="s">
        <v>335</v>
      </c>
      <c r="H48" s="493" t="s">
        <v>283</v>
      </c>
      <c r="I48" s="495">
        <v>22401377</v>
      </c>
      <c r="J48" s="496">
        <v>15862031</v>
      </c>
      <c r="K48" s="496">
        <v>61956</v>
      </c>
      <c r="L48" s="496">
        <v>51356</v>
      </c>
      <c r="M48" s="411">
        <v>5364949</v>
      </c>
      <c r="N48" s="411">
        <v>317241</v>
      </c>
      <c r="O48" s="496">
        <v>795200</v>
      </c>
      <c r="P48" s="497">
        <v>30.424299999999999</v>
      </c>
      <c r="Q48" s="412">
        <v>22.772500000000001</v>
      </c>
      <c r="R48" s="498">
        <v>7.6517999999999997</v>
      </c>
      <c r="S48" s="479">
        <f t="shared" ref="S48:S53" si="62">W48*-1</f>
        <v>0</v>
      </c>
      <c r="T48" s="486">
        <v>0</v>
      </c>
      <c r="U48" s="486">
        <v>0</v>
      </c>
      <c r="V48" s="486">
        <f t="shared" ref="V48:V53" si="63">SUM(S48:U48)</f>
        <v>0</v>
      </c>
      <c r="W48" s="486">
        <v>0</v>
      </c>
      <c r="X48" s="486">
        <v>0</v>
      </c>
      <c r="Y48" s="486">
        <f t="shared" ref="Y48:Y53" si="64">SUM(W48:X48)</f>
        <v>0</v>
      </c>
      <c r="Z48" s="486">
        <f t="shared" ref="Z48:Z53" si="65">V48+Y48</f>
        <v>0</v>
      </c>
      <c r="AA48" s="319">
        <f t="shared" ref="AA48:AA53" si="66">ROUND((V48+W48)*33.8%,0)</f>
        <v>0</v>
      </c>
      <c r="AB48" s="178">
        <f t="shared" ref="AB48:AB53" si="67">ROUND(V48*2%,0)</f>
        <v>0</v>
      </c>
      <c r="AC48" s="486">
        <v>0</v>
      </c>
      <c r="AD48" s="486">
        <v>0</v>
      </c>
      <c r="AE48" s="486">
        <f t="shared" si="2"/>
        <v>0</v>
      </c>
      <c r="AF48" s="486">
        <f t="shared" si="3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ref="AL48:AL53" si="68">AG48+AI48+AJ48</f>
        <v>0</v>
      </c>
      <c r="AM48" s="501">
        <f t="shared" ref="AM48:AM53" si="69">AH48+AK48</f>
        <v>0</v>
      </c>
      <c r="AN48" s="529">
        <f t="shared" si="4"/>
        <v>0</v>
      </c>
      <c r="AO48" s="530">
        <f t="shared" ref="AO48:AO53" si="70">I48+AF48</f>
        <v>22401377</v>
      </c>
      <c r="AP48" s="486">
        <f t="shared" ref="AP48:AP53" si="71">J48+V48</f>
        <v>15862031</v>
      </c>
      <c r="AQ48" s="480">
        <f t="shared" ref="AQ48:AQ53" si="72">K48+Y48</f>
        <v>61956</v>
      </c>
      <c r="AR48" s="480">
        <f t="shared" ref="AR48:AR53" si="73">L48</f>
        <v>51356</v>
      </c>
      <c r="AS48" s="486">
        <f t="shared" ref="AS48:AT53" si="74">M48+AA48</f>
        <v>5364949</v>
      </c>
      <c r="AT48" s="486">
        <f t="shared" si="74"/>
        <v>317241</v>
      </c>
      <c r="AU48" s="486">
        <f t="shared" ref="AU48:AU53" si="75">O48+AE48</f>
        <v>795200</v>
      </c>
      <c r="AV48" s="501">
        <f t="shared" ref="AV48:AV53" si="76">P48+AN48</f>
        <v>30.424299999999999</v>
      </c>
      <c r="AW48" s="501">
        <f t="shared" ref="AW48:AX53" si="77">Q48+AL48</f>
        <v>22.772500000000001</v>
      </c>
      <c r="AX48" s="502">
        <f t="shared" si="77"/>
        <v>7.6517999999999997</v>
      </c>
    </row>
    <row r="49" spans="1:50" ht="12.95" customHeight="1" x14ac:dyDescent="0.25">
      <c r="A49" s="154">
        <v>9</v>
      </c>
      <c r="B49" s="526">
        <v>5445</v>
      </c>
      <c r="C49" s="527">
        <v>600099351</v>
      </c>
      <c r="D49" s="83">
        <v>70155771</v>
      </c>
      <c r="E49" s="528" t="s">
        <v>390</v>
      </c>
      <c r="F49" s="83">
        <v>3113</v>
      </c>
      <c r="G49" s="528" t="s">
        <v>325</v>
      </c>
      <c r="H49" s="493" t="s">
        <v>284</v>
      </c>
      <c r="I49" s="495">
        <v>533109</v>
      </c>
      <c r="J49" s="496">
        <v>390950</v>
      </c>
      <c r="K49" s="496">
        <v>0</v>
      </c>
      <c r="L49" s="496">
        <v>0</v>
      </c>
      <c r="M49" s="411">
        <v>132141</v>
      </c>
      <c r="N49" s="411">
        <v>7818</v>
      </c>
      <c r="O49" s="496">
        <v>2200</v>
      </c>
      <c r="P49" s="497">
        <v>1.08</v>
      </c>
      <c r="Q49" s="412">
        <v>1.08</v>
      </c>
      <c r="R49" s="498">
        <v>0</v>
      </c>
      <c r="S49" s="479">
        <f t="shared" si="62"/>
        <v>0</v>
      </c>
      <c r="T49" s="486">
        <v>0</v>
      </c>
      <c r="U49" s="486">
        <v>0</v>
      </c>
      <c r="V49" s="486">
        <f t="shared" si="63"/>
        <v>0</v>
      </c>
      <c r="W49" s="486">
        <v>0</v>
      </c>
      <c r="X49" s="486">
        <v>0</v>
      </c>
      <c r="Y49" s="486">
        <f t="shared" si="64"/>
        <v>0</v>
      </c>
      <c r="Z49" s="486">
        <f t="shared" si="65"/>
        <v>0</v>
      </c>
      <c r="AA49" s="319">
        <f t="shared" si="66"/>
        <v>0</v>
      </c>
      <c r="AB49" s="178">
        <f t="shared" si="67"/>
        <v>0</v>
      </c>
      <c r="AC49" s="486">
        <v>700</v>
      </c>
      <c r="AD49" s="486">
        <v>0</v>
      </c>
      <c r="AE49" s="486">
        <f t="shared" si="2"/>
        <v>700</v>
      </c>
      <c r="AF49" s="486">
        <f t="shared" si="3"/>
        <v>700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68"/>
        <v>0</v>
      </c>
      <c r="AM49" s="501">
        <f t="shared" si="69"/>
        <v>0</v>
      </c>
      <c r="AN49" s="529">
        <f t="shared" si="4"/>
        <v>0</v>
      </c>
      <c r="AO49" s="530">
        <f t="shared" si="70"/>
        <v>533809</v>
      </c>
      <c r="AP49" s="486">
        <f t="shared" si="71"/>
        <v>390950</v>
      </c>
      <c r="AQ49" s="480">
        <f t="shared" si="72"/>
        <v>0</v>
      </c>
      <c r="AR49" s="480">
        <f t="shared" si="73"/>
        <v>0</v>
      </c>
      <c r="AS49" s="486">
        <f t="shared" si="74"/>
        <v>132141</v>
      </c>
      <c r="AT49" s="486">
        <f t="shared" si="74"/>
        <v>7818</v>
      </c>
      <c r="AU49" s="486">
        <f t="shared" si="75"/>
        <v>2900</v>
      </c>
      <c r="AV49" s="501">
        <f t="shared" si="76"/>
        <v>1.08</v>
      </c>
      <c r="AW49" s="501">
        <f t="shared" si="77"/>
        <v>1.08</v>
      </c>
      <c r="AX49" s="502">
        <f t="shared" si="77"/>
        <v>0</v>
      </c>
    </row>
    <row r="50" spans="1:50" ht="12.95" customHeight="1" x14ac:dyDescent="0.25">
      <c r="A50" s="154">
        <v>9</v>
      </c>
      <c r="B50" s="526">
        <v>5445</v>
      </c>
      <c r="C50" s="527">
        <v>600099351</v>
      </c>
      <c r="D50" s="83">
        <v>70155771</v>
      </c>
      <c r="E50" s="528" t="s">
        <v>390</v>
      </c>
      <c r="F50" s="83">
        <v>3141</v>
      </c>
      <c r="G50" s="528" t="s">
        <v>321</v>
      </c>
      <c r="H50" s="493" t="s">
        <v>284</v>
      </c>
      <c r="I50" s="495">
        <v>1090032</v>
      </c>
      <c r="J50" s="496">
        <v>796567</v>
      </c>
      <c r="K50" s="496">
        <v>0</v>
      </c>
      <c r="L50" s="496">
        <v>0</v>
      </c>
      <c r="M50" s="411">
        <v>269240</v>
      </c>
      <c r="N50" s="411">
        <v>15931</v>
      </c>
      <c r="O50" s="496">
        <v>8294</v>
      </c>
      <c r="P50" s="497">
        <v>2.71</v>
      </c>
      <c r="Q50" s="412">
        <v>0</v>
      </c>
      <c r="R50" s="498">
        <v>2.71</v>
      </c>
      <c r="S50" s="479">
        <f t="shared" si="62"/>
        <v>0</v>
      </c>
      <c r="T50" s="486">
        <v>0</v>
      </c>
      <c r="U50" s="486">
        <v>0</v>
      </c>
      <c r="V50" s="486">
        <f t="shared" si="63"/>
        <v>0</v>
      </c>
      <c r="W50" s="486">
        <v>0</v>
      </c>
      <c r="X50" s="486">
        <v>0</v>
      </c>
      <c r="Y50" s="486">
        <f t="shared" si="64"/>
        <v>0</v>
      </c>
      <c r="Z50" s="486">
        <f t="shared" si="65"/>
        <v>0</v>
      </c>
      <c r="AA50" s="319">
        <f t="shared" si="66"/>
        <v>0</v>
      </c>
      <c r="AB50" s="178">
        <f t="shared" si="67"/>
        <v>0</v>
      </c>
      <c r="AC50" s="486">
        <v>0</v>
      </c>
      <c r="AD50" s="486">
        <v>0</v>
      </c>
      <c r="AE50" s="486">
        <f t="shared" si="2"/>
        <v>0</v>
      </c>
      <c r="AF50" s="486">
        <f t="shared" si="3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68"/>
        <v>0</v>
      </c>
      <c r="AM50" s="501">
        <f t="shared" si="69"/>
        <v>0</v>
      </c>
      <c r="AN50" s="529">
        <f t="shared" si="4"/>
        <v>0</v>
      </c>
      <c r="AO50" s="530">
        <f t="shared" si="70"/>
        <v>1090032</v>
      </c>
      <c r="AP50" s="486">
        <f t="shared" si="71"/>
        <v>796567</v>
      </c>
      <c r="AQ50" s="480">
        <f t="shared" si="72"/>
        <v>0</v>
      </c>
      <c r="AR50" s="480">
        <f t="shared" si="73"/>
        <v>0</v>
      </c>
      <c r="AS50" s="486">
        <f t="shared" si="74"/>
        <v>269240</v>
      </c>
      <c r="AT50" s="486">
        <f t="shared" si="74"/>
        <v>15931</v>
      </c>
      <c r="AU50" s="486">
        <f t="shared" si="75"/>
        <v>8294</v>
      </c>
      <c r="AV50" s="501">
        <f t="shared" si="76"/>
        <v>2.71</v>
      </c>
      <c r="AW50" s="501">
        <f t="shared" si="77"/>
        <v>0</v>
      </c>
      <c r="AX50" s="502">
        <f t="shared" si="77"/>
        <v>2.71</v>
      </c>
    </row>
    <row r="51" spans="1:50" ht="12.95" customHeight="1" x14ac:dyDescent="0.25">
      <c r="A51" s="154">
        <v>9</v>
      </c>
      <c r="B51" s="526">
        <v>5445</v>
      </c>
      <c r="C51" s="527">
        <v>600099351</v>
      </c>
      <c r="D51" s="83">
        <v>70155771</v>
      </c>
      <c r="E51" s="528" t="s">
        <v>390</v>
      </c>
      <c r="F51" s="83">
        <v>3143</v>
      </c>
      <c r="G51" s="528" t="s">
        <v>634</v>
      </c>
      <c r="H51" s="493" t="s">
        <v>283</v>
      </c>
      <c r="I51" s="495">
        <v>1769876</v>
      </c>
      <c r="J51" s="496">
        <v>1249106</v>
      </c>
      <c r="K51" s="496">
        <v>55000</v>
      </c>
      <c r="L51" s="496">
        <v>0</v>
      </c>
      <c r="M51" s="411">
        <v>440788</v>
      </c>
      <c r="N51" s="411">
        <v>24982</v>
      </c>
      <c r="O51" s="496">
        <v>0</v>
      </c>
      <c r="P51" s="497">
        <v>2.5695999999999999</v>
      </c>
      <c r="Q51" s="412">
        <v>2.5695999999999999</v>
      </c>
      <c r="R51" s="498">
        <v>0</v>
      </c>
      <c r="S51" s="479">
        <f t="shared" si="62"/>
        <v>0</v>
      </c>
      <c r="T51" s="486">
        <v>0</v>
      </c>
      <c r="U51" s="486">
        <v>0</v>
      </c>
      <c r="V51" s="486">
        <f t="shared" si="63"/>
        <v>0</v>
      </c>
      <c r="W51" s="486">
        <v>0</v>
      </c>
      <c r="X51" s="486">
        <v>0</v>
      </c>
      <c r="Y51" s="486">
        <f t="shared" si="64"/>
        <v>0</v>
      </c>
      <c r="Z51" s="486">
        <f t="shared" si="65"/>
        <v>0</v>
      </c>
      <c r="AA51" s="319">
        <f t="shared" si="66"/>
        <v>0</v>
      </c>
      <c r="AB51" s="178">
        <f t="shared" si="67"/>
        <v>0</v>
      </c>
      <c r="AC51" s="486">
        <v>0</v>
      </c>
      <c r="AD51" s="486">
        <v>0</v>
      </c>
      <c r="AE51" s="486">
        <f t="shared" si="2"/>
        <v>0</v>
      </c>
      <c r="AF51" s="486">
        <f t="shared" si="3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68"/>
        <v>0</v>
      </c>
      <c r="AM51" s="501">
        <f t="shared" si="69"/>
        <v>0</v>
      </c>
      <c r="AN51" s="529">
        <f t="shared" si="4"/>
        <v>0</v>
      </c>
      <c r="AO51" s="530">
        <f t="shared" si="70"/>
        <v>1769876</v>
      </c>
      <c r="AP51" s="486">
        <f t="shared" si="71"/>
        <v>1249106</v>
      </c>
      <c r="AQ51" s="480">
        <f t="shared" si="72"/>
        <v>55000</v>
      </c>
      <c r="AR51" s="480">
        <f t="shared" si="73"/>
        <v>0</v>
      </c>
      <c r="AS51" s="486">
        <f t="shared" si="74"/>
        <v>440788</v>
      </c>
      <c r="AT51" s="486">
        <f t="shared" si="74"/>
        <v>24982</v>
      </c>
      <c r="AU51" s="486">
        <f t="shared" si="75"/>
        <v>0</v>
      </c>
      <c r="AV51" s="501">
        <f t="shared" si="76"/>
        <v>2.5695999999999999</v>
      </c>
      <c r="AW51" s="501">
        <f t="shared" si="77"/>
        <v>2.5695999999999999</v>
      </c>
      <c r="AX51" s="502">
        <f t="shared" si="77"/>
        <v>0</v>
      </c>
    </row>
    <row r="52" spans="1:50" ht="12.95" customHeight="1" x14ac:dyDescent="0.25">
      <c r="A52" s="154">
        <v>9</v>
      </c>
      <c r="B52" s="526">
        <v>5445</v>
      </c>
      <c r="C52" s="527">
        <v>600099351</v>
      </c>
      <c r="D52" s="83">
        <v>70155771</v>
      </c>
      <c r="E52" s="528" t="s">
        <v>390</v>
      </c>
      <c r="F52" s="83">
        <v>3143</v>
      </c>
      <c r="G52" s="528" t="s">
        <v>635</v>
      </c>
      <c r="H52" s="493" t="s">
        <v>284</v>
      </c>
      <c r="I52" s="495">
        <v>63199</v>
      </c>
      <c r="J52" s="496">
        <v>44550</v>
      </c>
      <c r="K52" s="496">
        <v>0</v>
      </c>
      <c r="L52" s="496">
        <v>0</v>
      </c>
      <c r="M52" s="411">
        <v>15058</v>
      </c>
      <c r="N52" s="411">
        <v>891</v>
      </c>
      <c r="O52" s="496">
        <v>2700</v>
      </c>
      <c r="P52" s="497">
        <v>0.19</v>
      </c>
      <c r="Q52" s="412">
        <v>0</v>
      </c>
      <c r="R52" s="498">
        <v>0.19</v>
      </c>
      <c r="S52" s="479">
        <f t="shared" si="62"/>
        <v>0</v>
      </c>
      <c r="T52" s="486">
        <v>0</v>
      </c>
      <c r="U52" s="486">
        <v>0</v>
      </c>
      <c r="V52" s="486">
        <f t="shared" si="63"/>
        <v>0</v>
      </c>
      <c r="W52" s="486">
        <v>0</v>
      </c>
      <c r="X52" s="486">
        <v>0</v>
      </c>
      <c r="Y52" s="486">
        <f t="shared" si="64"/>
        <v>0</v>
      </c>
      <c r="Z52" s="486">
        <f t="shared" si="65"/>
        <v>0</v>
      </c>
      <c r="AA52" s="319">
        <f t="shared" si="66"/>
        <v>0</v>
      </c>
      <c r="AB52" s="178">
        <f t="shared" si="67"/>
        <v>0</v>
      </c>
      <c r="AC52" s="486">
        <v>0</v>
      </c>
      <c r="AD52" s="486">
        <v>0</v>
      </c>
      <c r="AE52" s="486">
        <f t="shared" si="2"/>
        <v>0</v>
      </c>
      <c r="AF52" s="486">
        <f t="shared" si="3"/>
        <v>0</v>
      </c>
      <c r="AG52" s="501">
        <v>0</v>
      </c>
      <c r="AH52" s="501">
        <v>0</v>
      </c>
      <c r="AI52" s="501">
        <v>0</v>
      </c>
      <c r="AJ52" s="501">
        <v>0</v>
      </c>
      <c r="AK52" s="501">
        <v>0</v>
      </c>
      <c r="AL52" s="501">
        <f t="shared" si="68"/>
        <v>0</v>
      </c>
      <c r="AM52" s="501">
        <f t="shared" si="69"/>
        <v>0</v>
      </c>
      <c r="AN52" s="529">
        <f t="shared" si="4"/>
        <v>0</v>
      </c>
      <c r="AO52" s="530">
        <f t="shared" si="70"/>
        <v>63199</v>
      </c>
      <c r="AP52" s="486">
        <f t="shared" si="71"/>
        <v>44550</v>
      </c>
      <c r="AQ52" s="480">
        <f t="shared" si="72"/>
        <v>0</v>
      </c>
      <c r="AR52" s="480">
        <f t="shared" si="73"/>
        <v>0</v>
      </c>
      <c r="AS52" s="486">
        <f t="shared" si="74"/>
        <v>15058</v>
      </c>
      <c r="AT52" s="486">
        <f t="shared" si="74"/>
        <v>891</v>
      </c>
      <c r="AU52" s="486">
        <f t="shared" si="75"/>
        <v>2700</v>
      </c>
      <c r="AV52" s="501">
        <f t="shared" si="76"/>
        <v>0.19</v>
      </c>
      <c r="AW52" s="501">
        <f t="shared" si="77"/>
        <v>0</v>
      </c>
      <c r="AX52" s="502">
        <f t="shared" si="77"/>
        <v>0.19</v>
      </c>
    </row>
    <row r="53" spans="1:50" ht="12.95" customHeight="1" x14ac:dyDescent="0.25">
      <c r="A53" s="154">
        <v>9</v>
      </c>
      <c r="B53" s="526">
        <v>5445</v>
      </c>
      <c r="C53" s="527">
        <v>600099351</v>
      </c>
      <c r="D53" s="83">
        <v>70155771</v>
      </c>
      <c r="E53" s="528" t="s">
        <v>390</v>
      </c>
      <c r="F53" s="83">
        <v>3143</v>
      </c>
      <c r="G53" s="528" t="s">
        <v>323</v>
      </c>
      <c r="H53" s="493" t="s">
        <v>284</v>
      </c>
      <c r="I53" s="495">
        <v>363388</v>
      </c>
      <c r="J53" s="496">
        <v>266486</v>
      </c>
      <c r="K53" s="496">
        <v>0</v>
      </c>
      <c r="L53" s="496">
        <v>0</v>
      </c>
      <c r="M53" s="411">
        <v>90072</v>
      </c>
      <c r="N53" s="411">
        <v>5330</v>
      </c>
      <c r="O53" s="496">
        <v>1500</v>
      </c>
      <c r="P53" s="497">
        <v>0.62</v>
      </c>
      <c r="Q53" s="412">
        <v>0.52</v>
      </c>
      <c r="R53" s="498">
        <v>0.1</v>
      </c>
      <c r="S53" s="479">
        <f t="shared" si="62"/>
        <v>0</v>
      </c>
      <c r="T53" s="486">
        <v>0</v>
      </c>
      <c r="U53" s="486">
        <v>0</v>
      </c>
      <c r="V53" s="486">
        <f t="shared" si="63"/>
        <v>0</v>
      </c>
      <c r="W53" s="486">
        <v>0</v>
      </c>
      <c r="X53" s="486">
        <v>0</v>
      </c>
      <c r="Y53" s="486">
        <f t="shared" si="64"/>
        <v>0</v>
      </c>
      <c r="Z53" s="486">
        <f t="shared" si="65"/>
        <v>0</v>
      </c>
      <c r="AA53" s="319">
        <f t="shared" si="66"/>
        <v>0</v>
      </c>
      <c r="AB53" s="178">
        <f t="shared" si="67"/>
        <v>0</v>
      </c>
      <c r="AC53" s="486">
        <v>0</v>
      </c>
      <c r="AD53" s="486">
        <v>0</v>
      </c>
      <c r="AE53" s="486">
        <f t="shared" si="2"/>
        <v>0</v>
      </c>
      <c r="AF53" s="486">
        <f t="shared" si="3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si="68"/>
        <v>0</v>
      </c>
      <c r="AM53" s="501">
        <f t="shared" si="69"/>
        <v>0</v>
      </c>
      <c r="AN53" s="529">
        <f t="shared" si="4"/>
        <v>0</v>
      </c>
      <c r="AO53" s="530">
        <f t="shared" si="70"/>
        <v>363388</v>
      </c>
      <c r="AP53" s="486">
        <f t="shared" si="71"/>
        <v>266486</v>
      </c>
      <c r="AQ53" s="480">
        <f t="shared" si="72"/>
        <v>0</v>
      </c>
      <c r="AR53" s="480">
        <f t="shared" si="73"/>
        <v>0</v>
      </c>
      <c r="AS53" s="486">
        <f t="shared" si="74"/>
        <v>90072</v>
      </c>
      <c r="AT53" s="486">
        <f t="shared" si="74"/>
        <v>5330</v>
      </c>
      <c r="AU53" s="486">
        <f t="shared" si="75"/>
        <v>1500</v>
      </c>
      <c r="AV53" s="501">
        <f t="shared" si="76"/>
        <v>0.62</v>
      </c>
      <c r="AW53" s="501">
        <f t="shared" si="77"/>
        <v>0.52</v>
      </c>
      <c r="AX53" s="502">
        <f t="shared" si="77"/>
        <v>0.1</v>
      </c>
    </row>
    <row r="54" spans="1:50" ht="12.95" customHeight="1" x14ac:dyDescent="0.25">
      <c r="A54" s="156">
        <v>9</v>
      </c>
      <c r="B54" s="104">
        <v>5445</v>
      </c>
      <c r="C54" s="105">
        <v>600099351</v>
      </c>
      <c r="D54" s="104">
        <v>70155771</v>
      </c>
      <c r="E54" s="298" t="s">
        <v>391</v>
      </c>
      <c r="F54" s="92"/>
      <c r="G54" s="299"/>
      <c r="H54" s="93"/>
      <c r="I54" s="294">
        <v>26220981</v>
      </c>
      <c r="J54" s="106">
        <v>18609690</v>
      </c>
      <c r="K54" s="106">
        <v>116956</v>
      </c>
      <c r="L54" s="106">
        <v>51356</v>
      </c>
      <c r="M54" s="106">
        <v>6312248</v>
      </c>
      <c r="N54" s="106">
        <v>372193</v>
      </c>
      <c r="O54" s="106">
        <v>809894</v>
      </c>
      <c r="P54" s="157">
        <v>37.593899999999998</v>
      </c>
      <c r="Q54" s="157">
        <v>26.9421</v>
      </c>
      <c r="R54" s="296">
        <v>10.651799999999998</v>
      </c>
      <c r="S54" s="149">
        <f t="shared" ref="S54:AN54" si="78">SUM(S48:S53)</f>
        <v>0</v>
      </c>
      <c r="T54" s="106">
        <f t="shared" si="78"/>
        <v>0</v>
      </c>
      <c r="U54" s="106">
        <f t="shared" si="78"/>
        <v>0</v>
      </c>
      <c r="V54" s="106">
        <f t="shared" si="78"/>
        <v>0</v>
      </c>
      <c r="W54" s="106">
        <f t="shared" si="78"/>
        <v>0</v>
      </c>
      <c r="X54" s="106">
        <f t="shared" si="78"/>
        <v>0</v>
      </c>
      <c r="Y54" s="106">
        <f t="shared" si="78"/>
        <v>0</v>
      </c>
      <c r="Z54" s="106">
        <f t="shared" si="78"/>
        <v>0</v>
      </c>
      <c r="AA54" s="106">
        <f t="shared" si="78"/>
        <v>0</v>
      </c>
      <c r="AB54" s="106">
        <f t="shared" si="78"/>
        <v>0</v>
      </c>
      <c r="AC54" s="106">
        <f t="shared" si="78"/>
        <v>700</v>
      </c>
      <c r="AD54" s="106">
        <f t="shared" si="78"/>
        <v>0</v>
      </c>
      <c r="AE54" s="106">
        <f t="shared" si="78"/>
        <v>700</v>
      </c>
      <c r="AF54" s="106">
        <f t="shared" si="78"/>
        <v>700</v>
      </c>
      <c r="AG54" s="157">
        <f t="shared" si="78"/>
        <v>0</v>
      </c>
      <c r="AH54" s="157">
        <f t="shared" si="78"/>
        <v>0</v>
      </c>
      <c r="AI54" s="157">
        <f t="shared" si="78"/>
        <v>0</v>
      </c>
      <c r="AJ54" s="157">
        <f t="shared" si="78"/>
        <v>0</v>
      </c>
      <c r="AK54" s="157">
        <f t="shared" si="78"/>
        <v>0</v>
      </c>
      <c r="AL54" s="157">
        <f t="shared" si="78"/>
        <v>0</v>
      </c>
      <c r="AM54" s="157">
        <f t="shared" si="78"/>
        <v>0</v>
      </c>
      <c r="AN54" s="409">
        <f t="shared" si="78"/>
        <v>0</v>
      </c>
      <c r="AO54" s="294">
        <f t="shared" ref="AO54:AX54" si="79">SUM(AO48:AO53)</f>
        <v>26221681</v>
      </c>
      <c r="AP54" s="106">
        <f t="shared" si="79"/>
        <v>18609690</v>
      </c>
      <c r="AQ54" s="106">
        <f t="shared" si="79"/>
        <v>116956</v>
      </c>
      <c r="AR54" s="106">
        <f t="shared" si="79"/>
        <v>51356</v>
      </c>
      <c r="AS54" s="106">
        <f t="shared" si="79"/>
        <v>6312248</v>
      </c>
      <c r="AT54" s="106">
        <f t="shared" si="79"/>
        <v>372193</v>
      </c>
      <c r="AU54" s="106">
        <f t="shared" si="79"/>
        <v>810594</v>
      </c>
      <c r="AV54" s="157">
        <f t="shared" si="79"/>
        <v>37.593899999999998</v>
      </c>
      <c r="AW54" s="157">
        <f t="shared" si="79"/>
        <v>26.9421</v>
      </c>
      <c r="AX54" s="296">
        <f t="shared" si="79"/>
        <v>10.651799999999998</v>
      </c>
    </row>
    <row r="55" spans="1:50" ht="12.95" customHeight="1" x14ac:dyDescent="0.25">
      <c r="A55" s="154">
        <v>10</v>
      </c>
      <c r="B55" s="526">
        <v>5446</v>
      </c>
      <c r="C55" s="532">
        <v>600099393</v>
      </c>
      <c r="D55" s="83">
        <v>856096</v>
      </c>
      <c r="E55" s="528" t="s">
        <v>392</v>
      </c>
      <c r="F55" s="83">
        <v>3231</v>
      </c>
      <c r="G55" s="528" t="s">
        <v>322</v>
      </c>
      <c r="H55" s="493" t="s">
        <v>283</v>
      </c>
      <c r="I55" s="495">
        <v>20997450</v>
      </c>
      <c r="J55" s="496">
        <v>15348348</v>
      </c>
      <c r="K55" s="496">
        <v>59640</v>
      </c>
      <c r="L55" s="496">
        <v>0</v>
      </c>
      <c r="M55" s="411">
        <v>5207900</v>
      </c>
      <c r="N55" s="411">
        <v>306967</v>
      </c>
      <c r="O55" s="496">
        <v>74595</v>
      </c>
      <c r="P55" s="497">
        <v>30.2041</v>
      </c>
      <c r="Q55" s="412">
        <v>26.770699999999998</v>
      </c>
      <c r="R55" s="498">
        <v>3.4333999999999998</v>
      </c>
      <c r="S55" s="479">
        <f>W55*-1</f>
        <v>0</v>
      </c>
      <c r="T55" s="486">
        <v>0</v>
      </c>
      <c r="U55" s="486">
        <v>0</v>
      </c>
      <c r="V55" s="486">
        <f>SUM(S55:U55)</f>
        <v>0</v>
      </c>
      <c r="W55" s="486">
        <v>0</v>
      </c>
      <c r="X55" s="486">
        <v>0</v>
      </c>
      <c r="Y55" s="486">
        <f>SUM(W55:X55)</f>
        <v>0</v>
      </c>
      <c r="Z55" s="486">
        <f>V55+Y55</f>
        <v>0</v>
      </c>
      <c r="AA55" s="319">
        <f>ROUND((V55+W55)*33.8%,0)</f>
        <v>0</v>
      </c>
      <c r="AB55" s="178">
        <f>ROUND(V55*2%,0)</f>
        <v>0</v>
      </c>
      <c r="AC55" s="486">
        <v>0</v>
      </c>
      <c r="AD55" s="486">
        <v>0</v>
      </c>
      <c r="AE55" s="486">
        <f t="shared" si="2"/>
        <v>0</v>
      </c>
      <c r="AF55" s="486">
        <f t="shared" si="3"/>
        <v>0</v>
      </c>
      <c r="AG55" s="501">
        <v>0</v>
      </c>
      <c r="AH55" s="501">
        <v>0</v>
      </c>
      <c r="AI55" s="501">
        <v>0</v>
      </c>
      <c r="AJ55" s="501">
        <v>0</v>
      </c>
      <c r="AK55" s="501">
        <v>0</v>
      </c>
      <c r="AL55" s="501">
        <f>AG55+AI55+AJ55</f>
        <v>0</v>
      </c>
      <c r="AM55" s="501">
        <f>AH55+AK55</f>
        <v>0</v>
      </c>
      <c r="AN55" s="529">
        <f t="shared" si="4"/>
        <v>0</v>
      </c>
      <c r="AO55" s="530">
        <f>I55+AF55</f>
        <v>20997450</v>
      </c>
      <c r="AP55" s="486">
        <f>J55+V55</f>
        <v>15348348</v>
      </c>
      <c r="AQ55" s="480">
        <f>K55+Y55</f>
        <v>59640</v>
      </c>
      <c r="AR55" s="480">
        <f>L55</f>
        <v>0</v>
      </c>
      <c r="AS55" s="486">
        <f>M55+AA55</f>
        <v>5207900</v>
      </c>
      <c r="AT55" s="486">
        <f>N55+AB55</f>
        <v>306967</v>
      </c>
      <c r="AU55" s="486">
        <f>O55+AE55</f>
        <v>74595</v>
      </c>
      <c r="AV55" s="501">
        <f>P55+AN55</f>
        <v>30.2041</v>
      </c>
      <c r="AW55" s="501">
        <f>Q55+AL55</f>
        <v>26.770699999999998</v>
      </c>
      <c r="AX55" s="502">
        <f>R55+AM55</f>
        <v>3.4333999999999998</v>
      </c>
    </row>
    <row r="56" spans="1:50" ht="12.95" customHeight="1" x14ac:dyDescent="0.25">
      <c r="A56" s="156">
        <v>10</v>
      </c>
      <c r="B56" s="104">
        <v>5446</v>
      </c>
      <c r="C56" s="105">
        <v>600099393</v>
      </c>
      <c r="D56" s="104">
        <v>856096</v>
      </c>
      <c r="E56" s="298" t="s">
        <v>393</v>
      </c>
      <c r="F56" s="92"/>
      <c r="G56" s="299"/>
      <c r="H56" s="93"/>
      <c r="I56" s="294">
        <v>20997450</v>
      </c>
      <c r="J56" s="106">
        <v>15348348</v>
      </c>
      <c r="K56" s="106">
        <v>59640</v>
      </c>
      <c r="L56" s="106">
        <v>0</v>
      </c>
      <c r="M56" s="106">
        <v>5207900</v>
      </c>
      <c r="N56" s="106">
        <v>306967</v>
      </c>
      <c r="O56" s="106">
        <v>74595</v>
      </c>
      <c r="P56" s="157">
        <v>30.2041</v>
      </c>
      <c r="Q56" s="157">
        <v>26.770699999999998</v>
      </c>
      <c r="R56" s="296">
        <v>3.4333999999999998</v>
      </c>
      <c r="S56" s="149">
        <f t="shared" ref="S56:AN56" si="80">SUM(S55)</f>
        <v>0</v>
      </c>
      <c r="T56" s="106">
        <f t="shared" si="80"/>
        <v>0</v>
      </c>
      <c r="U56" s="106">
        <f t="shared" si="80"/>
        <v>0</v>
      </c>
      <c r="V56" s="106">
        <f t="shared" si="80"/>
        <v>0</v>
      </c>
      <c r="W56" s="106">
        <f t="shared" si="80"/>
        <v>0</v>
      </c>
      <c r="X56" s="106">
        <f t="shared" si="80"/>
        <v>0</v>
      </c>
      <c r="Y56" s="106">
        <f t="shared" si="80"/>
        <v>0</v>
      </c>
      <c r="Z56" s="106">
        <f t="shared" si="80"/>
        <v>0</v>
      </c>
      <c r="AA56" s="106">
        <f t="shared" si="80"/>
        <v>0</v>
      </c>
      <c r="AB56" s="106">
        <f t="shared" si="80"/>
        <v>0</v>
      </c>
      <c r="AC56" s="106">
        <f t="shared" si="80"/>
        <v>0</v>
      </c>
      <c r="AD56" s="106">
        <f t="shared" si="80"/>
        <v>0</v>
      </c>
      <c r="AE56" s="106">
        <f t="shared" si="80"/>
        <v>0</v>
      </c>
      <c r="AF56" s="106">
        <f t="shared" si="80"/>
        <v>0</v>
      </c>
      <c r="AG56" s="157">
        <f t="shared" si="80"/>
        <v>0</v>
      </c>
      <c r="AH56" s="157">
        <f t="shared" si="80"/>
        <v>0</v>
      </c>
      <c r="AI56" s="157">
        <f t="shared" si="80"/>
        <v>0</v>
      </c>
      <c r="AJ56" s="157">
        <f t="shared" si="80"/>
        <v>0</v>
      </c>
      <c r="AK56" s="157">
        <f t="shared" si="80"/>
        <v>0</v>
      </c>
      <c r="AL56" s="157">
        <f t="shared" si="80"/>
        <v>0</v>
      </c>
      <c r="AM56" s="157">
        <f t="shared" si="80"/>
        <v>0</v>
      </c>
      <c r="AN56" s="409">
        <f t="shared" si="80"/>
        <v>0</v>
      </c>
      <c r="AO56" s="294">
        <f t="shared" ref="AO56:AX56" si="81">SUM(AO55)</f>
        <v>20997450</v>
      </c>
      <c r="AP56" s="106">
        <f t="shared" si="81"/>
        <v>15348348</v>
      </c>
      <c r="AQ56" s="106">
        <f t="shared" si="81"/>
        <v>59640</v>
      </c>
      <c r="AR56" s="106">
        <f t="shared" si="81"/>
        <v>0</v>
      </c>
      <c r="AS56" s="106">
        <f t="shared" si="81"/>
        <v>5207900</v>
      </c>
      <c r="AT56" s="106">
        <f t="shared" si="81"/>
        <v>306967</v>
      </c>
      <c r="AU56" s="106">
        <f t="shared" si="81"/>
        <v>74595</v>
      </c>
      <c r="AV56" s="157">
        <f t="shared" si="81"/>
        <v>30.2041</v>
      </c>
      <c r="AW56" s="157">
        <f t="shared" si="81"/>
        <v>26.770699999999998</v>
      </c>
      <c r="AX56" s="296">
        <f t="shared" si="81"/>
        <v>3.4333999999999998</v>
      </c>
    </row>
    <row r="57" spans="1:50" ht="12.95" customHeight="1" x14ac:dyDescent="0.25">
      <c r="A57" s="154">
        <v>11</v>
      </c>
      <c r="B57" s="526">
        <v>5403</v>
      </c>
      <c r="C57" s="527">
        <v>600098966</v>
      </c>
      <c r="D57" s="83">
        <v>75016931</v>
      </c>
      <c r="E57" s="528" t="s">
        <v>394</v>
      </c>
      <c r="F57" s="83">
        <v>3111</v>
      </c>
      <c r="G57" s="528" t="s">
        <v>331</v>
      </c>
      <c r="H57" s="493" t="s">
        <v>283</v>
      </c>
      <c r="I57" s="495">
        <v>1536208</v>
      </c>
      <c r="J57" s="496">
        <v>1112384</v>
      </c>
      <c r="K57" s="496">
        <v>5000</v>
      </c>
      <c r="L57" s="496">
        <v>0</v>
      </c>
      <c r="M57" s="411">
        <v>377676</v>
      </c>
      <c r="N57" s="411">
        <v>22248</v>
      </c>
      <c r="O57" s="496">
        <v>18900</v>
      </c>
      <c r="P57" s="497">
        <v>2.4464000000000001</v>
      </c>
      <c r="Q57" s="412">
        <v>1.9355</v>
      </c>
      <c r="R57" s="498">
        <v>0.51090000000000002</v>
      </c>
      <c r="S57" s="479">
        <f t="shared" ref="S57:S61" si="82">W57*-1</f>
        <v>0</v>
      </c>
      <c r="T57" s="486">
        <v>0</v>
      </c>
      <c r="U57" s="486">
        <v>0</v>
      </c>
      <c r="V57" s="486">
        <f>SUM(S57:U57)</f>
        <v>0</v>
      </c>
      <c r="W57" s="486">
        <v>0</v>
      </c>
      <c r="X57" s="486">
        <v>0</v>
      </c>
      <c r="Y57" s="486">
        <f>SUM(W57:X57)</f>
        <v>0</v>
      </c>
      <c r="Z57" s="486">
        <f>V57+Y57</f>
        <v>0</v>
      </c>
      <c r="AA57" s="319">
        <f>ROUND((V57+W57)*33.8%,0)</f>
        <v>0</v>
      </c>
      <c r="AB57" s="178">
        <f>ROUND(V57*2%,0)</f>
        <v>0</v>
      </c>
      <c r="AC57" s="486">
        <v>0</v>
      </c>
      <c r="AD57" s="486">
        <v>0</v>
      </c>
      <c r="AE57" s="486">
        <f t="shared" si="2"/>
        <v>0</v>
      </c>
      <c r="AF57" s="486">
        <f t="shared" si="3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ref="AL57:AL61" si="83">AG57+AI57+AJ57</f>
        <v>0</v>
      </c>
      <c r="AM57" s="501">
        <f t="shared" ref="AM57:AM61" si="84">AH57+AK57</f>
        <v>0</v>
      </c>
      <c r="AN57" s="529">
        <f t="shared" si="4"/>
        <v>0</v>
      </c>
      <c r="AO57" s="530">
        <f>I57+AF57</f>
        <v>1536208</v>
      </c>
      <c r="AP57" s="486">
        <f>J57+V57</f>
        <v>1112384</v>
      </c>
      <c r="AQ57" s="480">
        <f>K57+Y57</f>
        <v>5000</v>
      </c>
      <c r="AR57" s="480">
        <f>L57</f>
        <v>0</v>
      </c>
      <c r="AS57" s="486">
        <f t="shared" ref="AS57:AT61" si="85">M57+AA57</f>
        <v>377676</v>
      </c>
      <c r="AT57" s="486">
        <f t="shared" si="85"/>
        <v>22248</v>
      </c>
      <c r="AU57" s="486">
        <f>O57+AE57</f>
        <v>18900</v>
      </c>
      <c r="AV57" s="501">
        <f>P57+AN57</f>
        <v>2.4464000000000001</v>
      </c>
      <c r="AW57" s="501">
        <f t="shared" ref="AW57:AX61" si="86">Q57+AL57</f>
        <v>1.9355</v>
      </c>
      <c r="AX57" s="502">
        <f t="shared" si="86"/>
        <v>0.51090000000000002</v>
      </c>
    </row>
    <row r="58" spans="1:50" ht="12.95" customHeight="1" x14ac:dyDescent="0.25">
      <c r="A58" s="154">
        <v>11</v>
      </c>
      <c r="B58" s="526">
        <v>5403</v>
      </c>
      <c r="C58" s="527">
        <v>600098966</v>
      </c>
      <c r="D58" s="83">
        <v>75016931</v>
      </c>
      <c r="E58" s="528" t="s">
        <v>394</v>
      </c>
      <c r="F58" s="83">
        <v>3117</v>
      </c>
      <c r="G58" s="528" t="s">
        <v>320</v>
      </c>
      <c r="H58" s="493" t="s">
        <v>283</v>
      </c>
      <c r="I58" s="495">
        <v>2980308</v>
      </c>
      <c r="J58" s="496">
        <v>2104686</v>
      </c>
      <c r="K58" s="496">
        <v>20736</v>
      </c>
      <c r="L58" s="496">
        <v>4736</v>
      </c>
      <c r="M58" s="411">
        <v>716792</v>
      </c>
      <c r="N58" s="411">
        <v>42094</v>
      </c>
      <c r="O58" s="496">
        <v>96000</v>
      </c>
      <c r="P58" s="497">
        <v>4.2507000000000001</v>
      </c>
      <c r="Q58" s="412">
        <v>2.8962999999999997</v>
      </c>
      <c r="R58" s="498">
        <v>1.3544</v>
      </c>
      <c r="S58" s="479">
        <f t="shared" si="82"/>
        <v>0</v>
      </c>
      <c r="T58" s="486">
        <v>0</v>
      </c>
      <c r="U58" s="486">
        <v>0</v>
      </c>
      <c r="V58" s="486">
        <f>SUM(S58:U58)</f>
        <v>0</v>
      </c>
      <c r="W58" s="486">
        <v>0</v>
      </c>
      <c r="X58" s="486">
        <v>0</v>
      </c>
      <c r="Y58" s="486">
        <f>SUM(W58:X58)</f>
        <v>0</v>
      </c>
      <c r="Z58" s="486">
        <f>V58+Y58</f>
        <v>0</v>
      </c>
      <c r="AA58" s="319">
        <f>ROUND((V58+W58)*33.8%,0)</f>
        <v>0</v>
      </c>
      <c r="AB58" s="178">
        <f>ROUND(V58*2%,0)</f>
        <v>0</v>
      </c>
      <c r="AC58" s="486">
        <v>0</v>
      </c>
      <c r="AD58" s="486">
        <v>0</v>
      </c>
      <c r="AE58" s="486">
        <f t="shared" si="2"/>
        <v>0</v>
      </c>
      <c r="AF58" s="486">
        <f t="shared" si="3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si="83"/>
        <v>0</v>
      </c>
      <c r="AM58" s="501">
        <f t="shared" si="84"/>
        <v>0</v>
      </c>
      <c r="AN58" s="529">
        <f t="shared" si="4"/>
        <v>0</v>
      </c>
      <c r="AO58" s="530">
        <f>I58+AF58</f>
        <v>2980308</v>
      </c>
      <c r="AP58" s="486">
        <f>J58+V58</f>
        <v>2104686</v>
      </c>
      <c r="AQ58" s="480">
        <f>K58+Y58</f>
        <v>20736</v>
      </c>
      <c r="AR58" s="480">
        <f>L58</f>
        <v>4736</v>
      </c>
      <c r="AS58" s="486">
        <f t="shared" si="85"/>
        <v>716792</v>
      </c>
      <c r="AT58" s="486">
        <f t="shared" si="85"/>
        <v>42094</v>
      </c>
      <c r="AU58" s="486">
        <f>O58+AE58</f>
        <v>96000</v>
      </c>
      <c r="AV58" s="501">
        <f>P58+AN58</f>
        <v>4.2507000000000001</v>
      </c>
      <c r="AW58" s="501">
        <f t="shared" si="86"/>
        <v>2.8962999999999997</v>
      </c>
      <c r="AX58" s="502">
        <f t="shared" si="86"/>
        <v>1.3544</v>
      </c>
    </row>
    <row r="59" spans="1:50" ht="12.95" customHeight="1" x14ac:dyDescent="0.25">
      <c r="A59" s="154">
        <v>11</v>
      </c>
      <c r="B59" s="526">
        <v>5403</v>
      </c>
      <c r="C59" s="527">
        <v>600098966</v>
      </c>
      <c r="D59" s="83">
        <v>75016931</v>
      </c>
      <c r="E59" s="528" t="s">
        <v>394</v>
      </c>
      <c r="F59" s="83">
        <v>3141</v>
      </c>
      <c r="G59" s="528" t="s">
        <v>321</v>
      </c>
      <c r="H59" s="493" t="s">
        <v>284</v>
      </c>
      <c r="I59" s="495">
        <v>765180</v>
      </c>
      <c r="J59" s="496">
        <v>556057</v>
      </c>
      <c r="K59" s="496">
        <v>5000</v>
      </c>
      <c r="L59" s="496">
        <v>0</v>
      </c>
      <c r="M59" s="411">
        <v>189637</v>
      </c>
      <c r="N59" s="411">
        <v>11122</v>
      </c>
      <c r="O59" s="496">
        <v>3364</v>
      </c>
      <c r="P59" s="497">
        <v>1.91</v>
      </c>
      <c r="Q59" s="412">
        <v>0</v>
      </c>
      <c r="R59" s="498">
        <v>1.91</v>
      </c>
      <c r="S59" s="479">
        <f t="shared" si="82"/>
        <v>0</v>
      </c>
      <c r="T59" s="486">
        <v>0</v>
      </c>
      <c r="U59" s="486">
        <v>0</v>
      </c>
      <c r="V59" s="486">
        <f>SUM(S59:U59)</f>
        <v>0</v>
      </c>
      <c r="W59" s="486">
        <v>0</v>
      </c>
      <c r="X59" s="486">
        <v>0</v>
      </c>
      <c r="Y59" s="486">
        <f>SUM(W59:X59)</f>
        <v>0</v>
      </c>
      <c r="Z59" s="486">
        <f>V59+Y59</f>
        <v>0</v>
      </c>
      <c r="AA59" s="319">
        <f>ROUND((V59+W59)*33.8%,0)</f>
        <v>0</v>
      </c>
      <c r="AB59" s="178">
        <f>ROUND(V59*2%,0)</f>
        <v>0</v>
      </c>
      <c r="AC59" s="486">
        <v>0</v>
      </c>
      <c r="AD59" s="486">
        <v>0</v>
      </c>
      <c r="AE59" s="486">
        <f t="shared" si="2"/>
        <v>0</v>
      </c>
      <c r="AF59" s="486">
        <f t="shared" si="3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83"/>
        <v>0</v>
      </c>
      <c r="AM59" s="501">
        <f t="shared" si="84"/>
        <v>0</v>
      </c>
      <c r="AN59" s="529">
        <f t="shared" si="4"/>
        <v>0</v>
      </c>
      <c r="AO59" s="530">
        <f>I59+AF59</f>
        <v>765180</v>
      </c>
      <c r="AP59" s="486">
        <f>J59+V59</f>
        <v>556057</v>
      </c>
      <c r="AQ59" s="480">
        <f>K59+Y59</f>
        <v>5000</v>
      </c>
      <c r="AR59" s="480">
        <f>L59</f>
        <v>0</v>
      </c>
      <c r="AS59" s="486">
        <f t="shared" si="85"/>
        <v>189637</v>
      </c>
      <c r="AT59" s="486">
        <f t="shared" si="85"/>
        <v>11122</v>
      </c>
      <c r="AU59" s="486">
        <f>O59+AE59</f>
        <v>3364</v>
      </c>
      <c r="AV59" s="501">
        <f>P59+AN59</f>
        <v>1.91</v>
      </c>
      <c r="AW59" s="501">
        <f t="shared" si="86"/>
        <v>0</v>
      </c>
      <c r="AX59" s="502">
        <f t="shared" si="86"/>
        <v>1.91</v>
      </c>
    </row>
    <row r="60" spans="1:50" ht="12.95" customHeight="1" x14ac:dyDescent="0.25">
      <c r="A60" s="154">
        <v>11</v>
      </c>
      <c r="B60" s="526">
        <v>5403</v>
      </c>
      <c r="C60" s="527">
        <v>600098966</v>
      </c>
      <c r="D60" s="83">
        <v>75016931</v>
      </c>
      <c r="E60" s="528" t="s">
        <v>394</v>
      </c>
      <c r="F60" s="83">
        <v>3143</v>
      </c>
      <c r="G60" s="528" t="s">
        <v>634</v>
      </c>
      <c r="H60" s="493" t="s">
        <v>283</v>
      </c>
      <c r="I60" s="495">
        <v>540122</v>
      </c>
      <c r="J60" s="496">
        <v>395763</v>
      </c>
      <c r="K60" s="496">
        <v>2000</v>
      </c>
      <c r="L60" s="496">
        <v>0</v>
      </c>
      <c r="M60" s="411">
        <v>134444</v>
      </c>
      <c r="N60" s="411">
        <v>7915</v>
      </c>
      <c r="O60" s="496">
        <v>0</v>
      </c>
      <c r="P60" s="497">
        <v>0.89280000000000004</v>
      </c>
      <c r="Q60" s="412">
        <v>0.89280000000000004</v>
      </c>
      <c r="R60" s="498">
        <v>0</v>
      </c>
      <c r="S60" s="479">
        <f t="shared" si="82"/>
        <v>0</v>
      </c>
      <c r="T60" s="486">
        <v>0</v>
      </c>
      <c r="U60" s="486">
        <v>0</v>
      </c>
      <c r="V60" s="486">
        <f>SUM(S60:U60)</f>
        <v>0</v>
      </c>
      <c r="W60" s="486">
        <v>0</v>
      </c>
      <c r="X60" s="486">
        <v>0</v>
      </c>
      <c r="Y60" s="486">
        <f>SUM(W60:X60)</f>
        <v>0</v>
      </c>
      <c r="Z60" s="486">
        <f>V60+Y60</f>
        <v>0</v>
      </c>
      <c r="AA60" s="319">
        <f>ROUND((V60+W60)*33.8%,0)</f>
        <v>0</v>
      </c>
      <c r="AB60" s="178">
        <f>ROUND(V60*2%,0)</f>
        <v>0</v>
      </c>
      <c r="AC60" s="486">
        <v>0</v>
      </c>
      <c r="AD60" s="486">
        <v>0</v>
      </c>
      <c r="AE60" s="486">
        <f t="shared" si="2"/>
        <v>0</v>
      </c>
      <c r="AF60" s="486">
        <f t="shared" si="3"/>
        <v>0</v>
      </c>
      <c r="AG60" s="501">
        <v>0</v>
      </c>
      <c r="AH60" s="501">
        <v>0</v>
      </c>
      <c r="AI60" s="501">
        <v>0</v>
      </c>
      <c r="AJ60" s="501">
        <v>0</v>
      </c>
      <c r="AK60" s="501">
        <v>0</v>
      </c>
      <c r="AL60" s="501">
        <f t="shared" si="83"/>
        <v>0</v>
      </c>
      <c r="AM60" s="501">
        <f t="shared" si="84"/>
        <v>0</v>
      </c>
      <c r="AN60" s="529">
        <f t="shared" si="4"/>
        <v>0</v>
      </c>
      <c r="AO60" s="530">
        <f>I60+AF60</f>
        <v>540122</v>
      </c>
      <c r="AP60" s="486">
        <f>J60+V60</f>
        <v>395763</v>
      </c>
      <c r="AQ60" s="480">
        <f>K60+Y60</f>
        <v>2000</v>
      </c>
      <c r="AR60" s="480">
        <f>L60</f>
        <v>0</v>
      </c>
      <c r="AS60" s="486">
        <f t="shared" si="85"/>
        <v>134444</v>
      </c>
      <c r="AT60" s="486">
        <f t="shared" si="85"/>
        <v>7915</v>
      </c>
      <c r="AU60" s="486">
        <f>O60+AE60</f>
        <v>0</v>
      </c>
      <c r="AV60" s="501">
        <f>P60+AN60</f>
        <v>0.89280000000000004</v>
      </c>
      <c r="AW60" s="501">
        <f t="shared" si="86"/>
        <v>0.89280000000000004</v>
      </c>
      <c r="AX60" s="502">
        <f t="shared" si="86"/>
        <v>0</v>
      </c>
    </row>
    <row r="61" spans="1:50" ht="12.95" customHeight="1" x14ac:dyDescent="0.25">
      <c r="A61" s="154">
        <v>11</v>
      </c>
      <c r="B61" s="526">
        <v>5403</v>
      </c>
      <c r="C61" s="527">
        <v>600098966</v>
      </c>
      <c r="D61" s="83">
        <v>75016931</v>
      </c>
      <c r="E61" s="528" t="s">
        <v>394</v>
      </c>
      <c r="F61" s="83">
        <v>3143</v>
      </c>
      <c r="G61" s="528" t="s">
        <v>635</v>
      </c>
      <c r="H61" s="493" t="s">
        <v>284</v>
      </c>
      <c r="I61" s="495">
        <v>17556</v>
      </c>
      <c r="J61" s="496">
        <v>12375</v>
      </c>
      <c r="K61" s="496">
        <v>0</v>
      </c>
      <c r="L61" s="496">
        <v>0</v>
      </c>
      <c r="M61" s="411">
        <v>4183</v>
      </c>
      <c r="N61" s="411">
        <v>248</v>
      </c>
      <c r="O61" s="496">
        <v>750</v>
      </c>
      <c r="P61" s="497">
        <v>0.05</v>
      </c>
      <c r="Q61" s="412">
        <v>0</v>
      </c>
      <c r="R61" s="498">
        <v>0.05</v>
      </c>
      <c r="S61" s="479">
        <f t="shared" si="82"/>
        <v>0</v>
      </c>
      <c r="T61" s="486">
        <v>0</v>
      </c>
      <c r="U61" s="486">
        <v>0</v>
      </c>
      <c r="V61" s="486">
        <f>SUM(S61:U61)</f>
        <v>0</v>
      </c>
      <c r="W61" s="486">
        <v>0</v>
      </c>
      <c r="X61" s="486">
        <v>0</v>
      </c>
      <c r="Y61" s="486">
        <f>SUM(W61:X61)</f>
        <v>0</v>
      </c>
      <c r="Z61" s="486">
        <f>V61+Y61</f>
        <v>0</v>
      </c>
      <c r="AA61" s="319">
        <f>ROUND((V61+W61)*33.8%,0)</f>
        <v>0</v>
      </c>
      <c r="AB61" s="178">
        <f>ROUND(V61*2%,0)</f>
        <v>0</v>
      </c>
      <c r="AC61" s="486">
        <v>0</v>
      </c>
      <c r="AD61" s="486">
        <v>0</v>
      </c>
      <c r="AE61" s="486">
        <f t="shared" si="2"/>
        <v>0</v>
      </c>
      <c r="AF61" s="486">
        <f t="shared" si="3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si="83"/>
        <v>0</v>
      </c>
      <c r="AM61" s="501">
        <f t="shared" si="84"/>
        <v>0</v>
      </c>
      <c r="AN61" s="529">
        <f t="shared" si="4"/>
        <v>0</v>
      </c>
      <c r="AO61" s="530">
        <f>I61+AF61</f>
        <v>17556</v>
      </c>
      <c r="AP61" s="486">
        <f>J61+V61</f>
        <v>12375</v>
      </c>
      <c r="AQ61" s="480">
        <f>K61+Y61</f>
        <v>0</v>
      </c>
      <c r="AR61" s="480">
        <f>L61</f>
        <v>0</v>
      </c>
      <c r="AS61" s="486">
        <f t="shared" si="85"/>
        <v>4183</v>
      </c>
      <c r="AT61" s="486">
        <f t="shared" si="85"/>
        <v>248</v>
      </c>
      <c r="AU61" s="486">
        <f>O61+AE61</f>
        <v>750</v>
      </c>
      <c r="AV61" s="501">
        <f>P61+AN61</f>
        <v>0.05</v>
      </c>
      <c r="AW61" s="501">
        <f t="shared" si="86"/>
        <v>0</v>
      </c>
      <c r="AX61" s="502">
        <f t="shared" si="86"/>
        <v>0.05</v>
      </c>
    </row>
    <row r="62" spans="1:50" ht="12.95" customHeight="1" x14ac:dyDescent="0.25">
      <c r="A62" s="156">
        <v>11</v>
      </c>
      <c r="B62" s="104">
        <v>5403</v>
      </c>
      <c r="C62" s="105">
        <v>600098966</v>
      </c>
      <c r="D62" s="104">
        <v>75016931</v>
      </c>
      <c r="E62" s="298" t="s">
        <v>395</v>
      </c>
      <c r="F62" s="92"/>
      <c r="G62" s="299"/>
      <c r="H62" s="93"/>
      <c r="I62" s="294">
        <v>5839374</v>
      </c>
      <c r="J62" s="106">
        <v>4181265</v>
      </c>
      <c r="K62" s="106">
        <v>32736</v>
      </c>
      <c r="L62" s="106">
        <v>4736</v>
      </c>
      <c r="M62" s="106">
        <v>1422732</v>
      </c>
      <c r="N62" s="106">
        <v>83627</v>
      </c>
      <c r="O62" s="106">
        <v>119014</v>
      </c>
      <c r="P62" s="157">
        <v>9.5499000000000009</v>
      </c>
      <c r="Q62" s="157">
        <v>5.7245999999999997</v>
      </c>
      <c r="R62" s="296">
        <v>3.8252999999999995</v>
      </c>
      <c r="S62" s="149">
        <f t="shared" ref="S62:AN62" si="87">SUM(S57:S61)</f>
        <v>0</v>
      </c>
      <c r="T62" s="106">
        <f t="shared" si="87"/>
        <v>0</v>
      </c>
      <c r="U62" s="106">
        <f t="shared" si="87"/>
        <v>0</v>
      </c>
      <c r="V62" s="106">
        <f t="shared" si="87"/>
        <v>0</v>
      </c>
      <c r="W62" s="106">
        <f t="shared" si="87"/>
        <v>0</v>
      </c>
      <c r="X62" s="106">
        <f t="shared" si="87"/>
        <v>0</v>
      </c>
      <c r="Y62" s="106">
        <f t="shared" si="87"/>
        <v>0</v>
      </c>
      <c r="Z62" s="106">
        <f t="shared" si="87"/>
        <v>0</v>
      </c>
      <c r="AA62" s="106">
        <f t="shared" si="87"/>
        <v>0</v>
      </c>
      <c r="AB62" s="106">
        <f t="shared" si="87"/>
        <v>0</v>
      </c>
      <c r="AC62" s="106">
        <f t="shared" si="87"/>
        <v>0</v>
      </c>
      <c r="AD62" s="106">
        <f t="shared" si="87"/>
        <v>0</v>
      </c>
      <c r="AE62" s="106">
        <f t="shared" si="87"/>
        <v>0</v>
      </c>
      <c r="AF62" s="106">
        <f t="shared" si="87"/>
        <v>0</v>
      </c>
      <c r="AG62" s="157">
        <f t="shared" si="87"/>
        <v>0</v>
      </c>
      <c r="AH62" s="157">
        <f t="shared" si="87"/>
        <v>0</v>
      </c>
      <c r="AI62" s="157">
        <f t="shared" si="87"/>
        <v>0</v>
      </c>
      <c r="AJ62" s="157">
        <f t="shared" si="87"/>
        <v>0</v>
      </c>
      <c r="AK62" s="157">
        <f t="shared" si="87"/>
        <v>0</v>
      </c>
      <c r="AL62" s="157">
        <f t="shared" si="87"/>
        <v>0</v>
      </c>
      <c r="AM62" s="157">
        <f t="shared" si="87"/>
        <v>0</v>
      </c>
      <c r="AN62" s="409">
        <f t="shared" si="87"/>
        <v>0</v>
      </c>
      <c r="AO62" s="294">
        <f t="shared" ref="AO62:AX62" si="88">SUM(AO57:AO61)</f>
        <v>5839374</v>
      </c>
      <c r="AP62" s="106">
        <f t="shared" si="88"/>
        <v>4181265</v>
      </c>
      <c r="AQ62" s="106">
        <f t="shared" si="88"/>
        <v>32736</v>
      </c>
      <c r="AR62" s="106">
        <f t="shared" si="88"/>
        <v>4736</v>
      </c>
      <c r="AS62" s="106">
        <f t="shared" si="88"/>
        <v>1422732</v>
      </c>
      <c r="AT62" s="106">
        <f t="shared" si="88"/>
        <v>83627</v>
      </c>
      <c r="AU62" s="106">
        <f t="shared" si="88"/>
        <v>119014</v>
      </c>
      <c r="AV62" s="157">
        <f t="shared" si="88"/>
        <v>9.5499000000000009</v>
      </c>
      <c r="AW62" s="157">
        <f t="shared" si="88"/>
        <v>5.7245999999999997</v>
      </c>
      <c r="AX62" s="296">
        <f t="shared" si="88"/>
        <v>3.8252999999999995</v>
      </c>
    </row>
    <row r="63" spans="1:50" ht="12.95" customHeight="1" x14ac:dyDescent="0.25">
      <c r="A63" s="154">
        <v>12</v>
      </c>
      <c r="B63" s="526">
        <v>5404</v>
      </c>
      <c r="C63" s="527">
        <v>600098974</v>
      </c>
      <c r="D63" s="83">
        <v>70979812</v>
      </c>
      <c r="E63" s="528" t="s">
        <v>396</v>
      </c>
      <c r="F63" s="83">
        <v>3111</v>
      </c>
      <c r="G63" s="528" t="s">
        <v>331</v>
      </c>
      <c r="H63" s="493" t="s">
        <v>283</v>
      </c>
      <c r="I63" s="495">
        <v>1585608</v>
      </c>
      <c r="J63" s="496">
        <v>1150354</v>
      </c>
      <c r="K63" s="496">
        <v>6000</v>
      </c>
      <c r="L63" s="496">
        <v>0</v>
      </c>
      <c r="M63" s="411">
        <v>390847</v>
      </c>
      <c r="N63" s="411">
        <v>23007</v>
      </c>
      <c r="O63" s="496">
        <v>15400</v>
      </c>
      <c r="P63" s="497">
        <v>2.4809000000000001</v>
      </c>
      <c r="Q63" s="412">
        <v>2</v>
      </c>
      <c r="R63" s="498">
        <v>0.48089999999999999</v>
      </c>
      <c r="S63" s="479">
        <f t="shared" ref="S63:S68" si="89">W63*-1</f>
        <v>0</v>
      </c>
      <c r="T63" s="486">
        <v>0</v>
      </c>
      <c r="U63" s="486">
        <v>0</v>
      </c>
      <c r="V63" s="486">
        <f t="shared" ref="V63:V68" si="90">SUM(S63:U63)</f>
        <v>0</v>
      </c>
      <c r="W63" s="486">
        <v>0</v>
      </c>
      <c r="X63" s="486">
        <v>0</v>
      </c>
      <c r="Y63" s="486">
        <f t="shared" ref="Y63:Y68" si="91">SUM(W63:X63)</f>
        <v>0</v>
      </c>
      <c r="Z63" s="486">
        <f t="shared" ref="Z63:Z68" si="92">V63+Y63</f>
        <v>0</v>
      </c>
      <c r="AA63" s="319">
        <f t="shared" ref="AA63:AA68" si="93">ROUND((V63+W63)*33.8%,0)</f>
        <v>0</v>
      </c>
      <c r="AB63" s="178">
        <f t="shared" ref="AB63:AB68" si="94">ROUND(V63*2%,0)</f>
        <v>0</v>
      </c>
      <c r="AC63" s="486">
        <v>0</v>
      </c>
      <c r="AD63" s="486">
        <v>0</v>
      </c>
      <c r="AE63" s="486">
        <f t="shared" si="2"/>
        <v>0</v>
      </c>
      <c r="AF63" s="486">
        <f t="shared" si="3"/>
        <v>0</v>
      </c>
      <c r="AG63" s="501">
        <v>0</v>
      </c>
      <c r="AH63" s="501">
        <v>0</v>
      </c>
      <c r="AI63" s="501">
        <v>0</v>
      </c>
      <c r="AJ63" s="501">
        <v>0</v>
      </c>
      <c r="AK63" s="501">
        <v>0</v>
      </c>
      <c r="AL63" s="501">
        <f t="shared" ref="AL63:AL68" si="95">AG63+AI63+AJ63</f>
        <v>0</v>
      </c>
      <c r="AM63" s="501">
        <f t="shared" ref="AM63:AM68" si="96">AH63+AK63</f>
        <v>0</v>
      </c>
      <c r="AN63" s="529">
        <f t="shared" si="4"/>
        <v>0</v>
      </c>
      <c r="AO63" s="530">
        <f t="shared" ref="AO63:AO68" si="97">I63+AF63</f>
        <v>1585608</v>
      </c>
      <c r="AP63" s="486">
        <f t="shared" ref="AP63:AP68" si="98">J63+V63</f>
        <v>1150354</v>
      </c>
      <c r="AQ63" s="480">
        <f t="shared" ref="AQ63:AQ68" si="99">K63+Y63</f>
        <v>6000</v>
      </c>
      <c r="AR63" s="480">
        <f t="shared" ref="AR63:AR68" si="100">L63</f>
        <v>0</v>
      </c>
      <c r="AS63" s="486">
        <f t="shared" ref="AS63:AT68" si="101">M63+AA63</f>
        <v>390847</v>
      </c>
      <c r="AT63" s="486">
        <f t="shared" si="101"/>
        <v>23007</v>
      </c>
      <c r="AU63" s="486">
        <f t="shared" ref="AU63:AU68" si="102">O63+AE63</f>
        <v>15400</v>
      </c>
      <c r="AV63" s="501">
        <f t="shared" ref="AV63:AV68" si="103">P63+AN63</f>
        <v>2.4809000000000001</v>
      </c>
      <c r="AW63" s="501">
        <f t="shared" ref="AW63:AX68" si="104">Q63+AL63</f>
        <v>2</v>
      </c>
      <c r="AX63" s="502">
        <f t="shared" si="104"/>
        <v>0.48089999999999999</v>
      </c>
    </row>
    <row r="64" spans="1:50" ht="12.95" customHeight="1" x14ac:dyDescent="0.25">
      <c r="A64" s="154">
        <v>12</v>
      </c>
      <c r="B64" s="526">
        <v>5404</v>
      </c>
      <c r="C64" s="527">
        <v>600098974</v>
      </c>
      <c r="D64" s="83">
        <v>70979812</v>
      </c>
      <c r="E64" s="528" t="s">
        <v>396</v>
      </c>
      <c r="F64" s="83">
        <v>3117</v>
      </c>
      <c r="G64" s="528" t="s">
        <v>320</v>
      </c>
      <c r="H64" s="493" t="s">
        <v>283</v>
      </c>
      <c r="I64" s="495">
        <v>2716578</v>
      </c>
      <c r="J64" s="496">
        <v>1951745</v>
      </c>
      <c r="K64" s="496">
        <v>3108</v>
      </c>
      <c r="L64" s="496">
        <v>3108</v>
      </c>
      <c r="M64" s="411">
        <v>659690</v>
      </c>
      <c r="N64" s="411">
        <v>39035</v>
      </c>
      <c r="O64" s="496">
        <v>63000</v>
      </c>
      <c r="P64" s="497">
        <v>4.0684000000000005</v>
      </c>
      <c r="Q64" s="412">
        <v>2.5</v>
      </c>
      <c r="R64" s="498">
        <v>1.5684</v>
      </c>
      <c r="S64" s="479">
        <f t="shared" si="89"/>
        <v>0</v>
      </c>
      <c r="T64" s="486">
        <v>0</v>
      </c>
      <c r="U64" s="486">
        <v>0</v>
      </c>
      <c r="V64" s="486">
        <f t="shared" si="90"/>
        <v>0</v>
      </c>
      <c r="W64" s="486">
        <v>0</v>
      </c>
      <c r="X64" s="486">
        <v>0</v>
      </c>
      <c r="Y64" s="486">
        <f t="shared" si="91"/>
        <v>0</v>
      </c>
      <c r="Z64" s="486">
        <f t="shared" si="92"/>
        <v>0</v>
      </c>
      <c r="AA64" s="319">
        <f t="shared" si="93"/>
        <v>0</v>
      </c>
      <c r="AB64" s="178">
        <f t="shared" si="94"/>
        <v>0</v>
      </c>
      <c r="AC64" s="486">
        <v>0</v>
      </c>
      <c r="AD64" s="486">
        <v>0</v>
      </c>
      <c r="AE64" s="486">
        <f t="shared" si="2"/>
        <v>0</v>
      </c>
      <c r="AF64" s="486">
        <f t="shared" si="3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si="95"/>
        <v>0</v>
      </c>
      <c r="AM64" s="501">
        <f t="shared" si="96"/>
        <v>0</v>
      </c>
      <c r="AN64" s="529">
        <f t="shared" si="4"/>
        <v>0</v>
      </c>
      <c r="AO64" s="530">
        <f t="shared" si="97"/>
        <v>2716578</v>
      </c>
      <c r="AP64" s="486">
        <f t="shared" si="98"/>
        <v>1951745</v>
      </c>
      <c r="AQ64" s="480">
        <f t="shared" si="99"/>
        <v>3108</v>
      </c>
      <c r="AR64" s="480">
        <f t="shared" si="100"/>
        <v>3108</v>
      </c>
      <c r="AS64" s="486">
        <f t="shared" si="101"/>
        <v>659690</v>
      </c>
      <c r="AT64" s="486">
        <f t="shared" si="101"/>
        <v>39035</v>
      </c>
      <c r="AU64" s="486">
        <f t="shared" si="102"/>
        <v>63000</v>
      </c>
      <c r="AV64" s="501">
        <f t="shared" si="103"/>
        <v>4.0684000000000005</v>
      </c>
      <c r="AW64" s="501">
        <f t="shared" si="104"/>
        <v>2.5</v>
      </c>
      <c r="AX64" s="502">
        <f t="shared" si="104"/>
        <v>1.5684</v>
      </c>
    </row>
    <row r="65" spans="1:50" ht="12.95" customHeight="1" x14ac:dyDescent="0.25">
      <c r="A65" s="154">
        <v>12</v>
      </c>
      <c r="B65" s="526">
        <v>5404</v>
      </c>
      <c r="C65" s="527">
        <v>600098974</v>
      </c>
      <c r="D65" s="83">
        <v>70979812</v>
      </c>
      <c r="E65" s="528" t="s">
        <v>396</v>
      </c>
      <c r="F65" s="83">
        <v>3117</v>
      </c>
      <c r="G65" s="528" t="s">
        <v>325</v>
      </c>
      <c r="H65" s="493" t="s">
        <v>284</v>
      </c>
      <c r="I65" s="495">
        <v>103350</v>
      </c>
      <c r="J65" s="496">
        <v>76104</v>
      </c>
      <c r="K65" s="496">
        <v>0</v>
      </c>
      <c r="L65" s="496">
        <v>0</v>
      </c>
      <c r="M65" s="411">
        <v>25724</v>
      </c>
      <c r="N65" s="411">
        <v>1522</v>
      </c>
      <c r="O65" s="496">
        <v>0</v>
      </c>
      <c r="P65" s="497">
        <v>0.22</v>
      </c>
      <c r="Q65" s="412">
        <v>0.22</v>
      </c>
      <c r="R65" s="498">
        <v>0</v>
      </c>
      <c r="S65" s="479">
        <f t="shared" si="89"/>
        <v>0</v>
      </c>
      <c r="T65" s="486">
        <v>0</v>
      </c>
      <c r="U65" s="486">
        <v>0</v>
      </c>
      <c r="V65" s="486">
        <f t="shared" si="90"/>
        <v>0</v>
      </c>
      <c r="W65" s="486">
        <v>0</v>
      </c>
      <c r="X65" s="486">
        <v>0</v>
      </c>
      <c r="Y65" s="486">
        <f t="shared" si="91"/>
        <v>0</v>
      </c>
      <c r="Z65" s="486">
        <f t="shared" si="92"/>
        <v>0</v>
      </c>
      <c r="AA65" s="319">
        <f t="shared" si="93"/>
        <v>0</v>
      </c>
      <c r="AB65" s="178">
        <f t="shared" si="94"/>
        <v>0</v>
      </c>
      <c r="AC65" s="486">
        <v>2000</v>
      </c>
      <c r="AD65" s="486">
        <v>0</v>
      </c>
      <c r="AE65" s="486">
        <f t="shared" si="2"/>
        <v>2000</v>
      </c>
      <c r="AF65" s="486">
        <f t="shared" si="3"/>
        <v>2000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si="95"/>
        <v>0</v>
      </c>
      <c r="AM65" s="501">
        <f t="shared" si="96"/>
        <v>0</v>
      </c>
      <c r="AN65" s="529">
        <f t="shared" si="4"/>
        <v>0</v>
      </c>
      <c r="AO65" s="530">
        <f t="shared" si="97"/>
        <v>105350</v>
      </c>
      <c r="AP65" s="486">
        <f t="shared" si="98"/>
        <v>76104</v>
      </c>
      <c r="AQ65" s="480">
        <f t="shared" si="99"/>
        <v>0</v>
      </c>
      <c r="AR65" s="480">
        <f t="shared" si="100"/>
        <v>0</v>
      </c>
      <c r="AS65" s="486">
        <f t="shared" si="101"/>
        <v>25724</v>
      </c>
      <c r="AT65" s="486">
        <f t="shared" si="101"/>
        <v>1522</v>
      </c>
      <c r="AU65" s="486">
        <f t="shared" si="102"/>
        <v>2000</v>
      </c>
      <c r="AV65" s="501">
        <f t="shared" si="103"/>
        <v>0.22</v>
      </c>
      <c r="AW65" s="501">
        <f t="shared" si="104"/>
        <v>0.22</v>
      </c>
      <c r="AX65" s="502">
        <f t="shared" si="104"/>
        <v>0</v>
      </c>
    </row>
    <row r="66" spans="1:50" ht="12.95" customHeight="1" x14ac:dyDescent="0.25">
      <c r="A66" s="154">
        <v>12</v>
      </c>
      <c r="B66" s="526">
        <v>5404</v>
      </c>
      <c r="C66" s="527">
        <v>600098974</v>
      </c>
      <c r="D66" s="83">
        <v>70979812</v>
      </c>
      <c r="E66" s="528" t="s">
        <v>396</v>
      </c>
      <c r="F66" s="83">
        <v>3141</v>
      </c>
      <c r="G66" s="528" t="s">
        <v>321</v>
      </c>
      <c r="H66" s="493" t="s">
        <v>284</v>
      </c>
      <c r="I66" s="495">
        <v>598122</v>
      </c>
      <c r="J66" s="496">
        <v>438650</v>
      </c>
      <c r="K66" s="496">
        <v>0</v>
      </c>
      <c r="L66" s="496">
        <v>0</v>
      </c>
      <c r="M66" s="411">
        <v>148263</v>
      </c>
      <c r="N66" s="411">
        <v>8773</v>
      </c>
      <c r="O66" s="496">
        <v>2436</v>
      </c>
      <c r="P66" s="497">
        <v>1.49</v>
      </c>
      <c r="Q66" s="412">
        <v>0</v>
      </c>
      <c r="R66" s="498">
        <v>1.49</v>
      </c>
      <c r="S66" s="479">
        <f t="shared" si="89"/>
        <v>0</v>
      </c>
      <c r="T66" s="486">
        <v>0</v>
      </c>
      <c r="U66" s="486">
        <v>0</v>
      </c>
      <c r="V66" s="486">
        <f t="shared" si="90"/>
        <v>0</v>
      </c>
      <c r="W66" s="486">
        <v>0</v>
      </c>
      <c r="X66" s="486">
        <v>0</v>
      </c>
      <c r="Y66" s="486">
        <f t="shared" si="91"/>
        <v>0</v>
      </c>
      <c r="Z66" s="486">
        <f t="shared" si="92"/>
        <v>0</v>
      </c>
      <c r="AA66" s="319">
        <f t="shared" si="93"/>
        <v>0</v>
      </c>
      <c r="AB66" s="178">
        <f t="shared" si="94"/>
        <v>0</v>
      </c>
      <c r="AC66" s="486">
        <v>0</v>
      </c>
      <c r="AD66" s="486">
        <v>0</v>
      </c>
      <c r="AE66" s="486">
        <f t="shared" si="2"/>
        <v>0</v>
      </c>
      <c r="AF66" s="486">
        <f t="shared" si="3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95"/>
        <v>0</v>
      </c>
      <c r="AM66" s="501">
        <f t="shared" si="96"/>
        <v>0</v>
      </c>
      <c r="AN66" s="529">
        <f t="shared" si="4"/>
        <v>0</v>
      </c>
      <c r="AO66" s="530">
        <f t="shared" si="97"/>
        <v>598122</v>
      </c>
      <c r="AP66" s="486">
        <f t="shared" si="98"/>
        <v>438650</v>
      </c>
      <c r="AQ66" s="480">
        <f t="shared" si="99"/>
        <v>0</v>
      </c>
      <c r="AR66" s="480">
        <f t="shared" si="100"/>
        <v>0</v>
      </c>
      <c r="AS66" s="486">
        <f t="shared" si="101"/>
        <v>148263</v>
      </c>
      <c r="AT66" s="486">
        <f t="shared" si="101"/>
        <v>8773</v>
      </c>
      <c r="AU66" s="486">
        <f t="shared" si="102"/>
        <v>2436</v>
      </c>
      <c r="AV66" s="501">
        <f t="shared" si="103"/>
        <v>1.49</v>
      </c>
      <c r="AW66" s="501">
        <f t="shared" si="104"/>
        <v>0</v>
      </c>
      <c r="AX66" s="502">
        <f t="shared" si="104"/>
        <v>1.49</v>
      </c>
    </row>
    <row r="67" spans="1:50" ht="12.95" customHeight="1" x14ac:dyDescent="0.25">
      <c r="A67" s="154">
        <v>12</v>
      </c>
      <c r="B67" s="526">
        <v>5404</v>
      </c>
      <c r="C67" s="527">
        <v>600098974</v>
      </c>
      <c r="D67" s="83">
        <v>70979812</v>
      </c>
      <c r="E67" s="528" t="s">
        <v>396</v>
      </c>
      <c r="F67" s="83">
        <v>3143</v>
      </c>
      <c r="G67" s="528" t="s">
        <v>634</v>
      </c>
      <c r="H67" s="493" t="s">
        <v>283</v>
      </c>
      <c r="I67" s="495">
        <v>437094</v>
      </c>
      <c r="J67" s="496">
        <v>321866</v>
      </c>
      <c r="K67" s="496">
        <v>0</v>
      </c>
      <c r="L67" s="496">
        <v>0</v>
      </c>
      <c r="M67" s="411">
        <v>108791</v>
      </c>
      <c r="N67" s="411">
        <v>6437</v>
      </c>
      <c r="O67" s="496">
        <v>0</v>
      </c>
      <c r="P67" s="497">
        <v>0.70520000000000005</v>
      </c>
      <c r="Q67" s="412">
        <v>0.70520000000000005</v>
      </c>
      <c r="R67" s="498">
        <v>0</v>
      </c>
      <c r="S67" s="479">
        <f t="shared" si="89"/>
        <v>0</v>
      </c>
      <c r="T67" s="486">
        <v>0</v>
      </c>
      <c r="U67" s="486">
        <v>0</v>
      </c>
      <c r="V67" s="486">
        <f t="shared" si="90"/>
        <v>0</v>
      </c>
      <c r="W67" s="486">
        <v>0</v>
      </c>
      <c r="X67" s="486">
        <v>0</v>
      </c>
      <c r="Y67" s="486">
        <f t="shared" si="91"/>
        <v>0</v>
      </c>
      <c r="Z67" s="486">
        <f t="shared" si="92"/>
        <v>0</v>
      </c>
      <c r="AA67" s="319">
        <f t="shared" si="93"/>
        <v>0</v>
      </c>
      <c r="AB67" s="178">
        <f t="shared" si="94"/>
        <v>0</v>
      </c>
      <c r="AC67" s="486">
        <v>0</v>
      </c>
      <c r="AD67" s="486">
        <v>0</v>
      </c>
      <c r="AE67" s="486">
        <f t="shared" si="2"/>
        <v>0</v>
      </c>
      <c r="AF67" s="486">
        <f t="shared" si="3"/>
        <v>0</v>
      </c>
      <c r="AG67" s="501">
        <v>0</v>
      </c>
      <c r="AH67" s="501">
        <v>0</v>
      </c>
      <c r="AI67" s="501">
        <v>0</v>
      </c>
      <c r="AJ67" s="501">
        <v>0</v>
      </c>
      <c r="AK67" s="501">
        <v>0</v>
      </c>
      <c r="AL67" s="501">
        <f t="shared" si="95"/>
        <v>0</v>
      </c>
      <c r="AM67" s="501">
        <f t="shared" si="96"/>
        <v>0</v>
      </c>
      <c r="AN67" s="529">
        <f t="shared" si="4"/>
        <v>0</v>
      </c>
      <c r="AO67" s="530">
        <f t="shared" si="97"/>
        <v>437094</v>
      </c>
      <c r="AP67" s="486">
        <f t="shared" si="98"/>
        <v>321866</v>
      </c>
      <c r="AQ67" s="480">
        <f t="shared" si="99"/>
        <v>0</v>
      </c>
      <c r="AR67" s="480">
        <f t="shared" si="100"/>
        <v>0</v>
      </c>
      <c r="AS67" s="486">
        <f t="shared" si="101"/>
        <v>108791</v>
      </c>
      <c r="AT67" s="486">
        <f t="shared" si="101"/>
        <v>6437</v>
      </c>
      <c r="AU67" s="486">
        <f t="shared" si="102"/>
        <v>0</v>
      </c>
      <c r="AV67" s="501">
        <f t="shared" si="103"/>
        <v>0.70520000000000005</v>
      </c>
      <c r="AW67" s="501">
        <f t="shared" si="104"/>
        <v>0.70520000000000005</v>
      </c>
      <c r="AX67" s="502">
        <f t="shared" si="104"/>
        <v>0</v>
      </c>
    </row>
    <row r="68" spans="1:50" ht="12.95" customHeight="1" x14ac:dyDescent="0.25">
      <c r="A68" s="154">
        <v>12</v>
      </c>
      <c r="B68" s="526">
        <v>5404</v>
      </c>
      <c r="C68" s="527">
        <v>600098974</v>
      </c>
      <c r="D68" s="83">
        <v>70979812</v>
      </c>
      <c r="E68" s="528" t="s">
        <v>396</v>
      </c>
      <c r="F68" s="83">
        <v>3143</v>
      </c>
      <c r="G68" s="528" t="s">
        <v>635</v>
      </c>
      <c r="H68" s="493" t="s">
        <v>284</v>
      </c>
      <c r="I68" s="495">
        <v>10534</v>
      </c>
      <c r="J68" s="496">
        <v>7425</v>
      </c>
      <c r="K68" s="496">
        <v>0</v>
      </c>
      <c r="L68" s="496">
        <v>0</v>
      </c>
      <c r="M68" s="411">
        <v>2510</v>
      </c>
      <c r="N68" s="411">
        <v>149</v>
      </c>
      <c r="O68" s="496">
        <v>450</v>
      </c>
      <c r="P68" s="497">
        <v>0.03</v>
      </c>
      <c r="Q68" s="412">
        <v>0</v>
      </c>
      <c r="R68" s="498">
        <v>0.03</v>
      </c>
      <c r="S68" s="479">
        <f t="shared" si="89"/>
        <v>0</v>
      </c>
      <c r="T68" s="486">
        <v>0</v>
      </c>
      <c r="U68" s="486">
        <v>0</v>
      </c>
      <c r="V68" s="486">
        <f t="shared" si="90"/>
        <v>0</v>
      </c>
      <c r="W68" s="486">
        <v>0</v>
      </c>
      <c r="X68" s="486">
        <v>0</v>
      </c>
      <c r="Y68" s="486">
        <f t="shared" si="91"/>
        <v>0</v>
      </c>
      <c r="Z68" s="486">
        <f t="shared" si="92"/>
        <v>0</v>
      </c>
      <c r="AA68" s="319">
        <f t="shared" si="93"/>
        <v>0</v>
      </c>
      <c r="AB68" s="178">
        <f t="shared" si="94"/>
        <v>0</v>
      </c>
      <c r="AC68" s="486">
        <v>0</v>
      </c>
      <c r="AD68" s="486">
        <v>0</v>
      </c>
      <c r="AE68" s="486">
        <f t="shared" si="2"/>
        <v>0</v>
      </c>
      <c r="AF68" s="486">
        <f t="shared" si="3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si="95"/>
        <v>0</v>
      </c>
      <c r="AM68" s="501">
        <f t="shared" si="96"/>
        <v>0</v>
      </c>
      <c r="AN68" s="529">
        <f t="shared" si="4"/>
        <v>0</v>
      </c>
      <c r="AO68" s="530">
        <f t="shared" si="97"/>
        <v>10534</v>
      </c>
      <c r="AP68" s="486">
        <f t="shared" si="98"/>
        <v>7425</v>
      </c>
      <c r="AQ68" s="480">
        <f t="shared" si="99"/>
        <v>0</v>
      </c>
      <c r="AR68" s="480">
        <f t="shared" si="100"/>
        <v>0</v>
      </c>
      <c r="AS68" s="486">
        <f t="shared" si="101"/>
        <v>2510</v>
      </c>
      <c r="AT68" s="486">
        <f t="shared" si="101"/>
        <v>149</v>
      </c>
      <c r="AU68" s="486">
        <f t="shared" si="102"/>
        <v>450</v>
      </c>
      <c r="AV68" s="501">
        <f t="shared" si="103"/>
        <v>0.03</v>
      </c>
      <c r="AW68" s="501">
        <f t="shared" si="104"/>
        <v>0</v>
      </c>
      <c r="AX68" s="502">
        <f t="shared" si="104"/>
        <v>0.03</v>
      </c>
    </row>
    <row r="69" spans="1:50" ht="12.95" customHeight="1" x14ac:dyDescent="0.25">
      <c r="A69" s="156">
        <v>12</v>
      </c>
      <c r="B69" s="104">
        <v>5404</v>
      </c>
      <c r="C69" s="105">
        <v>600098974</v>
      </c>
      <c r="D69" s="104">
        <v>70979812</v>
      </c>
      <c r="E69" s="298" t="s">
        <v>397</v>
      </c>
      <c r="F69" s="92"/>
      <c r="G69" s="299"/>
      <c r="H69" s="93"/>
      <c r="I69" s="294">
        <v>5451286</v>
      </c>
      <c r="J69" s="106">
        <v>3946144</v>
      </c>
      <c r="K69" s="106">
        <v>9108</v>
      </c>
      <c r="L69" s="106">
        <v>3108</v>
      </c>
      <c r="M69" s="106">
        <v>1335825</v>
      </c>
      <c r="N69" s="106">
        <v>78923</v>
      </c>
      <c r="O69" s="106">
        <v>81286</v>
      </c>
      <c r="P69" s="157">
        <v>8.9944999999999986</v>
      </c>
      <c r="Q69" s="157">
        <v>5.4252000000000002</v>
      </c>
      <c r="R69" s="296">
        <v>3.5692999999999997</v>
      </c>
      <c r="S69" s="149">
        <f t="shared" ref="S69:AN69" si="105">SUM(S63:S68)</f>
        <v>0</v>
      </c>
      <c r="T69" s="106">
        <f t="shared" si="105"/>
        <v>0</v>
      </c>
      <c r="U69" s="106">
        <f t="shared" si="105"/>
        <v>0</v>
      </c>
      <c r="V69" s="106">
        <f t="shared" si="105"/>
        <v>0</v>
      </c>
      <c r="W69" s="106">
        <f t="shared" si="105"/>
        <v>0</v>
      </c>
      <c r="X69" s="106">
        <f t="shared" si="105"/>
        <v>0</v>
      </c>
      <c r="Y69" s="106">
        <f t="shared" si="105"/>
        <v>0</v>
      </c>
      <c r="Z69" s="106">
        <f t="shared" si="105"/>
        <v>0</v>
      </c>
      <c r="AA69" s="106">
        <f t="shared" si="105"/>
        <v>0</v>
      </c>
      <c r="AB69" s="106">
        <f t="shared" si="105"/>
        <v>0</v>
      </c>
      <c r="AC69" s="106">
        <f t="shared" si="105"/>
        <v>2000</v>
      </c>
      <c r="AD69" s="106">
        <f t="shared" si="105"/>
        <v>0</v>
      </c>
      <c r="AE69" s="106">
        <f t="shared" si="105"/>
        <v>2000</v>
      </c>
      <c r="AF69" s="106">
        <f t="shared" si="105"/>
        <v>2000</v>
      </c>
      <c r="AG69" s="157">
        <f t="shared" si="105"/>
        <v>0</v>
      </c>
      <c r="AH69" s="157">
        <f t="shared" si="105"/>
        <v>0</v>
      </c>
      <c r="AI69" s="157">
        <f t="shared" si="105"/>
        <v>0</v>
      </c>
      <c r="AJ69" s="157">
        <f t="shared" si="105"/>
        <v>0</v>
      </c>
      <c r="AK69" s="157">
        <f t="shared" si="105"/>
        <v>0</v>
      </c>
      <c r="AL69" s="157">
        <f t="shared" si="105"/>
        <v>0</v>
      </c>
      <c r="AM69" s="157">
        <f t="shared" si="105"/>
        <v>0</v>
      </c>
      <c r="AN69" s="409">
        <f t="shared" si="105"/>
        <v>0</v>
      </c>
      <c r="AO69" s="294">
        <f t="shared" ref="AO69:AX69" si="106">SUM(AO63:AO68)</f>
        <v>5453286</v>
      </c>
      <c r="AP69" s="106">
        <f t="shared" si="106"/>
        <v>3946144</v>
      </c>
      <c r="AQ69" s="106">
        <f t="shared" si="106"/>
        <v>9108</v>
      </c>
      <c r="AR69" s="106">
        <f t="shared" si="106"/>
        <v>3108</v>
      </c>
      <c r="AS69" s="106">
        <f t="shared" si="106"/>
        <v>1335825</v>
      </c>
      <c r="AT69" s="106">
        <f t="shared" si="106"/>
        <v>78923</v>
      </c>
      <c r="AU69" s="106">
        <f t="shared" si="106"/>
        <v>83286</v>
      </c>
      <c r="AV69" s="157">
        <f t="shared" si="106"/>
        <v>8.9944999999999986</v>
      </c>
      <c r="AW69" s="157">
        <f t="shared" si="106"/>
        <v>5.4252000000000002</v>
      </c>
      <c r="AX69" s="296">
        <f t="shared" si="106"/>
        <v>3.5692999999999997</v>
      </c>
    </row>
    <row r="70" spans="1:50" ht="12.95" customHeight="1" x14ac:dyDescent="0.25">
      <c r="A70" s="154">
        <v>13</v>
      </c>
      <c r="B70" s="526">
        <v>5407</v>
      </c>
      <c r="C70" s="527">
        <v>600099148</v>
      </c>
      <c r="D70" s="83">
        <v>70939403</v>
      </c>
      <c r="E70" s="528" t="s">
        <v>398</v>
      </c>
      <c r="F70" s="83">
        <v>3111</v>
      </c>
      <c r="G70" s="528" t="s">
        <v>331</v>
      </c>
      <c r="H70" s="493" t="s">
        <v>283</v>
      </c>
      <c r="I70" s="495">
        <v>2261145</v>
      </c>
      <c r="J70" s="496">
        <v>1646499</v>
      </c>
      <c r="K70" s="496">
        <v>0</v>
      </c>
      <c r="L70" s="496">
        <v>0</v>
      </c>
      <c r="M70" s="411">
        <v>556516</v>
      </c>
      <c r="N70" s="411">
        <v>32930</v>
      </c>
      <c r="O70" s="496">
        <v>25200</v>
      </c>
      <c r="P70" s="497">
        <v>3.9218000000000002</v>
      </c>
      <c r="Q70" s="412">
        <v>3</v>
      </c>
      <c r="R70" s="498">
        <v>0.92179999999999995</v>
      </c>
      <c r="S70" s="479">
        <f t="shared" ref="S70:S75" si="107">W70*-1</f>
        <v>0</v>
      </c>
      <c r="T70" s="486">
        <v>0</v>
      </c>
      <c r="U70" s="486">
        <v>0</v>
      </c>
      <c r="V70" s="486">
        <f t="shared" ref="V70:V75" si="108">SUM(S70:U70)</f>
        <v>0</v>
      </c>
      <c r="W70" s="486">
        <v>0</v>
      </c>
      <c r="X70" s="486">
        <v>0</v>
      </c>
      <c r="Y70" s="486">
        <f t="shared" ref="Y70:Y75" si="109">SUM(W70:X70)</f>
        <v>0</v>
      </c>
      <c r="Z70" s="486">
        <f t="shared" ref="Z70:Z75" si="110">V70+Y70</f>
        <v>0</v>
      </c>
      <c r="AA70" s="319">
        <f t="shared" ref="AA70:AA75" si="111">ROUND((V70+W70)*33.8%,0)</f>
        <v>0</v>
      </c>
      <c r="AB70" s="178">
        <f t="shared" ref="AB70:AB75" si="112">ROUND(V70*2%,0)</f>
        <v>0</v>
      </c>
      <c r="AC70" s="486">
        <v>0</v>
      </c>
      <c r="AD70" s="486">
        <v>0</v>
      </c>
      <c r="AE70" s="486">
        <f t="shared" si="2"/>
        <v>0</v>
      </c>
      <c r="AF70" s="486">
        <f t="shared" si="3"/>
        <v>0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ref="AL70:AL75" si="113">AG70+AI70+AJ70</f>
        <v>0</v>
      </c>
      <c r="AM70" s="501">
        <f t="shared" ref="AM70:AM75" si="114">AH70+AK70</f>
        <v>0</v>
      </c>
      <c r="AN70" s="529">
        <f t="shared" si="4"/>
        <v>0</v>
      </c>
      <c r="AO70" s="530">
        <f t="shared" ref="AO70:AO75" si="115">I70+AF70</f>
        <v>2261145</v>
      </c>
      <c r="AP70" s="486">
        <f t="shared" ref="AP70:AP75" si="116">J70+V70</f>
        <v>1646499</v>
      </c>
      <c r="AQ70" s="480">
        <f t="shared" ref="AQ70:AQ75" si="117">K70+Y70</f>
        <v>0</v>
      </c>
      <c r="AR70" s="480">
        <f t="shared" ref="AR70:AR75" si="118">L70</f>
        <v>0</v>
      </c>
      <c r="AS70" s="486">
        <f t="shared" ref="AS70:AT75" si="119">M70+AA70</f>
        <v>556516</v>
      </c>
      <c r="AT70" s="486">
        <f t="shared" si="119"/>
        <v>32930</v>
      </c>
      <c r="AU70" s="486">
        <f t="shared" ref="AU70:AU75" si="120">O70+AE70</f>
        <v>25200</v>
      </c>
      <c r="AV70" s="501">
        <f t="shared" ref="AV70:AV75" si="121">P70+AN70</f>
        <v>3.9218000000000002</v>
      </c>
      <c r="AW70" s="501">
        <f t="shared" ref="AW70:AX75" si="122">Q70+AL70</f>
        <v>3</v>
      </c>
      <c r="AX70" s="502">
        <f t="shared" si="122"/>
        <v>0.92179999999999995</v>
      </c>
    </row>
    <row r="71" spans="1:50" ht="12.95" customHeight="1" x14ac:dyDescent="0.25">
      <c r="A71" s="154">
        <v>13</v>
      </c>
      <c r="B71" s="526">
        <v>5407</v>
      </c>
      <c r="C71" s="527">
        <v>600099148</v>
      </c>
      <c r="D71" s="83">
        <v>70939403</v>
      </c>
      <c r="E71" s="528" t="s">
        <v>398</v>
      </c>
      <c r="F71" s="83">
        <v>3113</v>
      </c>
      <c r="G71" s="528" t="s">
        <v>335</v>
      </c>
      <c r="H71" s="493" t="s">
        <v>283</v>
      </c>
      <c r="I71" s="495">
        <v>8623678</v>
      </c>
      <c r="J71" s="496">
        <v>6200449</v>
      </c>
      <c r="K71" s="496">
        <v>13468</v>
      </c>
      <c r="L71" s="496">
        <v>13468</v>
      </c>
      <c r="M71" s="411">
        <v>2095752</v>
      </c>
      <c r="N71" s="411">
        <v>124009</v>
      </c>
      <c r="O71" s="496">
        <v>190000</v>
      </c>
      <c r="P71" s="497">
        <v>12.1128</v>
      </c>
      <c r="Q71" s="412">
        <v>8.9037000000000006</v>
      </c>
      <c r="R71" s="498">
        <v>3.2090999999999998</v>
      </c>
      <c r="S71" s="479">
        <f t="shared" si="107"/>
        <v>0</v>
      </c>
      <c r="T71" s="486">
        <v>0</v>
      </c>
      <c r="U71" s="486">
        <v>0</v>
      </c>
      <c r="V71" s="486">
        <f t="shared" si="108"/>
        <v>0</v>
      </c>
      <c r="W71" s="486">
        <v>0</v>
      </c>
      <c r="X71" s="486">
        <v>0</v>
      </c>
      <c r="Y71" s="486">
        <f t="shared" si="109"/>
        <v>0</v>
      </c>
      <c r="Z71" s="486">
        <f t="shared" si="110"/>
        <v>0</v>
      </c>
      <c r="AA71" s="319">
        <f t="shared" si="111"/>
        <v>0</v>
      </c>
      <c r="AB71" s="178">
        <f t="shared" si="112"/>
        <v>0</v>
      </c>
      <c r="AC71" s="486">
        <v>0</v>
      </c>
      <c r="AD71" s="486">
        <v>0</v>
      </c>
      <c r="AE71" s="486">
        <f t="shared" si="2"/>
        <v>0</v>
      </c>
      <c r="AF71" s="486">
        <f t="shared" si="3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113"/>
        <v>0</v>
      </c>
      <c r="AM71" s="501">
        <f t="shared" si="114"/>
        <v>0</v>
      </c>
      <c r="AN71" s="529">
        <f t="shared" si="4"/>
        <v>0</v>
      </c>
      <c r="AO71" s="530">
        <f t="shared" si="115"/>
        <v>8623678</v>
      </c>
      <c r="AP71" s="486">
        <f t="shared" si="116"/>
        <v>6200449</v>
      </c>
      <c r="AQ71" s="480">
        <f t="shared" si="117"/>
        <v>13468</v>
      </c>
      <c r="AR71" s="480">
        <f t="shared" si="118"/>
        <v>13468</v>
      </c>
      <c r="AS71" s="486">
        <f t="shared" si="119"/>
        <v>2095752</v>
      </c>
      <c r="AT71" s="486">
        <f t="shared" si="119"/>
        <v>124009</v>
      </c>
      <c r="AU71" s="486">
        <f t="shared" si="120"/>
        <v>190000</v>
      </c>
      <c r="AV71" s="501">
        <f t="shared" si="121"/>
        <v>12.1128</v>
      </c>
      <c r="AW71" s="501">
        <f t="shared" si="122"/>
        <v>8.9037000000000006</v>
      </c>
      <c r="AX71" s="502">
        <f t="shared" si="122"/>
        <v>3.2090999999999998</v>
      </c>
    </row>
    <row r="72" spans="1:50" ht="12.95" customHeight="1" x14ac:dyDescent="0.25">
      <c r="A72" s="154">
        <v>13</v>
      </c>
      <c r="B72" s="526">
        <v>5407</v>
      </c>
      <c r="C72" s="527">
        <v>600099148</v>
      </c>
      <c r="D72" s="83">
        <v>70939403</v>
      </c>
      <c r="E72" s="528" t="s">
        <v>398</v>
      </c>
      <c r="F72" s="83">
        <v>3113</v>
      </c>
      <c r="G72" s="528" t="s">
        <v>325</v>
      </c>
      <c r="H72" s="493" t="s">
        <v>284</v>
      </c>
      <c r="I72" s="495">
        <v>447310</v>
      </c>
      <c r="J72" s="496">
        <v>326443</v>
      </c>
      <c r="K72" s="496">
        <v>0</v>
      </c>
      <c r="L72" s="496">
        <v>0</v>
      </c>
      <c r="M72" s="411">
        <v>110338</v>
      </c>
      <c r="N72" s="411">
        <v>6529</v>
      </c>
      <c r="O72" s="496">
        <v>4000</v>
      </c>
      <c r="P72" s="497">
        <v>0.97</v>
      </c>
      <c r="Q72" s="412">
        <v>0.97</v>
      </c>
      <c r="R72" s="498">
        <v>0</v>
      </c>
      <c r="S72" s="479">
        <f t="shared" si="107"/>
        <v>0</v>
      </c>
      <c r="T72" s="486">
        <v>0</v>
      </c>
      <c r="U72" s="486">
        <v>0</v>
      </c>
      <c r="V72" s="486">
        <f t="shared" si="108"/>
        <v>0</v>
      </c>
      <c r="W72" s="486">
        <v>0</v>
      </c>
      <c r="X72" s="486">
        <v>0</v>
      </c>
      <c r="Y72" s="486">
        <f t="shared" si="109"/>
        <v>0</v>
      </c>
      <c r="Z72" s="486">
        <f t="shared" si="110"/>
        <v>0</v>
      </c>
      <c r="AA72" s="319">
        <f t="shared" si="111"/>
        <v>0</v>
      </c>
      <c r="AB72" s="178">
        <f t="shared" si="112"/>
        <v>0</v>
      </c>
      <c r="AC72" s="486">
        <v>0</v>
      </c>
      <c r="AD72" s="486">
        <v>0</v>
      </c>
      <c r="AE72" s="486">
        <f t="shared" si="2"/>
        <v>0</v>
      </c>
      <c r="AF72" s="486">
        <f t="shared" si="3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113"/>
        <v>0</v>
      </c>
      <c r="AM72" s="501">
        <f t="shared" si="114"/>
        <v>0</v>
      </c>
      <c r="AN72" s="529">
        <f t="shared" si="4"/>
        <v>0</v>
      </c>
      <c r="AO72" s="530">
        <f t="shared" si="115"/>
        <v>447310</v>
      </c>
      <c r="AP72" s="486">
        <f t="shared" si="116"/>
        <v>326443</v>
      </c>
      <c r="AQ72" s="480">
        <f t="shared" si="117"/>
        <v>0</v>
      </c>
      <c r="AR72" s="480">
        <f t="shared" si="118"/>
        <v>0</v>
      </c>
      <c r="AS72" s="486">
        <f t="shared" si="119"/>
        <v>110338</v>
      </c>
      <c r="AT72" s="486">
        <f t="shared" si="119"/>
        <v>6529</v>
      </c>
      <c r="AU72" s="486">
        <f t="shared" si="120"/>
        <v>4000</v>
      </c>
      <c r="AV72" s="501">
        <f t="shared" si="121"/>
        <v>0.97</v>
      </c>
      <c r="AW72" s="501">
        <f t="shared" si="122"/>
        <v>0.97</v>
      </c>
      <c r="AX72" s="502">
        <f t="shared" si="122"/>
        <v>0</v>
      </c>
    </row>
    <row r="73" spans="1:50" ht="12.95" customHeight="1" x14ac:dyDescent="0.25">
      <c r="A73" s="154">
        <v>13</v>
      </c>
      <c r="B73" s="526">
        <v>5407</v>
      </c>
      <c r="C73" s="527">
        <v>600099148</v>
      </c>
      <c r="D73" s="83">
        <v>70939403</v>
      </c>
      <c r="E73" s="528" t="s">
        <v>398</v>
      </c>
      <c r="F73" s="83">
        <v>3141</v>
      </c>
      <c r="G73" s="528" t="s">
        <v>321</v>
      </c>
      <c r="H73" s="493" t="s">
        <v>284</v>
      </c>
      <c r="I73" s="495">
        <v>1340571</v>
      </c>
      <c r="J73" s="496">
        <v>981552</v>
      </c>
      <c r="K73" s="496">
        <v>0</v>
      </c>
      <c r="L73" s="496">
        <v>0</v>
      </c>
      <c r="M73" s="411">
        <v>331764</v>
      </c>
      <c r="N73" s="411">
        <v>19631</v>
      </c>
      <c r="O73" s="496">
        <v>7624</v>
      </c>
      <c r="P73" s="412">
        <v>3.3299999999999996</v>
      </c>
      <c r="Q73" s="412">
        <v>0</v>
      </c>
      <c r="R73" s="498">
        <v>3.3299999999999996</v>
      </c>
      <c r="S73" s="479">
        <f t="shared" si="107"/>
        <v>0</v>
      </c>
      <c r="T73" s="486">
        <v>0</v>
      </c>
      <c r="U73" s="486">
        <v>0</v>
      </c>
      <c r="V73" s="486">
        <f t="shared" si="108"/>
        <v>0</v>
      </c>
      <c r="W73" s="486">
        <v>0</v>
      </c>
      <c r="X73" s="486">
        <v>0</v>
      </c>
      <c r="Y73" s="486">
        <f t="shared" si="109"/>
        <v>0</v>
      </c>
      <c r="Z73" s="486">
        <f t="shared" si="110"/>
        <v>0</v>
      </c>
      <c r="AA73" s="319">
        <f t="shared" si="111"/>
        <v>0</v>
      </c>
      <c r="AB73" s="178">
        <f t="shared" si="112"/>
        <v>0</v>
      </c>
      <c r="AC73" s="486">
        <v>0</v>
      </c>
      <c r="AD73" s="486">
        <v>0</v>
      </c>
      <c r="AE73" s="486">
        <f t="shared" si="2"/>
        <v>0</v>
      </c>
      <c r="AF73" s="486">
        <f t="shared" si="3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113"/>
        <v>0</v>
      </c>
      <c r="AM73" s="501">
        <f t="shared" si="114"/>
        <v>0</v>
      </c>
      <c r="AN73" s="529">
        <f t="shared" si="4"/>
        <v>0</v>
      </c>
      <c r="AO73" s="530">
        <f t="shared" si="115"/>
        <v>1340571</v>
      </c>
      <c r="AP73" s="486">
        <f t="shared" si="116"/>
        <v>981552</v>
      </c>
      <c r="AQ73" s="480">
        <f t="shared" si="117"/>
        <v>0</v>
      </c>
      <c r="AR73" s="480">
        <f t="shared" si="118"/>
        <v>0</v>
      </c>
      <c r="AS73" s="486">
        <f t="shared" si="119"/>
        <v>331764</v>
      </c>
      <c r="AT73" s="486">
        <f t="shared" si="119"/>
        <v>19631</v>
      </c>
      <c r="AU73" s="486">
        <f t="shared" si="120"/>
        <v>7624</v>
      </c>
      <c r="AV73" s="501">
        <f t="shared" si="121"/>
        <v>3.3299999999999996</v>
      </c>
      <c r="AW73" s="501">
        <f t="shared" si="122"/>
        <v>0</v>
      </c>
      <c r="AX73" s="502">
        <f t="shared" si="122"/>
        <v>3.3299999999999996</v>
      </c>
    </row>
    <row r="74" spans="1:50" ht="12.95" customHeight="1" x14ac:dyDescent="0.25">
      <c r="A74" s="154">
        <v>13</v>
      </c>
      <c r="B74" s="526">
        <v>5407</v>
      </c>
      <c r="C74" s="527">
        <v>600099148</v>
      </c>
      <c r="D74" s="83">
        <v>70939403</v>
      </c>
      <c r="E74" s="528" t="s">
        <v>398</v>
      </c>
      <c r="F74" s="83">
        <v>3143</v>
      </c>
      <c r="G74" s="528" t="s">
        <v>634</v>
      </c>
      <c r="H74" s="493" t="s">
        <v>283</v>
      </c>
      <c r="I74" s="495">
        <v>387386</v>
      </c>
      <c r="J74" s="496">
        <v>285262</v>
      </c>
      <c r="K74" s="496">
        <v>0</v>
      </c>
      <c r="L74" s="496">
        <v>0</v>
      </c>
      <c r="M74" s="411">
        <v>96419</v>
      </c>
      <c r="N74" s="411">
        <v>5705</v>
      </c>
      <c r="O74" s="496">
        <v>0</v>
      </c>
      <c r="P74" s="497">
        <v>0.65</v>
      </c>
      <c r="Q74" s="412">
        <v>0.65</v>
      </c>
      <c r="R74" s="498">
        <v>0</v>
      </c>
      <c r="S74" s="479">
        <f t="shared" si="107"/>
        <v>0</v>
      </c>
      <c r="T74" s="486">
        <v>0</v>
      </c>
      <c r="U74" s="486">
        <v>0</v>
      </c>
      <c r="V74" s="486">
        <f t="shared" si="108"/>
        <v>0</v>
      </c>
      <c r="W74" s="486">
        <v>0</v>
      </c>
      <c r="X74" s="486">
        <v>0</v>
      </c>
      <c r="Y74" s="486">
        <f t="shared" si="109"/>
        <v>0</v>
      </c>
      <c r="Z74" s="486">
        <f t="shared" si="110"/>
        <v>0</v>
      </c>
      <c r="AA74" s="319">
        <f t="shared" si="111"/>
        <v>0</v>
      </c>
      <c r="AB74" s="178">
        <f t="shared" si="112"/>
        <v>0</v>
      </c>
      <c r="AC74" s="486">
        <v>0</v>
      </c>
      <c r="AD74" s="486">
        <v>0</v>
      </c>
      <c r="AE74" s="486">
        <f t="shared" si="2"/>
        <v>0</v>
      </c>
      <c r="AF74" s="486">
        <f t="shared" si="3"/>
        <v>0</v>
      </c>
      <c r="AG74" s="501">
        <v>0</v>
      </c>
      <c r="AH74" s="501">
        <v>0</v>
      </c>
      <c r="AI74" s="501">
        <v>0</v>
      </c>
      <c r="AJ74" s="501">
        <v>0</v>
      </c>
      <c r="AK74" s="501">
        <v>0</v>
      </c>
      <c r="AL74" s="501">
        <f t="shared" si="113"/>
        <v>0</v>
      </c>
      <c r="AM74" s="501">
        <f t="shared" si="114"/>
        <v>0</v>
      </c>
      <c r="AN74" s="529">
        <f t="shared" si="4"/>
        <v>0</v>
      </c>
      <c r="AO74" s="530">
        <f t="shared" si="115"/>
        <v>387386</v>
      </c>
      <c r="AP74" s="486">
        <f t="shared" si="116"/>
        <v>285262</v>
      </c>
      <c r="AQ74" s="480">
        <f t="shared" si="117"/>
        <v>0</v>
      </c>
      <c r="AR74" s="480">
        <f t="shared" si="118"/>
        <v>0</v>
      </c>
      <c r="AS74" s="486">
        <f t="shared" si="119"/>
        <v>96419</v>
      </c>
      <c r="AT74" s="486">
        <f t="shared" si="119"/>
        <v>5705</v>
      </c>
      <c r="AU74" s="486">
        <f t="shared" si="120"/>
        <v>0</v>
      </c>
      <c r="AV74" s="501">
        <f t="shared" si="121"/>
        <v>0.65</v>
      </c>
      <c r="AW74" s="501">
        <f t="shared" si="122"/>
        <v>0.65</v>
      </c>
      <c r="AX74" s="502">
        <f t="shared" si="122"/>
        <v>0</v>
      </c>
    </row>
    <row r="75" spans="1:50" ht="12.95" customHeight="1" x14ac:dyDescent="0.25">
      <c r="A75" s="154">
        <v>13</v>
      </c>
      <c r="B75" s="526">
        <v>5407</v>
      </c>
      <c r="C75" s="527">
        <v>600099148</v>
      </c>
      <c r="D75" s="83">
        <v>70939403</v>
      </c>
      <c r="E75" s="528" t="s">
        <v>398</v>
      </c>
      <c r="F75" s="83">
        <v>3143</v>
      </c>
      <c r="G75" s="528" t="s">
        <v>635</v>
      </c>
      <c r="H75" s="493" t="s">
        <v>284</v>
      </c>
      <c r="I75" s="495">
        <v>14044</v>
      </c>
      <c r="J75" s="496">
        <v>9900</v>
      </c>
      <c r="K75" s="496">
        <v>0</v>
      </c>
      <c r="L75" s="496">
        <v>0</v>
      </c>
      <c r="M75" s="411">
        <v>3346</v>
      </c>
      <c r="N75" s="411">
        <v>198</v>
      </c>
      <c r="O75" s="496">
        <v>600</v>
      </c>
      <c r="P75" s="497">
        <v>0.04</v>
      </c>
      <c r="Q75" s="412">
        <v>0</v>
      </c>
      <c r="R75" s="498">
        <v>0.04</v>
      </c>
      <c r="S75" s="479">
        <f t="shared" si="107"/>
        <v>0</v>
      </c>
      <c r="T75" s="486">
        <v>0</v>
      </c>
      <c r="U75" s="486">
        <v>0</v>
      </c>
      <c r="V75" s="486">
        <f t="shared" si="108"/>
        <v>0</v>
      </c>
      <c r="W75" s="486">
        <v>0</v>
      </c>
      <c r="X75" s="486">
        <v>0</v>
      </c>
      <c r="Y75" s="486">
        <f t="shared" si="109"/>
        <v>0</v>
      </c>
      <c r="Z75" s="486">
        <f t="shared" si="110"/>
        <v>0</v>
      </c>
      <c r="AA75" s="319">
        <f t="shared" si="111"/>
        <v>0</v>
      </c>
      <c r="AB75" s="178">
        <f t="shared" si="112"/>
        <v>0</v>
      </c>
      <c r="AC75" s="486">
        <v>0</v>
      </c>
      <c r="AD75" s="486">
        <v>0</v>
      </c>
      <c r="AE75" s="486">
        <f t="shared" si="2"/>
        <v>0</v>
      </c>
      <c r="AF75" s="486">
        <f t="shared" si="3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si="113"/>
        <v>0</v>
      </c>
      <c r="AM75" s="501">
        <f t="shared" si="114"/>
        <v>0</v>
      </c>
      <c r="AN75" s="529">
        <f t="shared" si="4"/>
        <v>0</v>
      </c>
      <c r="AO75" s="530">
        <f t="shared" si="115"/>
        <v>14044</v>
      </c>
      <c r="AP75" s="486">
        <f t="shared" si="116"/>
        <v>9900</v>
      </c>
      <c r="AQ75" s="480">
        <f t="shared" si="117"/>
        <v>0</v>
      </c>
      <c r="AR75" s="480">
        <f t="shared" si="118"/>
        <v>0</v>
      </c>
      <c r="AS75" s="486">
        <f t="shared" si="119"/>
        <v>3346</v>
      </c>
      <c r="AT75" s="486">
        <f t="shared" si="119"/>
        <v>198</v>
      </c>
      <c r="AU75" s="486">
        <f t="shared" si="120"/>
        <v>600</v>
      </c>
      <c r="AV75" s="501">
        <f t="shared" si="121"/>
        <v>0.04</v>
      </c>
      <c r="AW75" s="501">
        <f t="shared" si="122"/>
        <v>0</v>
      </c>
      <c r="AX75" s="502">
        <f t="shared" si="122"/>
        <v>0.04</v>
      </c>
    </row>
    <row r="76" spans="1:50" ht="12.95" customHeight="1" x14ac:dyDescent="0.25">
      <c r="A76" s="156">
        <v>13</v>
      </c>
      <c r="B76" s="104">
        <v>5407</v>
      </c>
      <c r="C76" s="105">
        <v>600099148</v>
      </c>
      <c r="D76" s="104">
        <v>70939403</v>
      </c>
      <c r="E76" s="298" t="s">
        <v>399</v>
      </c>
      <c r="F76" s="92"/>
      <c r="G76" s="299"/>
      <c r="H76" s="93"/>
      <c r="I76" s="294">
        <v>13074134</v>
      </c>
      <c r="J76" s="106">
        <v>9450105</v>
      </c>
      <c r="K76" s="106">
        <v>13468</v>
      </c>
      <c r="L76" s="106">
        <v>13468</v>
      </c>
      <c r="M76" s="106">
        <v>3194135</v>
      </c>
      <c r="N76" s="106">
        <v>189002</v>
      </c>
      <c r="O76" s="106">
        <v>227424</v>
      </c>
      <c r="P76" s="157">
        <v>21.024599999999996</v>
      </c>
      <c r="Q76" s="157">
        <v>13.523700000000002</v>
      </c>
      <c r="R76" s="296">
        <v>7.5008999999999988</v>
      </c>
      <c r="S76" s="149">
        <f t="shared" ref="S76:AN76" si="123">SUM(S70:S75)</f>
        <v>0</v>
      </c>
      <c r="T76" s="106">
        <f t="shared" si="123"/>
        <v>0</v>
      </c>
      <c r="U76" s="106">
        <f t="shared" si="123"/>
        <v>0</v>
      </c>
      <c r="V76" s="106">
        <f t="shared" si="123"/>
        <v>0</v>
      </c>
      <c r="W76" s="106">
        <f t="shared" si="123"/>
        <v>0</v>
      </c>
      <c r="X76" s="106">
        <f t="shared" si="123"/>
        <v>0</v>
      </c>
      <c r="Y76" s="106">
        <f t="shared" si="123"/>
        <v>0</v>
      </c>
      <c r="Z76" s="106">
        <f t="shared" si="123"/>
        <v>0</v>
      </c>
      <c r="AA76" s="106">
        <f t="shared" si="123"/>
        <v>0</v>
      </c>
      <c r="AB76" s="106">
        <f t="shared" si="123"/>
        <v>0</v>
      </c>
      <c r="AC76" s="106">
        <f t="shared" si="123"/>
        <v>0</v>
      </c>
      <c r="AD76" s="106">
        <f t="shared" si="123"/>
        <v>0</v>
      </c>
      <c r="AE76" s="106">
        <f t="shared" si="123"/>
        <v>0</v>
      </c>
      <c r="AF76" s="106">
        <f t="shared" si="123"/>
        <v>0</v>
      </c>
      <c r="AG76" s="157">
        <f t="shared" si="123"/>
        <v>0</v>
      </c>
      <c r="AH76" s="157">
        <f t="shared" si="123"/>
        <v>0</v>
      </c>
      <c r="AI76" s="157">
        <f t="shared" si="123"/>
        <v>0</v>
      </c>
      <c r="AJ76" s="157">
        <f t="shared" si="123"/>
        <v>0</v>
      </c>
      <c r="AK76" s="157">
        <f t="shared" si="123"/>
        <v>0</v>
      </c>
      <c r="AL76" s="157">
        <f t="shared" si="123"/>
        <v>0</v>
      </c>
      <c r="AM76" s="157">
        <f t="shared" si="123"/>
        <v>0</v>
      </c>
      <c r="AN76" s="409">
        <f t="shared" si="123"/>
        <v>0</v>
      </c>
      <c r="AO76" s="294">
        <f t="shared" ref="AO76:AX76" si="124">SUM(AO70:AO75)</f>
        <v>13074134</v>
      </c>
      <c r="AP76" s="106">
        <f t="shared" si="124"/>
        <v>9450105</v>
      </c>
      <c r="AQ76" s="106">
        <f t="shared" si="124"/>
        <v>13468</v>
      </c>
      <c r="AR76" s="106">
        <f t="shared" si="124"/>
        <v>13468</v>
      </c>
      <c r="AS76" s="106">
        <f t="shared" si="124"/>
        <v>3194135</v>
      </c>
      <c r="AT76" s="106">
        <f t="shared" si="124"/>
        <v>189002</v>
      </c>
      <c r="AU76" s="106">
        <f t="shared" si="124"/>
        <v>227424</v>
      </c>
      <c r="AV76" s="157">
        <f t="shared" si="124"/>
        <v>21.024599999999996</v>
      </c>
      <c r="AW76" s="157">
        <f t="shared" si="124"/>
        <v>13.523700000000002</v>
      </c>
      <c r="AX76" s="296">
        <f t="shared" si="124"/>
        <v>7.5008999999999988</v>
      </c>
    </row>
    <row r="77" spans="1:50" ht="12.95" customHeight="1" x14ac:dyDescent="0.25">
      <c r="A77" s="154">
        <v>14</v>
      </c>
      <c r="B77" s="526">
        <v>5411</v>
      </c>
      <c r="C77" s="527">
        <v>650034244</v>
      </c>
      <c r="D77" s="83">
        <v>70985375</v>
      </c>
      <c r="E77" s="528" t="s">
        <v>400</v>
      </c>
      <c r="F77" s="83">
        <v>3111</v>
      </c>
      <c r="G77" s="528" t="s">
        <v>331</v>
      </c>
      <c r="H77" s="493" t="s">
        <v>283</v>
      </c>
      <c r="I77" s="495">
        <v>2163312</v>
      </c>
      <c r="J77" s="496">
        <v>1563949</v>
      </c>
      <c r="K77" s="496">
        <v>14850</v>
      </c>
      <c r="L77" s="496">
        <v>0</v>
      </c>
      <c r="M77" s="411">
        <v>533634</v>
      </c>
      <c r="N77" s="411">
        <v>31279</v>
      </c>
      <c r="O77" s="496">
        <v>19600</v>
      </c>
      <c r="P77" s="497">
        <v>3.8250000000000002</v>
      </c>
      <c r="Q77" s="412">
        <v>2.9032</v>
      </c>
      <c r="R77" s="498">
        <v>0.92179999999999995</v>
      </c>
      <c r="S77" s="479">
        <f t="shared" ref="S77:S82" si="125">W77*-1</f>
        <v>0</v>
      </c>
      <c r="T77" s="486">
        <v>0</v>
      </c>
      <c r="U77" s="486">
        <v>0</v>
      </c>
      <c r="V77" s="486">
        <f t="shared" ref="V77:V82" si="126">SUM(S77:U77)</f>
        <v>0</v>
      </c>
      <c r="W77" s="486">
        <v>0</v>
      </c>
      <c r="X77" s="486">
        <v>0</v>
      </c>
      <c r="Y77" s="486">
        <f t="shared" ref="Y77:Y82" si="127">SUM(W77:X77)</f>
        <v>0</v>
      </c>
      <c r="Z77" s="486">
        <f t="shared" ref="Z77:Z82" si="128">V77+Y77</f>
        <v>0</v>
      </c>
      <c r="AA77" s="319">
        <f t="shared" ref="AA77:AA82" si="129">ROUND((V77+W77)*33.8%,0)</f>
        <v>0</v>
      </c>
      <c r="AB77" s="178">
        <f t="shared" ref="AB77:AB82" si="130">ROUND(V77*2%,0)</f>
        <v>0</v>
      </c>
      <c r="AC77" s="486">
        <v>0</v>
      </c>
      <c r="AD77" s="486">
        <v>0</v>
      </c>
      <c r="AE77" s="486">
        <f t="shared" si="2"/>
        <v>0</v>
      </c>
      <c r="AF77" s="486">
        <f t="shared" si="3"/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ref="AL77:AL82" si="131">AG77+AI77+AJ77</f>
        <v>0</v>
      </c>
      <c r="AM77" s="501">
        <f t="shared" ref="AM77:AM82" si="132">AH77+AK77</f>
        <v>0</v>
      </c>
      <c r="AN77" s="529">
        <f t="shared" si="4"/>
        <v>0</v>
      </c>
      <c r="AO77" s="530">
        <f t="shared" ref="AO77:AO82" si="133">I77+AF77</f>
        <v>2163312</v>
      </c>
      <c r="AP77" s="486">
        <f t="shared" ref="AP77:AP82" si="134">J77+V77</f>
        <v>1563949</v>
      </c>
      <c r="AQ77" s="480">
        <f t="shared" ref="AQ77:AQ82" si="135">K77+Y77</f>
        <v>14850</v>
      </c>
      <c r="AR77" s="480">
        <f t="shared" ref="AR77:AR82" si="136">L77</f>
        <v>0</v>
      </c>
      <c r="AS77" s="486">
        <f t="shared" ref="AS77:AT82" si="137">M77+AA77</f>
        <v>533634</v>
      </c>
      <c r="AT77" s="486">
        <f t="shared" si="137"/>
        <v>31279</v>
      </c>
      <c r="AU77" s="486">
        <f t="shared" ref="AU77:AU82" si="138">O77+AE77</f>
        <v>19600</v>
      </c>
      <c r="AV77" s="501">
        <f t="shared" ref="AV77:AV82" si="139">P77+AN77</f>
        <v>3.8250000000000002</v>
      </c>
      <c r="AW77" s="501">
        <f t="shared" ref="AW77:AX82" si="140">Q77+AL77</f>
        <v>2.9032</v>
      </c>
      <c r="AX77" s="502">
        <f t="shared" si="140"/>
        <v>0.92179999999999995</v>
      </c>
    </row>
    <row r="78" spans="1:50" ht="12.95" customHeight="1" x14ac:dyDescent="0.25">
      <c r="A78" s="154">
        <v>14</v>
      </c>
      <c r="B78" s="526">
        <v>5411</v>
      </c>
      <c r="C78" s="527">
        <v>650034244</v>
      </c>
      <c r="D78" s="83">
        <v>70985375</v>
      </c>
      <c r="E78" s="528" t="s">
        <v>400</v>
      </c>
      <c r="F78" s="83">
        <v>3117</v>
      </c>
      <c r="G78" s="528" t="s">
        <v>320</v>
      </c>
      <c r="H78" s="493" t="s">
        <v>283</v>
      </c>
      <c r="I78" s="495">
        <v>3491428</v>
      </c>
      <c r="J78" s="496">
        <v>2473903</v>
      </c>
      <c r="K78" s="496">
        <v>6068</v>
      </c>
      <c r="L78" s="496">
        <v>6068</v>
      </c>
      <c r="M78" s="411">
        <v>836179</v>
      </c>
      <c r="N78" s="411">
        <v>49478</v>
      </c>
      <c r="O78" s="496">
        <v>125800</v>
      </c>
      <c r="P78" s="497">
        <v>4.9534999999999991</v>
      </c>
      <c r="Q78" s="412">
        <v>3.1320999999999999</v>
      </c>
      <c r="R78" s="498">
        <v>1.8213999999999999</v>
      </c>
      <c r="S78" s="479">
        <f t="shared" si="125"/>
        <v>0</v>
      </c>
      <c r="T78" s="486">
        <v>0</v>
      </c>
      <c r="U78" s="486">
        <v>0</v>
      </c>
      <c r="V78" s="486">
        <f t="shared" si="126"/>
        <v>0</v>
      </c>
      <c r="W78" s="486">
        <v>0</v>
      </c>
      <c r="X78" s="486">
        <v>0</v>
      </c>
      <c r="Y78" s="486">
        <f t="shared" si="127"/>
        <v>0</v>
      </c>
      <c r="Z78" s="486">
        <f t="shared" si="128"/>
        <v>0</v>
      </c>
      <c r="AA78" s="319">
        <f t="shared" si="129"/>
        <v>0</v>
      </c>
      <c r="AB78" s="178">
        <f t="shared" si="130"/>
        <v>0</v>
      </c>
      <c r="AC78" s="486">
        <v>0</v>
      </c>
      <c r="AD78" s="486">
        <v>0</v>
      </c>
      <c r="AE78" s="486">
        <f t="shared" si="2"/>
        <v>0</v>
      </c>
      <c r="AF78" s="486">
        <f t="shared" si="3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131"/>
        <v>0</v>
      </c>
      <c r="AM78" s="501">
        <f t="shared" si="132"/>
        <v>0</v>
      </c>
      <c r="AN78" s="529">
        <f t="shared" si="4"/>
        <v>0</v>
      </c>
      <c r="AO78" s="530">
        <f t="shared" si="133"/>
        <v>3491428</v>
      </c>
      <c r="AP78" s="486">
        <f t="shared" si="134"/>
        <v>2473903</v>
      </c>
      <c r="AQ78" s="480">
        <f t="shared" si="135"/>
        <v>6068</v>
      </c>
      <c r="AR78" s="480">
        <f t="shared" si="136"/>
        <v>6068</v>
      </c>
      <c r="AS78" s="486">
        <f t="shared" si="137"/>
        <v>836179</v>
      </c>
      <c r="AT78" s="486">
        <f t="shared" si="137"/>
        <v>49478</v>
      </c>
      <c r="AU78" s="486">
        <f t="shared" si="138"/>
        <v>125800</v>
      </c>
      <c r="AV78" s="501">
        <f t="shared" si="139"/>
        <v>4.9534999999999991</v>
      </c>
      <c r="AW78" s="501">
        <f t="shared" si="140"/>
        <v>3.1320999999999999</v>
      </c>
      <c r="AX78" s="502">
        <f t="shared" si="140"/>
        <v>1.8213999999999999</v>
      </c>
    </row>
    <row r="79" spans="1:50" ht="12.95" customHeight="1" x14ac:dyDescent="0.25">
      <c r="A79" s="154">
        <v>14</v>
      </c>
      <c r="B79" s="526">
        <v>5411</v>
      </c>
      <c r="C79" s="527">
        <v>650034244</v>
      </c>
      <c r="D79" s="83">
        <v>70985375</v>
      </c>
      <c r="E79" s="528" t="s">
        <v>400</v>
      </c>
      <c r="F79" s="83">
        <v>3117</v>
      </c>
      <c r="G79" s="528" t="s">
        <v>325</v>
      </c>
      <c r="H79" s="493" t="s">
        <v>284</v>
      </c>
      <c r="I79" s="495">
        <v>3267</v>
      </c>
      <c r="J79" s="496">
        <v>1890</v>
      </c>
      <c r="K79" s="496">
        <v>0</v>
      </c>
      <c r="L79" s="496">
        <v>0</v>
      </c>
      <c r="M79" s="411">
        <v>639</v>
      </c>
      <c r="N79" s="411">
        <v>38</v>
      </c>
      <c r="O79" s="496">
        <v>700</v>
      </c>
      <c r="P79" s="497">
        <v>0</v>
      </c>
      <c r="Q79" s="412">
        <v>0</v>
      </c>
      <c r="R79" s="498">
        <v>0</v>
      </c>
      <c r="S79" s="479">
        <f t="shared" si="125"/>
        <v>0</v>
      </c>
      <c r="T79" s="486">
        <v>0</v>
      </c>
      <c r="U79" s="486">
        <v>0</v>
      </c>
      <c r="V79" s="486">
        <f t="shared" si="126"/>
        <v>0</v>
      </c>
      <c r="W79" s="486">
        <v>0</v>
      </c>
      <c r="X79" s="486">
        <v>0</v>
      </c>
      <c r="Y79" s="486">
        <f t="shared" si="127"/>
        <v>0</v>
      </c>
      <c r="Z79" s="486">
        <f t="shared" si="128"/>
        <v>0</v>
      </c>
      <c r="AA79" s="319">
        <f t="shared" si="129"/>
        <v>0</v>
      </c>
      <c r="AB79" s="178">
        <f t="shared" si="130"/>
        <v>0</v>
      </c>
      <c r="AC79" s="486">
        <v>0</v>
      </c>
      <c r="AD79" s="486">
        <v>0</v>
      </c>
      <c r="AE79" s="486">
        <f t="shared" ref="AE79:AE145" si="141">SUM(AC79:AD79)</f>
        <v>0</v>
      </c>
      <c r="AF79" s="486">
        <f t="shared" ref="AF79:AF145" si="142">Z79+AA79+AB79+AE79</f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si="131"/>
        <v>0</v>
      </c>
      <c r="AM79" s="501">
        <f t="shared" si="132"/>
        <v>0</v>
      </c>
      <c r="AN79" s="529">
        <f t="shared" ref="AN79:AN145" si="143">SUM(AL79:AM79)</f>
        <v>0</v>
      </c>
      <c r="AO79" s="530">
        <f t="shared" si="133"/>
        <v>3267</v>
      </c>
      <c r="AP79" s="486">
        <f t="shared" si="134"/>
        <v>1890</v>
      </c>
      <c r="AQ79" s="480">
        <f t="shared" si="135"/>
        <v>0</v>
      </c>
      <c r="AR79" s="480">
        <f t="shared" si="136"/>
        <v>0</v>
      </c>
      <c r="AS79" s="486">
        <f t="shared" si="137"/>
        <v>639</v>
      </c>
      <c r="AT79" s="486">
        <f t="shared" si="137"/>
        <v>38</v>
      </c>
      <c r="AU79" s="486">
        <f t="shared" si="138"/>
        <v>700</v>
      </c>
      <c r="AV79" s="501">
        <f t="shared" si="139"/>
        <v>0</v>
      </c>
      <c r="AW79" s="501">
        <f t="shared" si="140"/>
        <v>0</v>
      </c>
      <c r="AX79" s="502">
        <f t="shared" si="140"/>
        <v>0</v>
      </c>
    </row>
    <row r="80" spans="1:50" ht="12.95" customHeight="1" x14ac:dyDescent="0.25">
      <c r="A80" s="154">
        <v>14</v>
      </c>
      <c r="B80" s="526">
        <v>5411</v>
      </c>
      <c r="C80" s="527">
        <v>650034244</v>
      </c>
      <c r="D80" s="83">
        <v>70985375</v>
      </c>
      <c r="E80" s="528" t="s">
        <v>400</v>
      </c>
      <c r="F80" s="83">
        <v>3141</v>
      </c>
      <c r="G80" s="528" t="s">
        <v>321</v>
      </c>
      <c r="H80" s="493" t="s">
        <v>284</v>
      </c>
      <c r="I80" s="495">
        <v>858085</v>
      </c>
      <c r="J80" s="496">
        <v>625380</v>
      </c>
      <c r="K80" s="496">
        <v>3600</v>
      </c>
      <c r="L80" s="496">
        <v>0</v>
      </c>
      <c r="M80" s="411">
        <v>212596</v>
      </c>
      <c r="N80" s="411">
        <v>12507</v>
      </c>
      <c r="O80" s="496">
        <v>4002</v>
      </c>
      <c r="P80" s="497">
        <v>2.12</v>
      </c>
      <c r="Q80" s="412">
        <v>0</v>
      </c>
      <c r="R80" s="498">
        <v>2.12</v>
      </c>
      <c r="S80" s="479">
        <f t="shared" si="125"/>
        <v>0</v>
      </c>
      <c r="T80" s="486">
        <v>0</v>
      </c>
      <c r="U80" s="486">
        <v>0</v>
      </c>
      <c r="V80" s="486">
        <f t="shared" si="126"/>
        <v>0</v>
      </c>
      <c r="W80" s="486">
        <v>0</v>
      </c>
      <c r="X80" s="486">
        <v>0</v>
      </c>
      <c r="Y80" s="486">
        <f t="shared" si="127"/>
        <v>0</v>
      </c>
      <c r="Z80" s="486">
        <f t="shared" si="128"/>
        <v>0</v>
      </c>
      <c r="AA80" s="319">
        <f t="shared" si="129"/>
        <v>0</v>
      </c>
      <c r="AB80" s="178">
        <f t="shared" si="130"/>
        <v>0</v>
      </c>
      <c r="AC80" s="486">
        <v>0</v>
      </c>
      <c r="AD80" s="486">
        <v>0</v>
      </c>
      <c r="AE80" s="486">
        <f t="shared" si="141"/>
        <v>0</v>
      </c>
      <c r="AF80" s="486">
        <f t="shared" si="142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31"/>
        <v>0</v>
      </c>
      <c r="AM80" s="501">
        <f t="shared" si="132"/>
        <v>0</v>
      </c>
      <c r="AN80" s="529">
        <f t="shared" si="143"/>
        <v>0</v>
      </c>
      <c r="AO80" s="530">
        <f t="shared" si="133"/>
        <v>858085</v>
      </c>
      <c r="AP80" s="486">
        <f t="shared" si="134"/>
        <v>625380</v>
      </c>
      <c r="AQ80" s="480">
        <f t="shared" si="135"/>
        <v>3600</v>
      </c>
      <c r="AR80" s="480">
        <f t="shared" si="136"/>
        <v>0</v>
      </c>
      <c r="AS80" s="486">
        <f t="shared" si="137"/>
        <v>212596</v>
      </c>
      <c r="AT80" s="486">
        <f t="shared" si="137"/>
        <v>12507</v>
      </c>
      <c r="AU80" s="486">
        <f t="shared" si="138"/>
        <v>4002</v>
      </c>
      <c r="AV80" s="501">
        <f t="shared" si="139"/>
        <v>2.12</v>
      </c>
      <c r="AW80" s="501">
        <f t="shared" si="140"/>
        <v>0</v>
      </c>
      <c r="AX80" s="502">
        <f t="shared" si="140"/>
        <v>2.12</v>
      </c>
    </row>
    <row r="81" spans="1:50" ht="12.95" customHeight="1" x14ac:dyDescent="0.25">
      <c r="A81" s="154">
        <v>14</v>
      </c>
      <c r="B81" s="526">
        <v>5411</v>
      </c>
      <c r="C81" s="527">
        <v>650034244</v>
      </c>
      <c r="D81" s="83">
        <v>70985375</v>
      </c>
      <c r="E81" s="528" t="s">
        <v>400</v>
      </c>
      <c r="F81" s="83">
        <v>3143</v>
      </c>
      <c r="G81" s="528" t="s">
        <v>634</v>
      </c>
      <c r="H81" s="493" t="s">
        <v>283</v>
      </c>
      <c r="I81" s="495">
        <v>449727</v>
      </c>
      <c r="J81" s="496">
        <v>325848</v>
      </c>
      <c r="K81" s="496">
        <v>5400</v>
      </c>
      <c r="L81" s="496">
        <v>0</v>
      </c>
      <c r="M81" s="411">
        <v>111962</v>
      </c>
      <c r="N81" s="411">
        <v>6517</v>
      </c>
      <c r="O81" s="496">
        <v>0</v>
      </c>
      <c r="P81" s="497">
        <v>0.72729999999999995</v>
      </c>
      <c r="Q81" s="412">
        <v>0.72729999999999995</v>
      </c>
      <c r="R81" s="498">
        <v>0</v>
      </c>
      <c r="S81" s="479">
        <f t="shared" si="125"/>
        <v>0</v>
      </c>
      <c r="T81" s="486">
        <v>0</v>
      </c>
      <c r="U81" s="486">
        <v>0</v>
      </c>
      <c r="V81" s="486">
        <f t="shared" si="126"/>
        <v>0</v>
      </c>
      <c r="W81" s="486">
        <v>0</v>
      </c>
      <c r="X81" s="486">
        <v>0</v>
      </c>
      <c r="Y81" s="486">
        <f t="shared" si="127"/>
        <v>0</v>
      </c>
      <c r="Z81" s="486">
        <f t="shared" si="128"/>
        <v>0</v>
      </c>
      <c r="AA81" s="319">
        <f t="shared" si="129"/>
        <v>0</v>
      </c>
      <c r="AB81" s="178">
        <f t="shared" si="130"/>
        <v>0</v>
      </c>
      <c r="AC81" s="486">
        <v>0</v>
      </c>
      <c r="AD81" s="486">
        <v>0</v>
      </c>
      <c r="AE81" s="486">
        <f t="shared" si="141"/>
        <v>0</v>
      </c>
      <c r="AF81" s="486">
        <f t="shared" si="142"/>
        <v>0</v>
      </c>
      <c r="AG81" s="501">
        <v>0</v>
      </c>
      <c r="AH81" s="501">
        <v>0</v>
      </c>
      <c r="AI81" s="501">
        <v>0</v>
      </c>
      <c r="AJ81" s="501">
        <v>0</v>
      </c>
      <c r="AK81" s="501">
        <v>0</v>
      </c>
      <c r="AL81" s="501">
        <f t="shared" si="131"/>
        <v>0</v>
      </c>
      <c r="AM81" s="501">
        <f t="shared" si="132"/>
        <v>0</v>
      </c>
      <c r="AN81" s="529">
        <f t="shared" si="143"/>
        <v>0</v>
      </c>
      <c r="AO81" s="530">
        <f t="shared" si="133"/>
        <v>449727</v>
      </c>
      <c r="AP81" s="486">
        <f t="shared" si="134"/>
        <v>325848</v>
      </c>
      <c r="AQ81" s="480">
        <f t="shared" si="135"/>
        <v>5400</v>
      </c>
      <c r="AR81" s="480">
        <f t="shared" si="136"/>
        <v>0</v>
      </c>
      <c r="AS81" s="486">
        <f t="shared" si="137"/>
        <v>111962</v>
      </c>
      <c r="AT81" s="486">
        <f t="shared" si="137"/>
        <v>6517</v>
      </c>
      <c r="AU81" s="486">
        <f t="shared" si="138"/>
        <v>0</v>
      </c>
      <c r="AV81" s="501">
        <f t="shared" si="139"/>
        <v>0.72729999999999995</v>
      </c>
      <c r="AW81" s="501">
        <f t="shared" si="140"/>
        <v>0.72729999999999995</v>
      </c>
      <c r="AX81" s="502">
        <f t="shared" si="140"/>
        <v>0</v>
      </c>
    </row>
    <row r="82" spans="1:50" ht="12.95" customHeight="1" x14ac:dyDescent="0.25">
      <c r="A82" s="154">
        <v>14</v>
      </c>
      <c r="B82" s="526">
        <v>5411</v>
      </c>
      <c r="C82" s="527">
        <v>650034244</v>
      </c>
      <c r="D82" s="83">
        <v>70985375</v>
      </c>
      <c r="E82" s="528" t="s">
        <v>400</v>
      </c>
      <c r="F82" s="83">
        <v>3143</v>
      </c>
      <c r="G82" s="528" t="s">
        <v>635</v>
      </c>
      <c r="H82" s="493" t="s">
        <v>284</v>
      </c>
      <c r="I82" s="495">
        <v>18959</v>
      </c>
      <c r="J82" s="496">
        <v>13365</v>
      </c>
      <c r="K82" s="496">
        <v>0</v>
      </c>
      <c r="L82" s="496">
        <v>0</v>
      </c>
      <c r="M82" s="411">
        <v>4517</v>
      </c>
      <c r="N82" s="411">
        <v>267</v>
      </c>
      <c r="O82" s="496">
        <v>810</v>
      </c>
      <c r="P82" s="497">
        <v>0.06</v>
      </c>
      <c r="Q82" s="412">
        <v>0</v>
      </c>
      <c r="R82" s="498">
        <v>0.06</v>
      </c>
      <c r="S82" s="479">
        <f t="shared" si="125"/>
        <v>0</v>
      </c>
      <c r="T82" s="486">
        <v>0</v>
      </c>
      <c r="U82" s="486">
        <v>0</v>
      </c>
      <c r="V82" s="486">
        <f t="shared" si="126"/>
        <v>0</v>
      </c>
      <c r="W82" s="486">
        <v>0</v>
      </c>
      <c r="X82" s="486">
        <v>0</v>
      </c>
      <c r="Y82" s="486">
        <f t="shared" si="127"/>
        <v>0</v>
      </c>
      <c r="Z82" s="486">
        <f t="shared" si="128"/>
        <v>0</v>
      </c>
      <c r="AA82" s="319">
        <f t="shared" si="129"/>
        <v>0</v>
      </c>
      <c r="AB82" s="178">
        <f t="shared" si="130"/>
        <v>0</v>
      </c>
      <c r="AC82" s="486">
        <v>0</v>
      </c>
      <c r="AD82" s="486">
        <v>0</v>
      </c>
      <c r="AE82" s="486">
        <f t="shared" si="141"/>
        <v>0</v>
      </c>
      <c r="AF82" s="486">
        <f t="shared" si="142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si="131"/>
        <v>0</v>
      </c>
      <c r="AM82" s="501">
        <f t="shared" si="132"/>
        <v>0</v>
      </c>
      <c r="AN82" s="529">
        <f t="shared" si="143"/>
        <v>0</v>
      </c>
      <c r="AO82" s="530">
        <f t="shared" si="133"/>
        <v>18959</v>
      </c>
      <c r="AP82" s="486">
        <f t="shared" si="134"/>
        <v>13365</v>
      </c>
      <c r="AQ82" s="480">
        <f t="shared" si="135"/>
        <v>0</v>
      </c>
      <c r="AR82" s="480">
        <f t="shared" si="136"/>
        <v>0</v>
      </c>
      <c r="AS82" s="486">
        <f t="shared" si="137"/>
        <v>4517</v>
      </c>
      <c r="AT82" s="486">
        <f t="shared" si="137"/>
        <v>267</v>
      </c>
      <c r="AU82" s="486">
        <f t="shared" si="138"/>
        <v>810</v>
      </c>
      <c r="AV82" s="501">
        <f t="shared" si="139"/>
        <v>0.06</v>
      </c>
      <c r="AW82" s="501">
        <f t="shared" si="140"/>
        <v>0</v>
      </c>
      <c r="AX82" s="502">
        <f t="shared" si="140"/>
        <v>0.06</v>
      </c>
    </row>
    <row r="83" spans="1:50" ht="12.95" customHeight="1" x14ac:dyDescent="0.25">
      <c r="A83" s="156">
        <v>14</v>
      </c>
      <c r="B83" s="104">
        <v>5411</v>
      </c>
      <c r="C83" s="105">
        <v>650034244</v>
      </c>
      <c r="D83" s="104">
        <v>70985375</v>
      </c>
      <c r="E83" s="298" t="s">
        <v>401</v>
      </c>
      <c r="F83" s="92"/>
      <c r="G83" s="299"/>
      <c r="H83" s="93"/>
      <c r="I83" s="294">
        <v>6984778</v>
      </c>
      <c r="J83" s="106">
        <v>5004335</v>
      </c>
      <c r="K83" s="106">
        <v>29918</v>
      </c>
      <c r="L83" s="106">
        <v>6068</v>
      </c>
      <c r="M83" s="106">
        <v>1699527</v>
      </c>
      <c r="N83" s="106">
        <v>100086</v>
      </c>
      <c r="O83" s="106">
        <v>150912</v>
      </c>
      <c r="P83" s="157">
        <v>11.685799999999999</v>
      </c>
      <c r="Q83" s="157">
        <v>6.7625999999999991</v>
      </c>
      <c r="R83" s="296">
        <v>4.9231999999999996</v>
      </c>
      <c r="S83" s="149">
        <f t="shared" ref="S83:AN83" si="144">SUM(S77:S82)</f>
        <v>0</v>
      </c>
      <c r="T83" s="106">
        <f t="shared" si="144"/>
        <v>0</v>
      </c>
      <c r="U83" s="106">
        <f t="shared" si="144"/>
        <v>0</v>
      </c>
      <c r="V83" s="106">
        <f t="shared" si="144"/>
        <v>0</v>
      </c>
      <c r="W83" s="106">
        <f t="shared" si="144"/>
        <v>0</v>
      </c>
      <c r="X83" s="106">
        <f t="shared" si="144"/>
        <v>0</v>
      </c>
      <c r="Y83" s="106">
        <f t="shared" si="144"/>
        <v>0</v>
      </c>
      <c r="Z83" s="106">
        <f t="shared" si="144"/>
        <v>0</v>
      </c>
      <c r="AA83" s="106">
        <f t="shared" si="144"/>
        <v>0</v>
      </c>
      <c r="AB83" s="106">
        <f t="shared" si="144"/>
        <v>0</v>
      </c>
      <c r="AC83" s="106">
        <f t="shared" si="144"/>
        <v>0</v>
      </c>
      <c r="AD83" s="106">
        <f t="shared" si="144"/>
        <v>0</v>
      </c>
      <c r="AE83" s="106">
        <f t="shared" si="144"/>
        <v>0</v>
      </c>
      <c r="AF83" s="106">
        <f t="shared" si="144"/>
        <v>0</v>
      </c>
      <c r="AG83" s="157">
        <f t="shared" si="144"/>
        <v>0</v>
      </c>
      <c r="AH83" s="157">
        <f t="shared" si="144"/>
        <v>0</v>
      </c>
      <c r="AI83" s="157">
        <f t="shared" si="144"/>
        <v>0</v>
      </c>
      <c r="AJ83" s="157">
        <f t="shared" si="144"/>
        <v>0</v>
      </c>
      <c r="AK83" s="157">
        <f t="shared" si="144"/>
        <v>0</v>
      </c>
      <c r="AL83" s="157">
        <f t="shared" si="144"/>
        <v>0</v>
      </c>
      <c r="AM83" s="157">
        <f t="shared" si="144"/>
        <v>0</v>
      </c>
      <c r="AN83" s="409">
        <f t="shared" si="144"/>
        <v>0</v>
      </c>
      <c r="AO83" s="294">
        <f t="shared" ref="AO83:AX83" si="145">SUM(AO77:AO82)</f>
        <v>6984778</v>
      </c>
      <c r="AP83" s="106">
        <f t="shared" si="145"/>
        <v>5004335</v>
      </c>
      <c r="AQ83" s="106">
        <f t="shared" si="145"/>
        <v>29918</v>
      </c>
      <c r="AR83" s="106">
        <f t="shared" si="145"/>
        <v>6068</v>
      </c>
      <c r="AS83" s="106">
        <f t="shared" si="145"/>
        <v>1699527</v>
      </c>
      <c r="AT83" s="106">
        <f t="shared" si="145"/>
        <v>100086</v>
      </c>
      <c r="AU83" s="106">
        <f t="shared" si="145"/>
        <v>150912</v>
      </c>
      <c r="AV83" s="157">
        <f t="shared" si="145"/>
        <v>11.685799999999999</v>
      </c>
      <c r="AW83" s="157">
        <f t="shared" si="145"/>
        <v>6.7625999999999991</v>
      </c>
      <c r="AX83" s="296">
        <f t="shared" si="145"/>
        <v>4.9231999999999996</v>
      </c>
    </row>
    <row r="84" spans="1:50" ht="12.95" customHeight="1" x14ac:dyDescent="0.25">
      <c r="A84" s="154">
        <v>15</v>
      </c>
      <c r="B84" s="526">
        <v>5412</v>
      </c>
      <c r="C84" s="527">
        <v>600099130</v>
      </c>
      <c r="D84" s="83">
        <v>70698066</v>
      </c>
      <c r="E84" s="528" t="s">
        <v>402</v>
      </c>
      <c r="F84" s="83">
        <v>3111</v>
      </c>
      <c r="G84" s="528" t="s">
        <v>331</v>
      </c>
      <c r="H84" s="493" t="s">
        <v>283</v>
      </c>
      <c r="I84" s="495">
        <v>1973085</v>
      </c>
      <c r="J84" s="496">
        <v>1442110</v>
      </c>
      <c r="K84" s="496">
        <v>0</v>
      </c>
      <c r="L84" s="496">
        <v>0</v>
      </c>
      <c r="M84" s="411">
        <v>487433</v>
      </c>
      <c r="N84" s="411">
        <v>28842</v>
      </c>
      <c r="O84" s="496">
        <v>14700</v>
      </c>
      <c r="P84" s="497">
        <v>2.8729999999999998</v>
      </c>
      <c r="Q84" s="412">
        <v>2.3620999999999999</v>
      </c>
      <c r="R84" s="498">
        <v>0.51090000000000002</v>
      </c>
      <c r="S84" s="479">
        <f t="shared" ref="S84:S89" si="146">W84*-1</f>
        <v>0</v>
      </c>
      <c r="T84" s="486">
        <v>0</v>
      </c>
      <c r="U84" s="486">
        <v>0</v>
      </c>
      <c r="V84" s="486">
        <f t="shared" ref="V84:V89" si="147">SUM(S84:U84)</f>
        <v>0</v>
      </c>
      <c r="W84" s="486">
        <v>0</v>
      </c>
      <c r="X84" s="486">
        <v>0</v>
      </c>
      <c r="Y84" s="486">
        <f t="shared" ref="Y84:Y89" si="148">SUM(W84:X84)</f>
        <v>0</v>
      </c>
      <c r="Z84" s="486">
        <f t="shared" ref="Z84:Z89" si="149">V84+Y84</f>
        <v>0</v>
      </c>
      <c r="AA84" s="319">
        <f t="shared" ref="AA84:AA89" si="150">ROUND((V84+W84)*33.8%,0)</f>
        <v>0</v>
      </c>
      <c r="AB84" s="178">
        <f t="shared" ref="AB84:AB89" si="151">ROUND(V84*2%,0)</f>
        <v>0</v>
      </c>
      <c r="AC84" s="486">
        <v>0</v>
      </c>
      <c r="AD84" s="486">
        <v>0</v>
      </c>
      <c r="AE84" s="486">
        <f t="shared" si="141"/>
        <v>0</v>
      </c>
      <c r="AF84" s="486">
        <f t="shared" si="142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ref="AL84:AL89" si="152">AG84+AI84+AJ84</f>
        <v>0</v>
      </c>
      <c r="AM84" s="501">
        <f t="shared" ref="AM84:AM89" si="153">AH84+AK84</f>
        <v>0</v>
      </c>
      <c r="AN84" s="529">
        <f t="shared" si="143"/>
        <v>0</v>
      </c>
      <c r="AO84" s="530">
        <f t="shared" ref="AO84:AO89" si="154">I84+AF84</f>
        <v>1973085</v>
      </c>
      <c r="AP84" s="486">
        <f t="shared" ref="AP84:AP89" si="155">J84+V84</f>
        <v>1442110</v>
      </c>
      <c r="AQ84" s="480">
        <f t="shared" ref="AQ84:AQ89" si="156">K84+Y84</f>
        <v>0</v>
      </c>
      <c r="AR84" s="480">
        <f t="shared" ref="AR84:AR89" si="157">L84</f>
        <v>0</v>
      </c>
      <c r="AS84" s="486">
        <f t="shared" ref="AS84:AT89" si="158">M84+AA84</f>
        <v>487433</v>
      </c>
      <c r="AT84" s="486">
        <f t="shared" si="158"/>
        <v>28842</v>
      </c>
      <c r="AU84" s="486">
        <f t="shared" ref="AU84:AU89" si="159">O84+AE84</f>
        <v>14700</v>
      </c>
      <c r="AV84" s="501">
        <f t="shared" ref="AV84:AV89" si="160">P84+AN84</f>
        <v>2.8729999999999998</v>
      </c>
      <c r="AW84" s="501">
        <f t="shared" ref="AW84:AX89" si="161">Q84+AL84</f>
        <v>2.3620999999999999</v>
      </c>
      <c r="AX84" s="502">
        <f t="shared" si="161"/>
        <v>0.51090000000000002</v>
      </c>
    </row>
    <row r="85" spans="1:50" ht="12.95" customHeight="1" x14ac:dyDescent="0.25">
      <c r="A85" s="154">
        <v>15</v>
      </c>
      <c r="B85" s="526">
        <v>5412</v>
      </c>
      <c r="C85" s="527">
        <v>600099130</v>
      </c>
      <c r="D85" s="83">
        <v>70698066</v>
      </c>
      <c r="E85" s="528" t="s">
        <v>402</v>
      </c>
      <c r="F85" s="83">
        <v>3117</v>
      </c>
      <c r="G85" s="528" t="s">
        <v>320</v>
      </c>
      <c r="H85" s="493" t="s">
        <v>283</v>
      </c>
      <c r="I85" s="495">
        <v>2238461</v>
      </c>
      <c r="J85" s="496">
        <v>1601989</v>
      </c>
      <c r="K85" s="496">
        <v>2960</v>
      </c>
      <c r="L85" s="496">
        <v>2960</v>
      </c>
      <c r="M85" s="411">
        <v>541472</v>
      </c>
      <c r="N85" s="411">
        <v>32040</v>
      </c>
      <c r="O85" s="496">
        <v>60000</v>
      </c>
      <c r="P85" s="497">
        <v>3.2484999999999999</v>
      </c>
      <c r="Q85" s="412">
        <v>2.0908000000000002</v>
      </c>
      <c r="R85" s="498">
        <v>1.1577</v>
      </c>
      <c r="S85" s="479">
        <f t="shared" si="146"/>
        <v>0</v>
      </c>
      <c r="T85" s="486">
        <v>0</v>
      </c>
      <c r="U85" s="486">
        <v>0</v>
      </c>
      <c r="V85" s="486">
        <f t="shared" si="147"/>
        <v>0</v>
      </c>
      <c r="W85" s="486">
        <v>0</v>
      </c>
      <c r="X85" s="486">
        <v>0</v>
      </c>
      <c r="Y85" s="486">
        <f t="shared" si="148"/>
        <v>0</v>
      </c>
      <c r="Z85" s="486">
        <f t="shared" si="149"/>
        <v>0</v>
      </c>
      <c r="AA85" s="319">
        <f t="shared" si="150"/>
        <v>0</v>
      </c>
      <c r="AB85" s="178">
        <f t="shared" si="151"/>
        <v>0</v>
      </c>
      <c r="AC85" s="486">
        <v>0</v>
      </c>
      <c r="AD85" s="486">
        <v>0</v>
      </c>
      <c r="AE85" s="486">
        <f t="shared" si="141"/>
        <v>0</v>
      </c>
      <c r="AF85" s="486">
        <f t="shared" si="142"/>
        <v>0</v>
      </c>
      <c r="AG85" s="501">
        <v>0</v>
      </c>
      <c r="AH85" s="501">
        <v>0</v>
      </c>
      <c r="AI85" s="501">
        <v>0</v>
      </c>
      <c r="AJ85" s="501">
        <v>0</v>
      </c>
      <c r="AK85" s="501">
        <v>0</v>
      </c>
      <c r="AL85" s="501">
        <f t="shared" si="152"/>
        <v>0</v>
      </c>
      <c r="AM85" s="501">
        <f t="shared" si="153"/>
        <v>0</v>
      </c>
      <c r="AN85" s="529">
        <f t="shared" si="143"/>
        <v>0</v>
      </c>
      <c r="AO85" s="530">
        <f t="shared" si="154"/>
        <v>2238461</v>
      </c>
      <c r="AP85" s="486">
        <f t="shared" si="155"/>
        <v>1601989</v>
      </c>
      <c r="AQ85" s="480">
        <f t="shared" si="156"/>
        <v>2960</v>
      </c>
      <c r="AR85" s="480">
        <f t="shared" si="157"/>
        <v>2960</v>
      </c>
      <c r="AS85" s="486">
        <f t="shared" si="158"/>
        <v>541472</v>
      </c>
      <c r="AT85" s="486">
        <f t="shared" si="158"/>
        <v>32040</v>
      </c>
      <c r="AU85" s="486">
        <f t="shared" si="159"/>
        <v>60000</v>
      </c>
      <c r="AV85" s="501">
        <f t="shared" si="160"/>
        <v>3.2484999999999999</v>
      </c>
      <c r="AW85" s="501">
        <f t="shared" si="161"/>
        <v>2.0908000000000002</v>
      </c>
      <c r="AX85" s="502">
        <f t="shared" si="161"/>
        <v>1.1577</v>
      </c>
    </row>
    <row r="86" spans="1:50" ht="12.95" customHeight="1" x14ac:dyDescent="0.25">
      <c r="A86" s="154">
        <v>15</v>
      </c>
      <c r="B86" s="526">
        <v>5412</v>
      </c>
      <c r="C86" s="527">
        <v>600099130</v>
      </c>
      <c r="D86" s="83">
        <v>70698066</v>
      </c>
      <c r="E86" s="528" t="s">
        <v>402</v>
      </c>
      <c r="F86" s="83">
        <v>3117</v>
      </c>
      <c r="G86" s="528" t="s">
        <v>325</v>
      </c>
      <c r="H86" s="493" t="s">
        <v>284</v>
      </c>
      <c r="I86" s="495">
        <v>62781</v>
      </c>
      <c r="J86" s="496">
        <v>46230</v>
      </c>
      <c r="K86" s="496">
        <v>0</v>
      </c>
      <c r="L86" s="496">
        <v>0</v>
      </c>
      <c r="M86" s="411">
        <v>15626</v>
      </c>
      <c r="N86" s="411">
        <v>925</v>
      </c>
      <c r="O86" s="496">
        <v>0</v>
      </c>
      <c r="P86" s="497">
        <v>0.14000000000000001</v>
      </c>
      <c r="Q86" s="412">
        <v>0.14000000000000001</v>
      </c>
      <c r="R86" s="498">
        <v>0</v>
      </c>
      <c r="S86" s="479">
        <f t="shared" si="146"/>
        <v>0</v>
      </c>
      <c r="T86" s="486">
        <v>0</v>
      </c>
      <c r="U86" s="486">
        <v>0</v>
      </c>
      <c r="V86" s="486">
        <f t="shared" si="147"/>
        <v>0</v>
      </c>
      <c r="W86" s="486">
        <v>0</v>
      </c>
      <c r="X86" s="486">
        <v>0</v>
      </c>
      <c r="Y86" s="486">
        <f t="shared" si="148"/>
        <v>0</v>
      </c>
      <c r="Z86" s="486">
        <f t="shared" si="149"/>
        <v>0</v>
      </c>
      <c r="AA86" s="319">
        <f t="shared" si="150"/>
        <v>0</v>
      </c>
      <c r="AB86" s="178">
        <f t="shared" si="151"/>
        <v>0</v>
      </c>
      <c r="AC86" s="486">
        <v>0</v>
      </c>
      <c r="AD86" s="486">
        <v>0</v>
      </c>
      <c r="AE86" s="486">
        <f t="shared" si="141"/>
        <v>0</v>
      </c>
      <c r="AF86" s="486">
        <f t="shared" si="142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si="152"/>
        <v>0</v>
      </c>
      <c r="AM86" s="501">
        <f t="shared" si="153"/>
        <v>0</v>
      </c>
      <c r="AN86" s="529">
        <f t="shared" si="143"/>
        <v>0</v>
      </c>
      <c r="AO86" s="530">
        <f t="shared" si="154"/>
        <v>62781</v>
      </c>
      <c r="AP86" s="486">
        <f t="shared" si="155"/>
        <v>46230</v>
      </c>
      <c r="AQ86" s="480">
        <f t="shared" si="156"/>
        <v>0</v>
      </c>
      <c r="AR86" s="480">
        <f t="shared" si="157"/>
        <v>0</v>
      </c>
      <c r="AS86" s="486">
        <f t="shared" si="158"/>
        <v>15626</v>
      </c>
      <c r="AT86" s="486">
        <f t="shared" si="158"/>
        <v>925</v>
      </c>
      <c r="AU86" s="486">
        <f t="shared" si="159"/>
        <v>0</v>
      </c>
      <c r="AV86" s="501">
        <f t="shared" si="160"/>
        <v>0.14000000000000001</v>
      </c>
      <c r="AW86" s="501">
        <f t="shared" si="161"/>
        <v>0.14000000000000001</v>
      </c>
      <c r="AX86" s="502">
        <f t="shared" si="161"/>
        <v>0</v>
      </c>
    </row>
    <row r="87" spans="1:50" ht="12.95" customHeight="1" x14ac:dyDescent="0.25">
      <c r="A87" s="154">
        <v>15</v>
      </c>
      <c r="B87" s="526">
        <v>5412</v>
      </c>
      <c r="C87" s="527">
        <v>600099130</v>
      </c>
      <c r="D87" s="83">
        <v>70698066</v>
      </c>
      <c r="E87" s="528" t="s">
        <v>402</v>
      </c>
      <c r="F87" s="83">
        <v>3141</v>
      </c>
      <c r="G87" s="528" t="s">
        <v>321</v>
      </c>
      <c r="H87" s="493" t="s">
        <v>284</v>
      </c>
      <c r="I87" s="495">
        <v>573350</v>
      </c>
      <c r="J87" s="496">
        <v>420451</v>
      </c>
      <c r="K87" s="496">
        <v>0</v>
      </c>
      <c r="L87" s="496">
        <v>0</v>
      </c>
      <c r="M87" s="411">
        <v>142112</v>
      </c>
      <c r="N87" s="411">
        <v>8409</v>
      </c>
      <c r="O87" s="496">
        <v>2378</v>
      </c>
      <c r="P87" s="497">
        <v>1.43</v>
      </c>
      <c r="Q87" s="412">
        <v>0</v>
      </c>
      <c r="R87" s="498">
        <v>1.43</v>
      </c>
      <c r="S87" s="479">
        <f t="shared" si="146"/>
        <v>0</v>
      </c>
      <c r="T87" s="486">
        <v>0</v>
      </c>
      <c r="U87" s="486">
        <v>0</v>
      </c>
      <c r="V87" s="486">
        <f t="shared" si="147"/>
        <v>0</v>
      </c>
      <c r="W87" s="486">
        <v>0</v>
      </c>
      <c r="X87" s="486">
        <v>0</v>
      </c>
      <c r="Y87" s="486">
        <f t="shared" si="148"/>
        <v>0</v>
      </c>
      <c r="Z87" s="486">
        <f t="shared" si="149"/>
        <v>0</v>
      </c>
      <c r="AA87" s="319">
        <f t="shared" si="150"/>
        <v>0</v>
      </c>
      <c r="AB87" s="178">
        <f t="shared" si="151"/>
        <v>0</v>
      </c>
      <c r="AC87" s="486">
        <v>0</v>
      </c>
      <c r="AD87" s="486">
        <v>0</v>
      </c>
      <c r="AE87" s="486">
        <f t="shared" si="141"/>
        <v>0</v>
      </c>
      <c r="AF87" s="486">
        <f t="shared" si="142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52"/>
        <v>0</v>
      </c>
      <c r="AM87" s="501">
        <f t="shared" si="153"/>
        <v>0</v>
      </c>
      <c r="AN87" s="529">
        <f t="shared" si="143"/>
        <v>0</v>
      </c>
      <c r="AO87" s="530">
        <f t="shared" si="154"/>
        <v>573350</v>
      </c>
      <c r="AP87" s="486">
        <f t="shared" si="155"/>
        <v>420451</v>
      </c>
      <c r="AQ87" s="480">
        <f t="shared" si="156"/>
        <v>0</v>
      </c>
      <c r="AR87" s="480">
        <f t="shared" si="157"/>
        <v>0</v>
      </c>
      <c r="AS87" s="486">
        <f t="shared" si="158"/>
        <v>142112</v>
      </c>
      <c r="AT87" s="486">
        <f t="shared" si="158"/>
        <v>8409</v>
      </c>
      <c r="AU87" s="486">
        <f t="shared" si="159"/>
        <v>2378</v>
      </c>
      <c r="AV87" s="501">
        <f t="shared" si="160"/>
        <v>1.43</v>
      </c>
      <c r="AW87" s="501">
        <f t="shared" si="161"/>
        <v>0</v>
      </c>
      <c r="AX87" s="502">
        <f t="shared" si="161"/>
        <v>1.43</v>
      </c>
    </row>
    <row r="88" spans="1:50" ht="12.95" customHeight="1" x14ac:dyDescent="0.25">
      <c r="A88" s="154">
        <v>15</v>
      </c>
      <c r="B88" s="526">
        <v>5412</v>
      </c>
      <c r="C88" s="527">
        <v>600099130</v>
      </c>
      <c r="D88" s="83">
        <v>70698066</v>
      </c>
      <c r="E88" s="528" t="s">
        <v>402</v>
      </c>
      <c r="F88" s="83">
        <v>3143</v>
      </c>
      <c r="G88" s="528" t="s">
        <v>634</v>
      </c>
      <c r="H88" s="493" t="s">
        <v>283</v>
      </c>
      <c r="I88" s="495">
        <v>280988</v>
      </c>
      <c r="J88" s="496">
        <v>206913</v>
      </c>
      <c r="K88" s="496">
        <v>0</v>
      </c>
      <c r="L88" s="496">
        <v>0</v>
      </c>
      <c r="M88" s="411">
        <v>69937</v>
      </c>
      <c r="N88" s="411">
        <v>4138</v>
      </c>
      <c r="O88" s="496">
        <v>0</v>
      </c>
      <c r="P88" s="497">
        <v>0.5</v>
      </c>
      <c r="Q88" s="412">
        <v>0.5</v>
      </c>
      <c r="R88" s="498">
        <v>0</v>
      </c>
      <c r="S88" s="479">
        <f t="shared" si="146"/>
        <v>0</v>
      </c>
      <c r="T88" s="486">
        <v>0</v>
      </c>
      <c r="U88" s="486">
        <v>0</v>
      </c>
      <c r="V88" s="486">
        <f t="shared" si="147"/>
        <v>0</v>
      </c>
      <c r="W88" s="486">
        <v>0</v>
      </c>
      <c r="X88" s="486">
        <v>0</v>
      </c>
      <c r="Y88" s="486">
        <f t="shared" si="148"/>
        <v>0</v>
      </c>
      <c r="Z88" s="486">
        <f t="shared" si="149"/>
        <v>0</v>
      </c>
      <c r="AA88" s="319">
        <f t="shared" si="150"/>
        <v>0</v>
      </c>
      <c r="AB88" s="178">
        <f t="shared" si="151"/>
        <v>0</v>
      </c>
      <c r="AC88" s="486">
        <v>0</v>
      </c>
      <c r="AD88" s="486">
        <v>0</v>
      </c>
      <c r="AE88" s="486">
        <f t="shared" si="141"/>
        <v>0</v>
      </c>
      <c r="AF88" s="486">
        <f t="shared" si="142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52"/>
        <v>0</v>
      </c>
      <c r="AM88" s="501">
        <f t="shared" si="153"/>
        <v>0</v>
      </c>
      <c r="AN88" s="529">
        <f t="shared" si="143"/>
        <v>0</v>
      </c>
      <c r="AO88" s="530">
        <f t="shared" si="154"/>
        <v>280988</v>
      </c>
      <c r="AP88" s="486">
        <f t="shared" si="155"/>
        <v>206913</v>
      </c>
      <c r="AQ88" s="480">
        <f t="shared" si="156"/>
        <v>0</v>
      </c>
      <c r="AR88" s="480">
        <f t="shared" si="157"/>
        <v>0</v>
      </c>
      <c r="AS88" s="486">
        <f t="shared" si="158"/>
        <v>69937</v>
      </c>
      <c r="AT88" s="486">
        <f t="shared" si="158"/>
        <v>4138</v>
      </c>
      <c r="AU88" s="486">
        <f t="shared" si="159"/>
        <v>0</v>
      </c>
      <c r="AV88" s="501">
        <f t="shared" si="160"/>
        <v>0.5</v>
      </c>
      <c r="AW88" s="501">
        <f t="shared" si="161"/>
        <v>0.5</v>
      </c>
      <c r="AX88" s="502">
        <f t="shared" si="161"/>
        <v>0</v>
      </c>
    </row>
    <row r="89" spans="1:50" ht="12.95" customHeight="1" x14ac:dyDescent="0.25">
      <c r="A89" s="154">
        <v>15</v>
      </c>
      <c r="B89" s="526">
        <v>5412</v>
      </c>
      <c r="C89" s="527">
        <v>600099130</v>
      </c>
      <c r="D89" s="83">
        <v>70698066</v>
      </c>
      <c r="E89" s="528" t="s">
        <v>402</v>
      </c>
      <c r="F89" s="83">
        <v>3143</v>
      </c>
      <c r="G89" s="528" t="s">
        <v>635</v>
      </c>
      <c r="H89" s="493" t="s">
        <v>284</v>
      </c>
      <c r="I89" s="495">
        <v>7022</v>
      </c>
      <c r="J89" s="496">
        <v>4950</v>
      </c>
      <c r="K89" s="496">
        <v>0</v>
      </c>
      <c r="L89" s="496">
        <v>0</v>
      </c>
      <c r="M89" s="411">
        <v>1673</v>
      </c>
      <c r="N89" s="411">
        <v>99</v>
      </c>
      <c r="O89" s="496">
        <v>300</v>
      </c>
      <c r="P89" s="497">
        <v>0.02</v>
      </c>
      <c r="Q89" s="412">
        <v>0</v>
      </c>
      <c r="R89" s="498">
        <v>0.02</v>
      </c>
      <c r="S89" s="479">
        <f t="shared" si="146"/>
        <v>0</v>
      </c>
      <c r="T89" s="486">
        <v>0</v>
      </c>
      <c r="U89" s="486">
        <v>0</v>
      </c>
      <c r="V89" s="486">
        <f t="shared" si="147"/>
        <v>0</v>
      </c>
      <c r="W89" s="486">
        <v>0</v>
      </c>
      <c r="X89" s="486">
        <v>0</v>
      </c>
      <c r="Y89" s="486">
        <f t="shared" si="148"/>
        <v>0</v>
      </c>
      <c r="Z89" s="486">
        <f t="shared" si="149"/>
        <v>0</v>
      </c>
      <c r="AA89" s="319">
        <f t="shared" si="150"/>
        <v>0</v>
      </c>
      <c r="AB89" s="178">
        <f t="shared" si="151"/>
        <v>0</v>
      </c>
      <c r="AC89" s="486">
        <v>0</v>
      </c>
      <c r="AD89" s="486">
        <v>0</v>
      </c>
      <c r="AE89" s="486">
        <f t="shared" si="141"/>
        <v>0</v>
      </c>
      <c r="AF89" s="486">
        <f t="shared" si="142"/>
        <v>0</v>
      </c>
      <c r="AG89" s="501">
        <v>0</v>
      </c>
      <c r="AH89" s="501">
        <v>0</v>
      </c>
      <c r="AI89" s="501">
        <v>0</v>
      </c>
      <c r="AJ89" s="501">
        <v>0</v>
      </c>
      <c r="AK89" s="501">
        <v>0</v>
      </c>
      <c r="AL89" s="501">
        <f t="shared" si="152"/>
        <v>0</v>
      </c>
      <c r="AM89" s="501">
        <f t="shared" si="153"/>
        <v>0</v>
      </c>
      <c r="AN89" s="529">
        <f t="shared" si="143"/>
        <v>0</v>
      </c>
      <c r="AO89" s="530">
        <f t="shared" si="154"/>
        <v>7022</v>
      </c>
      <c r="AP89" s="486">
        <f t="shared" si="155"/>
        <v>4950</v>
      </c>
      <c r="AQ89" s="480">
        <f t="shared" si="156"/>
        <v>0</v>
      </c>
      <c r="AR89" s="480">
        <f t="shared" si="157"/>
        <v>0</v>
      </c>
      <c r="AS89" s="486">
        <f t="shared" si="158"/>
        <v>1673</v>
      </c>
      <c r="AT89" s="486">
        <f t="shared" si="158"/>
        <v>99</v>
      </c>
      <c r="AU89" s="486">
        <f t="shared" si="159"/>
        <v>300</v>
      </c>
      <c r="AV89" s="501">
        <f t="shared" si="160"/>
        <v>0.02</v>
      </c>
      <c r="AW89" s="501">
        <f t="shared" si="161"/>
        <v>0</v>
      </c>
      <c r="AX89" s="502">
        <f t="shared" si="161"/>
        <v>0.02</v>
      </c>
    </row>
    <row r="90" spans="1:50" ht="12.95" customHeight="1" x14ac:dyDescent="0.25">
      <c r="A90" s="156">
        <v>15</v>
      </c>
      <c r="B90" s="104">
        <v>5412</v>
      </c>
      <c r="C90" s="105">
        <v>600099130</v>
      </c>
      <c r="D90" s="104">
        <v>70698066</v>
      </c>
      <c r="E90" s="298" t="s">
        <v>403</v>
      </c>
      <c r="F90" s="92"/>
      <c r="G90" s="299"/>
      <c r="H90" s="93"/>
      <c r="I90" s="294">
        <v>5135687</v>
      </c>
      <c r="J90" s="106">
        <v>3722643</v>
      </c>
      <c r="K90" s="106">
        <v>2960</v>
      </c>
      <c r="L90" s="106">
        <v>2960</v>
      </c>
      <c r="M90" s="106">
        <v>1258253</v>
      </c>
      <c r="N90" s="106">
        <v>74453</v>
      </c>
      <c r="O90" s="106">
        <v>77378</v>
      </c>
      <c r="P90" s="157">
        <v>8.2114999999999974</v>
      </c>
      <c r="Q90" s="157">
        <v>5.0928999999999993</v>
      </c>
      <c r="R90" s="296">
        <v>3.1186000000000003</v>
      </c>
      <c r="S90" s="149">
        <f t="shared" ref="S90:AN90" si="162">SUM(S84:S89)</f>
        <v>0</v>
      </c>
      <c r="T90" s="106">
        <f t="shared" si="162"/>
        <v>0</v>
      </c>
      <c r="U90" s="106">
        <f t="shared" si="162"/>
        <v>0</v>
      </c>
      <c r="V90" s="106">
        <f t="shared" si="162"/>
        <v>0</v>
      </c>
      <c r="W90" s="106">
        <f t="shared" si="162"/>
        <v>0</v>
      </c>
      <c r="X90" s="106">
        <f t="shared" si="162"/>
        <v>0</v>
      </c>
      <c r="Y90" s="106">
        <f t="shared" si="162"/>
        <v>0</v>
      </c>
      <c r="Z90" s="106">
        <f t="shared" si="162"/>
        <v>0</v>
      </c>
      <c r="AA90" s="106">
        <f t="shared" si="162"/>
        <v>0</v>
      </c>
      <c r="AB90" s="106">
        <f t="shared" si="162"/>
        <v>0</v>
      </c>
      <c r="AC90" s="106">
        <f t="shared" si="162"/>
        <v>0</v>
      </c>
      <c r="AD90" s="106">
        <f t="shared" si="162"/>
        <v>0</v>
      </c>
      <c r="AE90" s="106">
        <f t="shared" si="162"/>
        <v>0</v>
      </c>
      <c r="AF90" s="106">
        <f t="shared" si="162"/>
        <v>0</v>
      </c>
      <c r="AG90" s="157">
        <f t="shared" si="162"/>
        <v>0</v>
      </c>
      <c r="AH90" s="157">
        <f t="shared" si="162"/>
        <v>0</v>
      </c>
      <c r="AI90" s="157">
        <f t="shared" si="162"/>
        <v>0</v>
      </c>
      <c r="AJ90" s="157">
        <f t="shared" si="162"/>
        <v>0</v>
      </c>
      <c r="AK90" s="157">
        <f t="shared" si="162"/>
        <v>0</v>
      </c>
      <c r="AL90" s="157">
        <f t="shared" si="162"/>
        <v>0</v>
      </c>
      <c r="AM90" s="157">
        <f t="shared" si="162"/>
        <v>0</v>
      </c>
      <c r="AN90" s="409">
        <f t="shared" si="162"/>
        <v>0</v>
      </c>
      <c r="AO90" s="294">
        <f t="shared" ref="AO90:AX90" si="163">SUM(AO84:AO89)</f>
        <v>5135687</v>
      </c>
      <c r="AP90" s="106">
        <f t="shared" si="163"/>
        <v>3722643</v>
      </c>
      <c r="AQ90" s="106">
        <f t="shared" si="163"/>
        <v>2960</v>
      </c>
      <c r="AR90" s="106">
        <f t="shared" si="163"/>
        <v>2960</v>
      </c>
      <c r="AS90" s="106">
        <f t="shared" si="163"/>
        <v>1258253</v>
      </c>
      <c r="AT90" s="106">
        <f t="shared" si="163"/>
        <v>74453</v>
      </c>
      <c r="AU90" s="106">
        <f t="shared" si="163"/>
        <v>77378</v>
      </c>
      <c r="AV90" s="157">
        <f t="shared" si="163"/>
        <v>8.2114999999999974</v>
      </c>
      <c r="AW90" s="157">
        <f t="shared" si="163"/>
        <v>5.0928999999999993</v>
      </c>
      <c r="AX90" s="296">
        <f t="shared" si="163"/>
        <v>3.1186000000000003</v>
      </c>
    </row>
    <row r="91" spans="1:50" ht="12.95" customHeight="1" x14ac:dyDescent="0.25">
      <c r="A91" s="154">
        <v>16</v>
      </c>
      <c r="B91" s="526">
        <v>5418</v>
      </c>
      <c r="C91" s="527">
        <v>600098508</v>
      </c>
      <c r="D91" s="83">
        <v>70156573</v>
      </c>
      <c r="E91" s="528" t="s">
        <v>404</v>
      </c>
      <c r="F91" s="83">
        <v>3111</v>
      </c>
      <c r="G91" s="528" t="s">
        <v>331</v>
      </c>
      <c r="H91" s="493" t="s">
        <v>283</v>
      </c>
      <c r="I91" s="495">
        <v>4078868</v>
      </c>
      <c r="J91" s="496">
        <v>2973173</v>
      </c>
      <c r="K91" s="496">
        <v>0</v>
      </c>
      <c r="L91" s="496">
        <v>0</v>
      </c>
      <c r="M91" s="411">
        <v>1004932</v>
      </c>
      <c r="N91" s="411">
        <v>59463</v>
      </c>
      <c r="O91" s="496">
        <v>41300</v>
      </c>
      <c r="P91" s="497">
        <v>7.3066999999999993</v>
      </c>
      <c r="Q91" s="412">
        <v>5.3224999999999998</v>
      </c>
      <c r="R91" s="498">
        <v>1.9842</v>
      </c>
      <c r="S91" s="479">
        <f t="shared" ref="S91:S92" si="164">W91*-1</f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319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 t="shared" si="141"/>
        <v>0</v>
      </c>
      <c r="AF91" s="486">
        <f t="shared" si="142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ref="AL91:AL92" si="165">AG91+AI91+AJ91</f>
        <v>0</v>
      </c>
      <c r="AM91" s="501">
        <f t="shared" ref="AM91:AM92" si="166">AH91+AK91</f>
        <v>0</v>
      </c>
      <c r="AN91" s="529">
        <f t="shared" si="143"/>
        <v>0</v>
      </c>
      <c r="AO91" s="530">
        <f>I91+AF91</f>
        <v>4078868</v>
      </c>
      <c r="AP91" s="486">
        <f>J91+V91</f>
        <v>2973173</v>
      </c>
      <c r="AQ91" s="480">
        <f>K91+Y91</f>
        <v>0</v>
      </c>
      <c r="AR91" s="480">
        <f>L91</f>
        <v>0</v>
      </c>
      <c r="AS91" s="486">
        <f>M91+AA91</f>
        <v>1004932</v>
      </c>
      <c r="AT91" s="486">
        <f>N91+AB91</f>
        <v>59463</v>
      </c>
      <c r="AU91" s="486">
        <f>O91+AE91</f>
        <v>41300</v>
      </c>
      <c r="AV91" s="501">
        <f>P91+AN91</f>
        <v>7.3066999999999993</v>
      </c>
      <c r="AW91" s="501">
        <f>Q91+AL91</f>
        <v>5.3224999999999998</v>
      </c>
      <c r="AX91" s="502">
        <f>R91+AM91</f>
        <v>1.9842</v>
      </c>
    </row>
    <row r="92" spans="1:50" ht="12.95" customHeight="1" x14ac:dyDescent="0.25">
      <c r="A92" s="154">
        <v>16</v>
      </c>
      <c r="B92" s="526">
        <v>5418</v>
      </c>
      <c r="C92" s="527">
        <v>600098508</v>
      </c>
      <c r="D92" s="83">
        <v>70156573</v>
      </c>
      <c r="E92" s="528" t="s">
        <v>404</v>
      </c>
      <c r="F92" s="83">
        <v>3141</v>
      </c>
      <c r="G92" s="528" t="s">
        <v>321</v>
      </c>
      <c r="H92" s="493" t="s">
        <v>284</v>
      </c>
      <c r="I92" s="495">
        <v>693371</v>
      </c>
      <c r="J92" s="496">
        <v>508063</v>
      </c>
      <c r="K92" s="496">
        <v>0</v>
      </c>
      <c r="L92" s="496">
        <v>0</v>
      </c>
      <c r="M92" s="411">
        <v>171725</v>
      </c>
      <c r="N92" s="411">
        <v>10161</v>
      </c>
      <c r="O92" s="496">
        <v>3422</v>
      </c>
      <c r="P92" s="497">
        <v>1.73</v>
      </c>
      <c r="Q92" s="412">
        <v>0</v>
      </c>
      <c r="R92" s="498">
        <v>1.73</v>
      </c>
      <c r="S92" s="479">
        <f t="shared" si="164"/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319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 t="shared" si="141"/>
        <v>0</v>
      </c>
      <c r="AF92" s="486">
        <f t="shared" si="142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65"/>
        <v>0</v>
      </c>
      <c r="AM92" s="501">
        <f t="shared" si="166"/>
        <v>0</v>
      </c>
      <c r="AN92" s="529">
        <f t="shared" si="143"/>
        <v>0</v>
      </c>
      <c r="AO92" s="530">
        <f>I92+AF92</f>
        <v>693371</v>
      </c>
      <c r="AP92" s="486">
        <f>J92+V92</f>
        <v>508063</v>
      </c>
      <c r="AQ92" s="480">
        <f>K92+Y92</f>
        <v>0</v>
      </c>
      <c r="AR92" s="480">
        <f>L92</f>
        <v>0</v>
      </c>
      <c r="AS92" s="486">
        <f>M92+AA92</f>
        <v>171725</v>
      </c>
      <c r="AT92" s="486">
        <f>N92+AB92</f>
        <v>10161</v>
      </c>
      <c r="AU92" s="486">
        <f>O92+AE92</f>
        <v>3422</v>
      </c>
      <c r="AV92" s="501">
        <f>P92+AN92</f>
        <v>1.73</v>
      </c>
      <c r="AW92" s="501">
        <f>Q92+AL92</f>
        <v>0</v>
      </c>
      <c r="AX92" s="502">
        <f>R92+AM92</f>
        <v>1.73</v>
      </c>
    </row>
    <row r="93" spans="1:50" ht="12.95" customHeight="1" x14ac:dyDescent="0.25">
      <c r="A93" s="156">
        <v>16</v>
      </c>
      <c r="B93" s="104">
        <v>5418</v>
      </c>
      <c r="C93" s="105">
        <v>600098508</v>
      </c>
      <c r="D93" s="104">
        <v>70156573</v>
      </c>
      <c r="E93" s="298" t="s">
        <v>405</v>
      </c>
      <c r="F93" s="92"/>
      <c r="G93" s="299"/>
      <c r="H93" s="93"/>
      <c r="I93" s="294">
        <v>4772239</v>
      </c>
      <c r="J93" s="106">
        <v>3481236</v>
      </c>
      <c r="K93" s="106">
        <v>0</v>
      </c>
      <c r="L93" s="106">
        <v>0</v>
      </c>
      <c r="M93" s="106">
        <v>1176657</v>
      </c>
      <c r="N93" s="106">
        <v>69624</v>
      </c>
      <c r="O93" s="106">
        <v>44722</v>
      </c>
      <c r="P93" s="157">
        <v>9.0366999999999997</v>
      </c>
      <c r="Q93" s="157">
        <v>5.3224999999999998</v>
      </c>
      <c r="R93" s="296">
        <v>3.7141999999999999</v>
      </c>
      <c r="S93" s="149">
        <f t="shared" ref="S93:AN93" si="167">SUM(S91:S92)</f>
        <v>0</v>
      </c>
      <c r="T93" s="106">
        <f t="shared" si="167"/>
        <v>0</v>
      </c>
      <c r="U93" s="106">
        <f t="shared" si="167"/>
        <v>0</v>
      </c>
      <c r="V93" s="106">
        <f t="shared" si="167"/>
        <v>0</v>
      </c>
      <c r="W93" s="106">
        <f t="shared" si="167"/>
        <v>0</v>
      </c>
      <c r="X93" s="106">
        <f t="shared" si="167"/>
        <v>0</v>
      </c>
      <c r="Y93" s="106">
        <f t="shared" si="167"/>
        <v>0</v>
      </c>
      <c r="Z93" s="106">
        <f t="shared" si="167"/>
        <v>0</v>
      </c>
      <c r="AA93" s="106">
        <f t="shared" si="167"/>
        <v>0</v>
      </c>
      <c r="AB93" s="106">
        <f t="shared" si="167"/>
        <v>0</v>
      </c>
      <c r="AC93" s="106">
        <f t="shared" si="167"/>
        <v>0</v>
      </c>
      <c r="AD93" s="106">
        <f t="shared" si="167"/>
        <v>0</v>
      </c>
      <c r="AE93" s="106">
        <f t="shared" si="167"/>
        <v>0</v>
      </c>
      <c r="AF93" s="106">
        <f t="shared" si="167"/>
        <v>0</v>
      </c>
      <c r="AG93" s="157">
        <f t="shared" si="167"/>
        <v>0</v>
      </c>
      <c r="AH93" s="157">
        <f t="shared" si="167"/>
        <v>0</v>
      </c>
      <c r="AI93" s="157">
        <f t="shared" si="167"/>
        <v>0</v>
      </c>
      <c r="AJ93" s="157">
        <f t="shared" si="167"/>
        <v>0</v>
      </c>
      <c r="AK93" s="157">
        <f t="shared" si="167"/>
        <v>0</v>
      </c>
      <c r="AL93" s="157">
        <f t="shared" si="167"/>
        <v>0</v>
      </c>
      <c r="AM93" s="157">
        <f t="shared" si="167"/>
        <v>0</v>
      </c>
      <c r="AN93" s="409">
        <f t="shared" si="167"/>
        <v>0</v>
      </c>
      <c r="AO93" s="294">
        <f t="shared" ref="AO93:AX93" si="168">SUM(AO91:AO92)</f>
        <v>4772239</v>
      </c>
      <c r="AP93" s="106">
        <f t="shared" si="168"/>
        <v>3481236</v>
      </c>
      <c r="AQ93" s="106">
        <f t="shared" si="168"/>
        <v>0</v>
      </c>
      <c r="AR93" s="106">
        <f t="shared" si="168"/>
        <v>0</v>
      </c>
      <c r="AS93" s="106">
        <f t="shared" si="168"/>
        <v>1176657</v>
      </c>
      <c r="AT93" s="106">
        <f t="shared" si="168"/>
        <v>69624</v>
      </c>
      <c r="AU93" s="106">
        <f t="shared" si="168"/>
        <v>44722</v>
      </c>
      <c r="AV93" s="157">
        <f t="shared" si="168"/>
        <v>9.0366999999999997</v>
      </c>
      <c r="AW93" s="157">
        <f t="shared" si="168"/>
        <v>5.3224999999999998</v>
      </c>
      <c r="AX93" s="296">
        <f t="shared" si="168"/>
        <v>3.7141999999999999</v>
      </c>
    </row>
    <row r="94" spans="1:50" ht="12.95" customHeight="1" x14ac:dyDescent="0.25">
      <c r="A94" s="154">
        <v>17</v>
      </c>
      <c r="B94" s="526">
        <v>5417</v>
      </c>
      <c r="C94" s="527">
        <v>600099113</v>
      </c>
      <c r="D94" s="83">
        <v>70156565</v>
      </c>
      <c r="E94" s="528" t="s">
        <v>406</v>
      </c>
      <c r="F94" s="83">
        <v>3117</v>
      </c>
      <c r="G94" s="528" t="s">
        <v>320</v>
      </c>
      <c r="H94" s="493" t="s">
        <v>283</v>
      </c>
      <c r="I94" s="495">
        <v>5602313</v>
      </c>
      <c r="J94" s="496">
        <v>3921823</v>
      </c>
      <c r="K94" s="496">
        <v>58916</v>
      </c>
      <c r="L94" s="496">
        <v>9916</v>
      </c>
      <c r="M94" s="411">
        <v>1342138</v>
      </c>
      <c r="N94" s="411">
        <v>78436</v>
      </c>
      <c r="O94" s="496">
        <v>201000</v>
      </c>
      <c r="P94" s="497">
        <v>7.8916000000000004</v>
      </c>
      <c r="Q94" s="412">
        <v>5.7271999999999998</v>
      </c>
      <c r="R94" s="498">
        <v>2.1643999999999997</v>
      </c>
      <c r="S94" s="479">
        <f t="shared" ref="S94:S98" si="169">W94*-1</f>
        <v>0</v>
      </c>
      <c r="T94" s="486">
        <v>0</v>
      </c>
      <c r="U94" s="486">
        <v>0</v>
      </c>
      <c r="V94" s="486">
        <f>SUM(S94:U94)</f>
        <v>0</v>
      </c>
      <c r="W94" s="486">
        <v>0</v>
      </c>
      <c r="X94" s="486">
        <v>0</v>
      </c>
      <c r="Y94" s="486">
        <f>SUM(W94:X94)</f>
        <v>0</v>
      </c>
      <c r="Z94" s="486">
        <f>V94+Y94</f>
        <v>0</v>
      </c>
      <c r="AA94" s="319">
        <f>ROUND((V94+W94)*33.8%,0)</f>
        <v>0</v>
      </c>
      <c r="AB94" s="178">
        <f>ROUND(V94*2%,0)</f>
        <v>0</v>
      </c>
      <c r="AC94" s="486">
        <v>0</v>
      </c>
      <c r="AD94" s="486">
        <v>0</v>
      </c>
      <c r="AE94" s="486">
        <f t="shared" si="141"/>
        <v>0</v>
      </c>
      <c r="AF94" s="486">
        <f t="shared" si="142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ref="AL94:AL98" si="170">AG94+AI94+AJ94</f>
        <v>0</v>
      </c>
      <c r="AM94" s="501">
        <f t="shared" ref="AM94:AM98" si="171">AH94+AK94</f>
        <v>0</v>
      </c>
      <c r="AN94" s="529">
        <f t="shared" si="143"/>
        <v>0</v>
      </c>
      <c r="AO94" s="530">
        <f>I94+AF94</f>
        <v>5602313</v>
      </c>
      <c r="AP94" s="486">
        <f>J94+V94</f>
        <v>3921823</v>
      </c>
      <c r="AQ94" s="480">
        <f>K94+Y94</f>
        <v>58916</v>
      </c>
      <c r="AR94" s="480">
        <f>L94</f>
        <v>9916</v>
      </c>
      <c r="AS94" s="486">
        <f t="shared" ref="AS94:AT98" si="172">M94+AA94</f>
        <v>1342138</v>
      </c>
      <c r="AT94" s="486">
        <f t="shared" si="172"/>
        <v>78436</v>
      </c>
      <c r="AU94" s="486">
        <f>O94+AE94</f>
        <v>201000</v>
      </c>
      <c r="AV94" s="501">
        <f>P94+AN94</f>
        <v>7.8916000000000004</v>
      </c>
      <c r="AW94" s="501">
        <f t="shared" ref="AW94:AX98" si="173">Q94+AL94</f>
        <v>5.7271999999999998</v>
      </c>
      <c r="AX94" s="502">
        <f t="shared" si="173"/>
        <v>2.1643999999999997</v>
      </c>
    </row>
    <row r="95" spans="1:50" ht="12.95" customHeight="1" x14ac:dyDescent="0.25">
      <c r="A95" s="154">
        <v>17</v>
      </c>
      <c r="B95" s="526">
        <v>5417</v>
      </c>
      <c r="C95" s="527">
        <v>600099113</v>
      </c>
      <c r="D95" s="83">
        <v>70156565</v>
      </c>
      <c r="E95" s="528" t="s">
        <v>406</v>
      </c>
      <c r="F95" s="83">
        <v>3117</v>
      </c>
      <c r="G95" s="528" t="s">
        <v>325</v>
      </c>
      <c r="H95" s="493" t="s">
        <v>284</v>
      </c>
      <c r="I95" s="495">
        <v>258373</v>
      </c>
      <c r="J95" s="496">
        <v>190260</v>
      </c>
      <c r="K95" s="496">
        <v>0</v>
      </c>
      <c r="L95" s="496">
        <v>0</v>
      </c>
      <c r="M95" s="411">
        <v>64308</v>
      </c>
      <c r="N95" s="411">
        <v>3805</v>
      </c>
      <c r="O95" s="496">
        <v>0</v>
      </c>
      <c r="P95" s="497">
        <v>0.55000000000000004</v>
      </c>
      <c r="Q95" s="412">
        <v>0.55000000000000004</v>
      </c>
      <c r="R95" s="498">
        <v>0</v>
      </c>
      <c r="S95" s="479">
        <f t="shared" si="169"/>
        <v>0</v>
      </c>
      <c r="T95" s="486">
        <v>0</v>
      </c>
      <c r="U95" s="486">
        <v>0</v>
      </c>
      <c r="V95" s="486">
        <f>SUM(S95:U95)</f>
        <v>0</v>
      </c>
      <c r="W95" s="486">
        <v>0</v>
      </c>
      <c r="X95" s="486">
        <v>0</v>
      </c>
      <c r="Y95" s="486">
        <f>SUM(W95:X95)</f>
        <v>0</v>
      </c>
      <c r="Z95" s="486">
        <f>V95+Y95</f>
        <v>0</v>
      </c>
      <c r="AA95" s="319">
        <f>ROUND((V95+W95)*33.8%,0)</f>
        <v>0</v>
      </c>
      <c r="AB95" s="178">
        <f>ROUND(V95*2%,0)</f>
        <v>0</v>
      </c>
      <c r="AC95" s="486">
        <v>0</v>
      </c>
      <c r="AD95" s="486">
        <v>0</v>
      </c>
      <c r="AE95" s="486">
        <f t="shared" si="141"/>
        <v>0</v>
      </c>
      <c r="AF95" s="486">
        <f t="shared" si="142"/>
        <v>0</v>
      </c>
      <c r="AG95" s="501">
        <v>0</v>
      </c>
      <c r="AH95" s="501">
        <v>0</v>
      </c>
      <c r="AI95" s="501">
        <v>0</v>
      </c>
      <c r="AJ95" s="501">
        <v>0</v>
      </c>
      <c r="AK95" s="501">
        <v>0</v>
      </c>
      <c r="AL95" s="501">
        <f t="shared" si="170"/>
        <v>0</v>
      </c>
      <c r="AM95" s="501">
        <f t="shared" si="171"/>
        <v>0</v>
      </c>
      <c r="AN95" s="529">
        <f t="shared" si="143"/>
        <v>0</v>
      </c>
      <c r="AO95" s="530">
        <f>I95+AF95</f>
        <v>258373</v>
      </c>
      <c r="AP95" s="486">
        <f>J95+V95</f>
        <v>190260</v>
      </c>
      <c r="AQ95" s="480">
        <f>K95+Y95</f>
        <v>0</v>
      </c>
      <c r="AR95" s="480">
        <f>L95</f>
        <v>0</v>
      </c>
      <c r="AS95" s="486">
        <f t="shared" si="172"/>
        <v>64308</v>
      </c>
      <c r="AT95" s="486">
        <f t="shared" si="172"/>
        <v>3805</v>
      </c>
      <c r="AU95" s="486">
        <f>O95+AE95</f>
        <v>0</v>
      </c>
      <c r="AV95" s="501">
        <f>P95+AN95</f>
        <v>0.55000000000000004</v>
      </c>
      <c r="AW95" s="501">
        <f t="shared" si="173"/>
        <v>0.55000000000000004</v>
      </c>
      <c r="AX95" s="502">
        <f t="shared" si="173"/>
        <v>0</v>
      </c>
    </row>
    <row r="96" spans="1:50" ht="12.95" customHeight="1" x14ac:dyDescent="0.25">
      <c r="A96" s="154">
        <v>17</v>
      </c>
      <c r="B96" s="526">
        <v>5417</v>
      </c>
      <c r="C96" s="527">
        <v>600099113</v>
      </c>
      <c r="D96" s="83">
        <v>70156565</v>
      </c>
      <c r="E96" s="528" t="s">
        <v>406</v>
      </c>
      <c r="F96" s="83">
        <v>3141</v>
      </c>
      <c r="G96" s="528" t="s">
        <v>321</v>
      </c>
      <c r="H96" s="493" t="s">
        <v>284</v>
      </c>
      <c r="I96" s="495">
        <v>597047</v>
      </c>
      <c r="J96" s="496">
        <v>397379</v>
      </c>
      <c r="K96" s="496">
        <v>40000</v>
      </c>
      <c r="L96" s="496">
        <v>0</v>
      </c>
      <c r="M96" s="411">
        <v>147834</v>
      </c>
      <c r="N96" s="411">
        <v>7948</v>
      </c>
      <c r="O96" s="496">
        <v>3886</v>
      </c>
      <c r="P96" s="497">
        <v>1.3399999999999999</v>
      </c>
      <c r="Q96" s="412">
        <v>0</v>
      </c>
      <c r="R96" s="498">
        <v>1.3399999999999999</v>
      </c>
      <c r="S96" s="479">
        <f t="shared" si="169"/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319">
        <f>ROUND((V96+W96)*33.8%,0)</f>
        <v>0</v>
      </c>
      <c r="AB96" s="178">
        <f>ROUND(V96*2%,0)</f>
        <v>0</v>
      </c>
      <c r="AC96" s="486">
        <v>0</v>
      </c>
      <c r="AD96" s="486">
        <v>0</v>
      </c>
      <c r="AE96" s="486">
        <f t="shared" si="141"/>
        <v>0</v>
      </c>
      <c r="AF96" s="486">
        <f t="shared" si="142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 t="shared" si="170"/>
        <v>0</v>
      </c>
      <c r="AM96" s="501">
        <f t="shared" si="171"/>
        <v>0</v>
      </c>
      <c r="AN96" s="529">
        <f t="shared" si="143"/>
        <v>0</v>
      </c>
      <c r="AO96" s="530">
        <f>I96+AF96</f>
        <v>597047</v>
      </c>
      <c r="AP96" s="486">
        <f>J96+V96</f>
        <v>397379</v>
      </c>
      <c r="AQ96" s="480">
        <f>K96+Y96</f>
        <v>40000</v>
      </c>
      <c r="AR96" s="480">
        <f>L96</f>
        <v>0</v>
      </c>
      <c r="AS96" s="486">
        <f t="shared" si="172"/>
        <v>147834</v>
      </c>
      <c r="AT96" s="486">
        <f t="shared" si="172"/>
        <v>7948</v>
      </c>
      <c r="AU96" s="486">
        <f>O96+AE96</f>
        <v>3886</v>
      </c>
      <c r="AV96" s="501">
        <f>P96+AN96</f>
        <v>1.3399999999999999</v>
      </c>
      <c r="AW96" s="501">
        <f t="shared" si="173"/>
        <v>0</v>
      </c>
      <c r="AX96" s="502">
        <f t="shared" si="173"/>
        <v>1.3399999999999999</v>
      </c>
    </row>
    <row r="97" spans="1:50" ht="12.95" customHeight="1" x14ac:dyDescent="0.25">
      <c r="A97" s="154">
        <v>17</v>
      </c>
      <c r="B97" s="526">
        <v>5417</v>
      </c>
      <c r="C97" s="527">
        <v>600099113</v>
      </c>
      <c r="D97" s="83">
        <v>70156565</v>
      </c>
      <c r="E97" s="528" t="s">
        <v>406</v>
      </c>
      <c r="F97" s="83">
        <v>3143</v>
      </c>
      <c r="G97" s="528" t="s">
        <v>634</v>
      </c>
      <c r="H97" s="493" t="s">
        <v>283</v>
      </c>
      <c r="I97" s="495">
        <v>420691</v>
      </c>
      <c r="J97" s="496">
        <v>309787</v>
      </c>
      <c r="K97" s="496">
        <v>0</v>
      </c>
      <c r="L97" s="496">
        <v>0</v>
      </c>
      <c r="M97" s="411">
        <v>104708</v>
      </c>
      <c r="N97" s="411">
        <v>6196</v>
      </c>
      <c r="O97" s="496">
        <v>0</v>
      </c>
      <c r="P97" s="497">
        <v>0.71419999999999995</v>
      </c>
      <c r="Q97" s="412">
        <v>0.71419999999999995</v>
      </c>
      <c r="R97" s="498">
        <v>0</v>
      </c>
      <c r="S97" s="479">
        <f t="shared" si="169"/>
        <v>0</v>
      </c>
      <c r="T97" s="486">
        <v>0</v>
      </c>
      <c r="U97" s="486">
        <v>0</v>
      </c>
      <c r="V97" s="486">
        <f>SUM(S97:U97)</f>
        <v>0</v>
      </c>
      <c r="W97" s="486">
        <v>0</v>
      </c>
      <c r="X97" s="486">
        <v>0</v>
      </c>
      <c r="Y97" s="486">
        <f>SUM(W97:X97)</f>
        <v>0</v>
      </c>
      <c r="Z97" s="486">
        <f>V97+Y97</f>
        <v>0</v>
      </c>
      <c r="AA97" s="319">
        <f>ROUND((V97+W97)*33.8%,0)</f>
        <v>0</v>
      </c>
      <c r="AB97" s="178">
        <f>ROUND(V97*2%,0)</f>
        <v>0</v>
      </c>
      <c r="AC97" s="486">
        <v>0</v>
      </c>
      <c r="AD97" s="486">
        <v>0</v>
      </c>
      <c r="AE97" s="486">
        <f t="shared" si="141"/>
        <v>0</v>
      </c>
      <c r="AF97" s="486">
        <f t="shared" si="142"/>
        <v>0</v>
      </c>
      <c r="AG97" s="501">
        <v>0</v>
      </c>
      <c r="AH97" s="501">
        <v>0</v>
      </c>
      <c r="AI97" s="501">
        <v>0</v>
      </c>
      <c r="AJ97" s="501">
        <v>0</v>
      </c>
      <c r="AK97" s="501">
        <v>0</v>
      </c>
      <c r="AL97" s="501">
        <f t="shared" si="170"/>
        <v>0</v>
      </c>
      <c r="AM97" s="501">
        <f t="shared" si="171"/>
        <v>0</v>
      </c>
      <c r="AN97" s="529">
        <f t="shared" si="143"/>
        <v>0</v>
      </c>
      <c r="AO97" s="530">
        <f>I97+AF97</f>
        <v>420691</v>
      </c>
      <c r="AP97" s="486">
        <f>J97+V97</f>
        <v>309787</v>
      </c>
      <c r="AQ97" s="480">
        <f>K97+Y97</f>
        <v>0</v>
      </c>
      <c r="AR97" s="480">
        <f>L97</f>
        <v>0</v>
      </c>
      <c r="AS97" s="486">
        <f t="shared" si="172"/>
        <v>104708</v>
      </c>
      <c r="AT97" s="486">
        <f t="shared" si="172"/>
        <v>6196</v>
      </c>
      <c r="AU97" s="486">
        <f>O97+AE97</f>
        <v>0</v>
      </c>
      <c r="AV97" s="501">
        <f>P97+AN97</f>
        <v>0.71419999999999995</v>
      </c>
      <c r="AW97" s="501">
        <f t="shared" si="173"/>
        <v>0.71419999999999995</v>
      </c>
      <c r="AX97" s="502">
        <f t="shared" si="173"/>
        <v>0</v>
      </c>
    </row>
    <row r="98" spans="1:50" ht="12.95" customHeight="1" x14ac:dyDescent="0.25">
      <c r="A98" s="154">
        <v>17</v>
      </c>
      <c r="B98" s="526">
        <v>5417</v>
      </c>
      <c r="C98" s="527">
        <v>600099113</v>
      </c>
      <c r="D98" s="83">
        <v>70156565</v>
      </c>
      <c r="E98" s="528" t="s">
        <v>406</v>
      </c>
      <c r="F98" s="83">
        <v>3143</v>
      </c>
      <c r="G98" s="528" t="s">
        <v>635</v>
      </c>
      <c r="H98" s="493" t="s">
        <v>284</v>
      </c>
      <c r="I98" s="495">
        <v>15449</v>
      </c>
      <c r="J98" s="496">
        <v>10890</v>
      </c>
      <c r="K98" s="496">
        <v>0</v>
      </c>
      <c r="L98" s="496">
        <v>0</v>
      </c>
      <c r="M98" s="411">
        <v>3681</v>
      </c>
      <c r="N98" s="411">
        <v>218</v>
      </c>
      <c r="O98" s="496">
        <v>660</v>
      </c>
      <c r="P98" s="497">
        <v>0.05</v>
      </c>
      <c r="Q98" s="412">
        <v>0</v>
      </c>
      <c r="R98" s="498">
        <v>0.05</v>
      </c>
      <c r="S98" s="479">
        <f t="shared" si="169"/>
        <v>0</v>
      </c>
      <c r="T98" s="486">
        <v>0</v>
      </c>
      <c r="U98" s="486">
        <v>0</v>
      </c>
      <c r="V98" s="486">
        <f>SUM(S98:U98)</f>
        <v>0</v>
      </c>
      <c r="W98" s="486">
        <v>0</v>
      </c>
      <c r="X98" s="486">
        <v>0</v>
      </c>
      <c r="Y98" s="486">
        <f>SUM(W98:X98)</f>
        <v>0</v>
      </c>
      <c r="Z98" s="486">
        <f>V98+Y98</f>
        <v>0</v>
      </c>
      <c r="AA98" s="319">
        <f>ROUND((V98+W98)*33.8%,0)</f>
        <v>0</v>
      </c>
      <c r="AB98" s="178">
        <f>ROUND(V98*2%,0)</f>
        <v>0</v>
      </c>
      <c r="AC98" s="486">
        <v>0</v>
      </c>
      <c r="AD98" s="486">
        <v>0</v>
      </c>
      <c r="AE98" s="486">
        <f t="shared" si="141"/>
        <v>0</v>
      </c>
      <c r="AF98" s="486">
        <f t="shared" si="142"/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si="170"/>
        <v>0</v>
      </c>
      <c r="AM98" s="501">
        <f t="shared" si="171"/>
        <v>0</v>
      </c>
      <c r="AN98" s="529">
        <f t="shared" si="143"/>
        <v>0</v>
      </c>
      <c r="AO98" s="530">
        <f>I98+AF98</f>
        <v>15449</v>
      </c>
      <c r="AP98" s="486">
        <f>J98+V98</f>
        <v>10890</v>
      </c>
      <c r="AQ98" s="480">
        <f>K98+Y98</f>
        <v>0</v>
      </c>
      <c r="AR98" s="480">
        <f>L98</f>
        <v>0</v>
      </c>
      <c r="AS98" s="486">
        <f t="shared" si="172"/>
        <v>3681</v>
      </c>
      <c r="AT98" s="486">
        <f t="shared" si="172"/>
        <v>218</v>
      </c>
      <c r="AU98" s="486">
        <f>O98+AE98</f>
        <v>660</v>
      </c>
      <c r="AV98" s="501">
        <f>P98+AN98</f>
        <v>0.05</v>
      </c>
      <c r="AW98" s="501">
        <f t="shared" si="173"/>
        <v>0</v>
      </c>
      <c r="AX98" s="502">
        <f t="shared" si="173"/>
        <v>0.05</v>
      </c>
    </row>
    <row r="99" spans="1:50" ht="12.95" customHeight="1" x14ac:dyDescent="0.25">
      <c r="A99" s="156">
        <v>17</v>
      </c>
      <c r="B99" s="104">
        <v>5417</v>
      </c>
      <c r="C99" s="105">
        <v>600099113</v>
      </c>
      <c r="D99" s="104">
        <v>70156565</v>
      </c>
      <c r="E99" s="298" t="s">
        <v>407</v>
      </c>
      <c r="F99" s="92"/>
      <c r="G99" s="299"/>
      <c r="H99" s="93"/>
      <c r="I99" s="295">
        <v>6893873</v>
      </c>
      <c r="J99" s="108">
        <v>4830139</v>
      </c>
      <c r="K99" s="108">
        <v>98916</v>
      </c>
      <c r="L99" s="108">
        <v>9916</v>
      </c>
      <c r="M99" s="108">
        <v>1662669</v>
      </c>
      <c r="N99" s="108">
        <v>96603</v>
      </c>
      <c r="O99" s="108">
        <v>205546</v>
      </c>
      <c r="P99" s="158">
        <v>10.545800000000002</v>
      </c>
      <c r="Q99" s="158">
        <v>6.9913999999999996</v>
      </c>
      <c r="R99" s="297">
        <v>3.5543999999999993</v>
      </c>
      <c r="S99" s="150">
        <f t="shared" ref="S99:AN99" si="174">SUM(S94:S98)</f>
        <v>0</v>
      </c>
      <c r="T99" s="108">
        <f t="shared" si="174"/>
        <v>0</v>
      </c>
      <c r="U99" s="108">
        <f t="shared" si="174"/>
        <v>0</v>
      </c>
      <c r="V99" s="108">
        <f t="shared" si="174"/>
        <v>0</v>
      </c>
      <c r="W99" s="108">
        <f t="shared" si="174"/>
        <v>0</v>
      </c>
      <c r="X99" s="108">
        <f t="shared" si="174"/>
        <v>0</v>
      </c>
      <c r="Y99" s="108">
        <f t="shared" si="174"/>
        <v>0</v>
      </c>
      <c r="Z99" s="108">
        <f t="shared" si="174"/>
        <v>0</v>
      </c>
      <c r="AA99" s="108">
        <f t="shared" si="174"/>
        <v>0</v>
      </c>
      <c r="AB99" s="108">
        <f t="shared" si="174"/>
        <v>0</v>
      </c>
      <c r="AC99" s="108">
        <f t="shared" si="174"/>
        <v>0</v>
      </c>
      <c r="AD99" s="108">
        <f t="shared" si="174"/>
        <v>0</v>
      </c>
      <c r="AE99" s="108">
        <f t="shared" si="174"/>
        <v>0</v>
      </c>
      <c r="AF99" s="108">
        <f t="shared" si="174"/>
        <v>0</v>
      </c>
      <c r="AG99" s="158">
        <f t="shared" si="174"/>
        <v>0</v>
      </c>
      <c r="AH99" s="158">
        <f t="shared" si="174"/>
        <v>0</v>
      </c>
      <c r="AI99" s="158">
        <f t="shared" si="174"/>
        <v>0</v>
      </c>
      <c r="AJ99" s="158">
        <f t="shared" si="174"/>
        <v>0</v>
      </c>
      <c r="AK99" s="158">
        <f t="shared" si="174"/>
        <v>0</v>
      </c>
      <c r="AL99" s="158">
        <f t="shared" si="174"/>
        <v>0</v>
      </c>
      <c r="AM99" s="158">
        <f t="shared" si="174"/>
        <v>0</v>
      </c>
      <c r="AN99" s="410">
        <f t="shared" si="174"/>
        <v>0</v>
      </c>
      <c r="AO99" s="295">
        <f t="shared" ref="AO99:AX99" si="175">SUM(AO94:AO98)</f>
        <v>6893873</v>
      </c>
      <c r="AP99" s="108">
        <f t="shared" si="175"/>
        <v>4830139</v>
      </c>
      <c r="AQ99" s="108">
        <f t="shared" si="175"/>
        <v>98916</v>
      </c>
      <c r="AR99" s="108">
        <f t="shared" si="175"/>
        <v>9916</v>
      </c>
      <c r="AS99" s="108">
        <f t="shared" si="175"/>
        <v>1662669</v>
      </c>
      <c r="AT99" s="108">
        <f t="shared" si="175"/>
        <v>96603</v>
      </c>
      <c r="AU99" s="108">
        <f t="shared" si="175"/>
        <v>205546</v>
      </c>
      <c r="AV99" s="158">
        <f t="shared" si="175"/>
        <v>10.545800000000002</v>
      </c>
      <c r="AW99" s="158">
        <f t="shared" si="175"/>
        <v>6.9913999999999996</v>
      </c>
      <c r="AX99" s="297">
        <f t="shared" si="175"/>
        <v>3.5543999999999993</v>
      </c>
    </row>
    <row r="100" spans="1:50" ht="12.95" customHeight="1" x14ac:dyDescent="0.25">
      <c r="A100" s="154">
        <v>18</v>
      </c>
      <c r="B100" s="526">
        <v>5420</v>
      </c>
      <c r="C100" s="527">
        <v>600098745</v>
      </c>
      <c r="D100" s="83">
        <v>75016249</v>
      </c>
      <c r="E100" s="528" t="s">
        <v>408</v>
      </c>
      <c r="F100" s="83">
        <v>3111</v>
      </c>
      <c r="G100" s="528" t="s">
        <v>331</v>
      </c>
      <c r="H100" s="493" t="s">
        <v>283</v>
      </c>
      <c r="I100" s="495">
        <v>3313336</v>
      </c>
      <c r="J100" s="496">
        <v>2416153</v>
      </c>
      <c r="K100" s="496">
        <v>0</v>
      </c>
      <c r="L100" s="496">
        <v>0</v>
      </c>
      <c r="M100" s="411">
        <v>816660</v>
      </c>
      <c r="N100" s="411">
        <v>48323</v>
      </c>
      <c r="O100" s="496">
        <v>32200</v>
      </c>
      <c r="P100" s="497">
        <v>5.5542999999999996</v>
      </c>
      <c r="Q100" s="412">
        <v>4.0644999999999998</v>
      </c>
      <c r="R100" s="498">
        <v>1.4898</v>
      </c>
      <c r="S100" s="479">
        <f t="shared" ref="S100:S102" si="176">W100*-1</f>
        <v>0</v>
      </c>
      <c r="T100" s="486">
        <v>0</v>
      </c>
      <c r="U100" s="486">
        <v>0</v>
      </c>
      <c r="V100" s="486">
        <f>SUM(S100:U100)</f>
        <v>0</v>
      </c>
      <c r="W100" s="486">
        <v>0</v>
      </c>
      <c r="X100" s="486">
        <v>0</v>
      </c>
      <c r="Y100" s="486">
        <f>SUM(W100:X100)</f>
        <v>0</v>
      </c>
      <c r="Z100" s="486">
        <f>V100+Y100</f>
        <v>0</v>
      </c>
      <c r="AA100" s="319">
        <f>ROUND((V100+W100)*33.8%,0)</f>
        <v>0</v>
      </c>
      <c r="AB100" s="178">
        <f>ROUND(V100*2%,0)</f>
        <v>0</v>
      </c>
      <c r="AC100" s="486">
        <v>0</v>
      </c>
      <c r="AD100" s="486">
        <v>0</v>
      </c>
      <c r="AE100" s="486">
        <f t="shared" si="141"/>
        <v>0</v>
      </c>
      <c r="AF100" s="486">
        <f t="shared" si="142"/>
        <v>0</v>
      </c>
      <c r="AG100" s="501">
        <v>0</v>
      </c>
      <c r="AH100" s="501">
        <v>0</v>
      </c>
      <c r="AI100" s="501">
        <v>0</v>
      </c>
      <c r="AJ100" s="501">
        <v>0</v>
      </c>
      <c r="AK100" s="501">
        <v>0</v>
      </c>
      <c r="AL100" s="501">
        <f t="shared" ref="AL100:AL102" si="177">AG100+AI100+AJ100</f>
        <v>0</v>
      </c>
      <c r="AM100" s="501">
        <f t="shared" ref="AM100:AM102" si="178">AH100+AK100</f>
        <v>0</v>
      </c>
      <c r="AN100" s="529">
        <f t="shared" si="143"/>
        <v>0</v>
      </c>
      <c r="AO100" s="530">
        <f>I100+AF100</f>
        <v>3313336</v>
      </c>
      <c r="AP100" s="486">
        <f>J100+V100</f>
        <v>2416153</v>
      </c>
      <c r="AQ100" s="480">
        <f>K100+Y100</f>
        <v>0</v>
      </c>
      <c r="AR100" s="480">
        <f>L100</f>
        <v>0</v>
      </c>
      <c r="AS100" s="486">
        <f t="shared" ref="AS100:AT102" si="179">M100+AA100</f>
        <v>816660</v>
      </c>
      <c r="AT100" s="486">
        <f t="shared" si="179"/>
        <v>48323</v>
      </c>
      <c r="AU100" s="486">
        <f>O100+AE100</f>
        <v>32200</v>
      </c>
      <c r="AV100" s="501">
        <f>P100+AN100</f>
        <v>5.5542999999999996</v>
      </c>
      <c r="AW100" s="501">
        <f t="shared" ref="AW100:AX102" si="180">Q100+AL100</f>
        <v>4.0644999999999998</v>
      </c>
      <c r="AX100" s="502">
        <f t="shared" si="180"/>
        <v>1.4898</v>
      </c>
    </row>
    <row r="101" spans="1:50" ht="12.95" customHeight="1" x14ac:dyDescent="0.25">
      <c r="A101" s="154">
        <v>18</v>
      </c>
      <c r="B101" s="526">
        <v>5420</v>
      </c>
      <c r="C101" s="527">
        <v>600098745</v>
      </c>
      <c r="D101" s="83">
        <v>75016249</v>
      </c>
      <c r="E101" s="528" t="s">
        <v>408</v>
      </c>
      <c r="F101" s="83">
        <v>3111</v>
      </c>
      <c r="G101" s="528" t="s">
        <v>325</v>
      </c>
      <c r="H101" s="493" t="s">
        <v>284</v>
      </c>
      <c r="I101" s="495">
        <v>73662</v>
      </c>
      <c r="J101" s="496">
        <v>54243</v>
      </c>
      <c r="K101" s="496">
        <v>0</v>
      </c>
      <c r="L101" s="496">
        <v>0</v>
      </c>
      <c r="M101" s="411">
        <v>18334</v>
      </c>
      <c r="N101" s="411">
        <v>1085</v>
      </c>
      <c r="O101" s="496">
        <v>0</v>
      </c>
      <c r="P101" s="497">
        <v>0.16</v>
      </c>
      <c r="Q101" s="412">
        <v>0.16</v>
      </c>
      <c r="R101" s="498">
        <v>0</v>
      </c>
      <c r="S101" s="479">
        <f t="shared" si="176"/>
        <v>0</v>
      </c>
      <c r="T101" s="486">
        <v>0</v>
      </c>
      <c r="U101" s="486">
        <v>0</v>
      </c>
      <c r="V101" s="486">
        <f>SUM(S101:U101)</f>
        <v>0</v>
      </c>
      <c r="W101" s="486">
        <v>0</v>
      </c>
      <c r="X101" s="486">
        <v>0</v>
      </c>
      <c r="Y101" s="486">
        <f>SUM(W101:X101)</f>
        <v>0</v>
      </c>
      <c r="Z101" s="486">
        <f>V101+Y101</f>
        <v>0</v>
      </c>
      <c r="AA101" s="319">
        <f>ROUND((V101+W101)*33.8%,0)</f>
        <v>0</v>
      </c>
      <c r="AB101" s="178">
        <f>ROUND(V101*2%,0)</f>
        <v>0</v>
      </c>
      <c r="AC101" s="486">
        <v>0</v>
      </c>
      <c r="AD101" s="486">
        <v>0</v>
      </c>
      <c r="AE101" s="486">
        <f t="shared" si="141"/>
        <v>0</v>
      </c>
      <c r="AF101" s="486">
        <f t="shared" si="142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si="177"/>
        <v>0</v>
      </c>
      <c r="AM101" s="501">
        <f t="shared" si="178"/>
        <v>0</v>
      </c>
      <c r="AN101" s="529">
        <f t="shared" si="143"/>
        <v>0</v>
      </c>
      <c r="AO101" s="530">
        <f>I101+AF101</f>
        <v>73662</v>
      </c>
      <c r="AP101" s="486">
        <f>J101+V101</f>
        <v>54243</v>
      </c>
      <c r="AQ101" s="480">
        <f>K101+Y101</f>
        <v>0</v>
      </c>
      <c r="AR101" s="480">
        <f>L101</f>
        <v>0</v>
      </c>
      <c r="AS101" s="486">
        <f t="shared" si="179"/>
        <v>18334</v>
      </c>
      <c r="AT101" s="486">
        <f t="shared" si="179"/>
        <v>1085</v>
      </c>
      <c r="AU101" s="486">
        <f>O101+AE101</f>
        <v>0</v>
      </c>
      <c r="AV101" s="501">
        <f>P101+AN101</f>
        <v>0.16</v>
      </c>
      <c r="AW101" s="501">
        <f t="shared" si="180"/>
        <v>0.16</v>
      </c>
      <c r="AX101" s="502">
        <f t="shared" si="180"/>
        <v>0</v>
      </c>
    </row>
    <row r="102" spans="1:50" ht="12.95" customHeight="1" x14ac:dyDescent="0.25">
      <c r="A102" s="154">
        <v>18</v>
      </c>
      <c r="B102" s="526">
        <v>5420</v>
      </c>
      <c r="C102" s="527">
        <v>600098745</v>
      </c>
      <c r="D102" s="83">
        <v>75016249</v>
      </c>
      <c r="E102" s="528" t="s">
        <v>408</v>
      </c>
      <c r="F102" s="83">
        <v>3141</v>
      </c>
      <c r="G102" s="528" t="s">
        <v>321</v>
      </c>
      <c r="H102" s="493" t="s">
        <v>284</v>
      </c>
      <c r="I102" s="495">
        <v>601545</v>
      </c>
      <c r="J102" s="496">
        <v>440999</v>
      </c>
      <c r="K102" s="496">
        <v>0</v>
      </c>
      <c r="L102" s="496">
        <v>0</v>
      </c>
      <c r="M102" s="411">
        <v>149058</v>
      </c>
      <c r="N102" s="411">
        <v>8820</v>
      </c>
      <c r="O102" s="496">
        <v>2668</v>
      </c>
      <c r="P102" s="497">
        <v>1.5</v>
      </c>
      <c r="Q102" s="412">
        <v>0</v>
      </c>
      <c r="R102" s="498">
        <v>1.5</v>
      </c>
      <c r="S102" s="479">
        <f t="shared" si="176"/>
        <v>0</v>
      </c>
      <c r="T102" s="486">
        <v>0</v>
      </c>
      <c r="U102" s="486">
        <v>0</v>
      </c>
      <c r="V102" s="486">
        <f>SUM(S102:U102)</f>
        <v>0</v>
      </c>
      <c r="W102" s="486">
        <v>0</v>
      </c>
      <c r="X102" s="486">
        <v>0</v>
      </c>
      <c r="Y102" s="486">
        <f>SUM(W102:X102)</f>
        <v>0</v>
      </c>
      <c r="Z102" s="486">
        <f>V102+Y102</f>
        <v>0</v>
      </c>
      <c r="AA102" s="319">
        <f>ROUND((V102+W102)*33.8%,0)</f>
        <v>0</v>
      </c>
      <c r="AB102" s="178">
        <f>ROUND(V102*2%,0)</f>
        <v>0</v>
      </c>
      <c r="AC102" s="486">
        <v>0</v>
      </c>
      <c r="AD102" s="486">
        <v>0</v>
      </c>
      <c r="AE102" s="486">
        <f t="shared" si="141"/>
        <v>0</v>
      </c>
      <c r="AF102" s="486">
        <f t="shared" si="142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177"/>
        <v>0</v>
      </c>
      <c r="AM102" s="501">
        <f t="shared" si="178"/>
        <v>0</v>
      </c>
      <c r="AN102" s="529">
        <f t="shared" si="143"/>
        <v>0</v>
      </c>
      <c r="AO102" s="530">
        <f>I102+AF102</f>
        <v>601545</v>
      </c>
      <c r="AP102" s="486">
        <f>J102+V102</f>
        <v>440999</v>
      </c>
      <c r="AQ102" s="480">
        <f>K102+Y102</f>
        <v>0</v>
      </c>
      <c r="AR102" s="480">
        <f>L102</f>
        <v>0</v>
      </c>
      <c r="AS102" s="486">
        <f t="shared" si="179"/>
        <v>149058</v>
      </c>
      <c r="AT102" s="486">
        <f t="shared" si="179"/>
        <v>8820</v>
      </c>
      <c r="AU102" s="486">
        <f>O102+AE102</f>
        <v>2668</v>
      </c>
      <c r="AV102" s="501">
        <f>P102+AN102</f>
        <v>1.5</v>
      </c>
      <c r="AW102" s="501">
        <f t="shared" si="180"/>
        <v>0</v>
      </c>
      <c r="AX102" s="502">
        <f t="shared" si="180"/>
        <v>1.5</v>
      </c>
    </row>
    <row r="103" spans="1:50" ht="12.95" customHeight="1" x14ac:dyDescent="0.25">
      <c r="A103" s="156">
        <v>18</v>
      </c>
      <c r="B103" s="104">
        <v>5420</v>
      </c>
      <c r="C103" s="105">
        <v>600098745</v>
      </c>
      <c r="D103" s="104">
        <v>75016249</v>
      </c>
      <c r="E103" s="298" t="s">
        <v>409</v>
      </c>
      <c r="F103" s="92"/>
      <c r="G103" s="299"/>
      <c r="H103" s="93"/>
      <c r="I103" s="294">
        <v>3988543</v>
      </c>
      <c r="J103" s="106">
        <v>2911395</v>
      </c>
      <c r="K103" s="106">
        <v>0</v>
      </c>
      <c r="L103" s="106">
        <v>0</v>
      </c>
      <c r="M103" s="106">
        <v>984052</v>
      </c>
      <c r="N103" s="106">
        <v>58228</v>
      </c>
      <c r="O103" s="106">
        <v>34868</v>
      </c>
      <c r="P103" s="157">
        <v>7.2142999999999997</v>
      </c>
      <c r="Q103" s="157">
        <v>4.2244999999999999</v>
      </c>
      <c r="R103" s="296">
        <v>2.9897999999999998</v>
      </c>
      <c r="S103" s="149">
        <f t="shared" ref="S103:AN103" si="181">SUM(S100:S102)</f>
        <v>0</v>
      </c>
      <c r="T103" s="106">
        <f t="shared" si="181"/>
        <v>0</v>
      </c>
      <c r="U103" s="106">
        <f t="shared" si="181"/>
        <v>0</v>
      </c>
      <c r="V103" s="106">
        <f t="shared" si="181"/>
        <v>0</v>
      </c>
      <c r="W103" s="106">
        <f t="shared" si="181"/>
        <v>0</v>
      </c>
      <c r="X103" s="106">
        <f t="shared" si="181"/>
        <v>0</v>
      </c>
      <c r="Y103" s="106">
        <f t="shared" si="181"/>
        <v>0</v>
      </c>
      <c r="Z103" s="106">
        <f t="shared" si="181"/>
        <v>0</v>
      </c>
      <c r="AA103" s="106">
        <f t="shared" si="181"/>
        <v>0</v>
      </c>
      <c r="AB103" s="106">
        <f t="shared" si="181"/>
        <v>0</v>
      </c>
      <c r="AC103" s="106">
        <f t="shared" si="181"/>
        <v>0</v>
      </c>
      <c r="AD103" s="106">
        <f t="shared" si="181"/>
        <v>0</v>
      </c>
      <c r="AE103" s="106">
        <f t="shared" si="181"/>
        <v>0</v>
      </c>
      <c r="AF103" s="106">
        <f t="shared" si="181"/>
        <v>0</v>
      </c>
      <c r="AG103" s="157">
        <f t="shared" si="181"/>
        <v>0</v>
      </c>
      <c r="AH103" s="157">
        <f t="shared" si="181"/>
        <v>0</v>
      </c>
      <c r="AI103" s="157">
        <f t="shared" si="181"/>
        <v>0</v>
      </c>
      <c r="AJ103" s="157">
        <f t="shared" si="181"/>
        <v>0</v>
      </c>
      <c r="AK103" s="157">
        <f t="shared" si="181"/>
        <v>0</v>
      </c>
      <c r="AL103" s="157">
        <f t="shared" si="181"/>
        <v>0</v>
      </c>
      <c r="AM103" s="157">
        <f t="shared" si="181"/>
        <v>0</v>
      </c>
      <c r="AN103" s="409">
        <f t="shared" si="181"/>
        <v>0</v>
      </c>
      <c r="AO103" s="294">
        <f t="shared" ref="AO103:AX103" si="182">SUM(AO100:AO102)</f>
        <v>3988543</v>
      </c>
      <c r="AP103" s="106">
        <f t="shared" si="182"/>
        <v>2911395</v>
      </c>
      <c r="AQ103" s="106">
        <f t="shared" si="182"/>
        <v>0</v>
      </c>
      <c r="AR103" s="106">
        <f t="shared" si="182"/>
        <v>0</v>
      </c>
      <c r="AS103" s="106">
        <f t="shared" si="182"/>
        <v>984052</v>
      </c>
      <c r="AT103" s="106">
        <f t="shared" si="182"/>
        <v>58228</v>
      </c>
      <c r="AU103" s="106">
        <f t="shared" si="182"/>
        <v>34868</v>
      </c>
      <c r="AV103" s="157">
        <f t="shared" si="182"/>
        <v>7.2142999999999997</v>
      </c>
      <c r="AW103" s="157">
        <f t="shared" si="182"/>
        <v>4.2244999999999999</v>
      </c>
      <c r="AX103" s="296">
        <f t="shared" si="182"/>
        <v>2.9897999999999998</v>
      </c>
    </row>
    <row r="104" spans="1:50" ht="12.95" customHeight="1" x14ac:dyDescent="0.25">
      <c r="A104" s="154">
        <v>19</v>
      </c>
      <c r="B104" s="526">
        <v>5419</v>
      </c>
      <c r="C104" s="527">
        <v>600099261</v>
      </c>
      <c r="D104" s="83">
        <v>70946752</v>
      </c>
      <c r="E104" s="528" t="s">
        <v>410</v>
      </c>
      <c r="F104" s="83">
        <v>3113</v>
      </c>
      <c r="G104" s="528" t="s">
        <v>335</v>
      </c>
      <c r="H104" s="493" t="s">
        <v>283</v>
      </c>
      <c r="I104" s="495">
        <v>14482909</v>
      </c>
      <c r="J104" s="496">
        <v>10316868</v>
      </c>
      <c r="K104" s="496">
        <v>103539</v>
      </c>
      <c r="L104" s="496">
        <v>75539</v>
      </c>
      <c r="M104" s="411">
        <v>3496565</v>
      </c>
      <c r="N104" s="411">
        <v>206337</v>
      </c>
      <c r="O104" s="496">
        <v>359600</v>
      </c>
      <c r="P104" s="497">
        <v>20.5181</v>
      </c>
      <c r="Q104" s="412">
        <v>15.5905</v>
      </c>
      <c r="R104" s="498">
        <v>4.9276</v>
      </c>
      <c r="S104" s="479">
        <f t="shared" ref="S104:S108" si="183">W104*-1</f>
        <v>0</v>
      </c>
      <c r="T104" s="486">
        <v>0</v>
      </c>
      <c r="U104" s="486">
        <v>0</v>
      </c>
      <c r="V104" s="486">
        <f>SUM(S104:U104)</f>
        <v>0</v>
      </c>
      <c r="W104" s="486">
        <v>0</v>
      </c>
      <c r="X104" s="486">
        <v>0</v>
      </c>
      <c r="Y104" s="486">
        <f>SUM(W104:X104)</f>
        <v>0</v>
      </c>
      <c r="Z104" s="486">
        <f>V104+Y104</f>
        <v>0</v>
      </c>
      <c r="AA104" s="319">
        <f>ROUND((V104+W104)*33.8%,0)</f>
        <v>0</v>
      </c>
      <c r="AB104" s="178">
        <f>ROUND(V104*2%,0)</f>
        <v>0</v>
      </c>
      <c r="AC104" s="486">
        <v>0</v>
      </c>
      <c r="AD104" s="486">
        <v>0</v>
      </c>
      <c r="AE104" s="486">
        <f t="shared" si="141"/>
        <v>0</v>
      </c>
      <c r="AF104" s="486">
        <f t="shared" si="142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ref="AL104:AL108" si="184">AG104+AI104+AJ104</f>
        <v>0</v>
      </c>
      <c r="AM104" s="501">
        <f t="shared" ref="AM104:AM108" si="185">AH104+AK104</f>
        <v>0</v>
      </c>
      <c r="AN104" s="529">
        <f t="shared" si="143"/>
        <v>0</v>
      </c>
      <c r="AO104" s="530">
        <f>I104+AF104</f>
        <v>14482909</v>
      </c>
      <c r="AP104" s="486">
        <f>J104+V104</f>
        <v>10316868</v>
      </c>
      <c r="AQ104" s="480">
        <f>K104+Y104</f>
        <v>103539</v>
      </c>
      <c r="AR104" s="480">
        <f>L104</f>
        <v>75539</v>
      </c>
      <c r="AS104" s="486">
        <f t="shared" ref="AS104:AT108" si="186">M104+AA104</f>
        <v>3496565</v>
      </c>
      <c r="AT104" s="486">
        <f t="shared" si="186"/>
        <v>206337</v>
      </c>
      <c r="AU104" s="486">
        <f>O104+AE104</f>
        <v>359600</v>
      </c>
      <c r="AV104" s="501">
        <f>P104+AN104</f>
        <v>20.5181</v>
      </c>
      <c r="AW104" s="501">
        <f t="shared" ref="AW104:AX108" si="187">Q104+AL104</f>
        <v>15.5905</v>
      </c>
      <c r="AX104" s="502">
        <f t="shared" si="187"/>
        <v>4.9276</v>
      </c>
    </row>
    <row r="105" spans="1:50" ht="12.95" customHeight="1" x14ac:dyDescent="0.25">
      <c r="A105" s="154">
        <v>19</v>
      </c>
      <c r="B105" s="526">
        <v>5419</v>
      </c>
      <c r="C105" s="527">
        <v>600099261</v>
      </c>
      <c r="D105" s="83">
        <v>70946752</v>
      </c>
      <c r="E105" s="528" t="s">
        <v>410</v>
      </c>
      <c r="F105" s="83">
        <v>3113</v>
      </c>
      <c r="G105" s="528" t="s">
        <v>325</v>
      </c>
      <c r="H105" s="493" t="s">
        <v>284</v>
      </c>
      <c r="I105" s="495">
        <v>922013</v>
      </c>
      <c r="J105" s="496">
        <v>678434</v>
      </c>
      <c r="K105" s="496">
        <v>0</v>
      </c>
      <c r="L105" s="496">
        <v>0</v>
      </c>
      <c r="M105" s="411">
        <v>229310</v>
      </c>
      <c r="N105" s="411">
        <v>13569</v>
      </c>
      <c r="O105" s="496">
        <v>700</v>
      </c>
      <c r="P105" s="497">
        <v>1.91</v>
      </c>
      <c r="Q105" s="412">
        <v>1.91</v>
      </c>
      <c r="R105" s="498">
        <v>0</v>
      </c>
      <c r="S105" s="479">
        <f t="shared" si="183"/>
        <v>0</v>
      </c>
      <c r="T105" s="486">
        <v>-3144</v>
      </c>
      <c r="U105" s="486">
        <v>0</v>
      </c>
      <c r="V105" s="486">
        <f>SUM(S105:U105)</f>
        <v>-3144</v>
      </c>
      <c r="W105" s="486">
        <v>0</v>
      </c>
      <c r="X105" s="486">
        <v>0</v>
      </c>
      <c r="Y105" s="486">
        <f>SUM(W105:X105)</f>
        <v>0</v>
      </c>
      <c r="Z105" s="486">
        <f>V105+Y105</f>
        <v>-3144</v>
      </c>
      <c r="AA105" s="319">
        <f>ROUND((V105+W105)*33.8%,0)</f>
        <v>-1063</v>
      </c>
      <c r="AB105" s="178">
        <f>ROUND(V105*2%,0)</f>
        <v>-63</v>
      </c>
      <c r="AC105" s="486">
        <v>0</v>
      </c>
      <c r="AD105" s="486">
        <v>0</v>
      </c>
      <c r="AE105" s="486">
        <f t="shared" si="141"/>
        <v>0</v>
      </c>
      <c r="AF105" s="486">
        <f t="shared" si="142"/>
        <v>-4270</v>
      </c>
      <c r="AG105" s="501">
        <v>0</v>
      </c>
      <c r="AH105" s="501">
        <v>0</v>
      </c>
      <c r="AI105" s="501">
        <v>-0.01</v>
      </c>
      <c r="AJ105" s="501">
        <v>0</v>
      </c>
      <c r="AK105" s="501">
        <v>0</v>
      </c>
      <c r="AL105" s="501">
        <f t="shared" si="184"/>
        <v>-0.01</v>
      </c>
      <c r="AM105" s="501">
        <f t="shared" si="185"/>
        <v>0</v>
      </c>
      <c r="AN105" s="529">
        <f t="shared" si="143"/>
        <v>-0.01</v>
      </c>
      <c r="AO105" s="530">
        <f>I105+AF105</f>
        <v>917743</v>
      </c>
      <c r="AP105" s="486">
        <f>J105+V105</f>
        <v>675290</v>
      </c>
      <c r="AQ105" s="480">
        <f>K105+Y105</f>
        <v>0</v>
      </c>
      <c r="AR105" s="480">
        <f>L105</f>
        <v>0</v>
      </c>
      <c r="AS105" s="486">
        <f t="shared" si="186"/>
        <v>228247</v>
      </c>
      <c r="AT105" s="486">
        <f t="shared" si="186"/>
        <v>13506</v>
      </c>
      <c r="AU105" s="486">
        <f>O105+AE105</f>
        <v>700</v>
      </c>
      <c r="AV105" s="501">
        <f>P105+AN105</f>
        <v>1.9</v>
      </c>
      <c r="AW105" s="501">
        <f t="shared" si="187"/>
        <v>1.9</v>
      </c>
      <c r="AX105" s="502">
        <f t="shared" si="187"/>
        <v>0</v>
      </c>
    </row>
    <row r="106" spans="1:50" ht="12.95" customHeight="1" x14ac:dyDescent="0.25">
      <c r="A106" s="154">
        <v>19</v>
      </c>
      <c r="B106" s="526">
        <v>5419</v>
      </c>
      <c r="C106" s="527">
        <v>600099261</v>
      </c>
      <c r="D106" s="83">
        <v>70946752</v>
      </c>
      <c r="E106" s="528" t="s">
        <v>410</v>
      </c>
      <c r="F106" s="83">
        <v>3141</v>
      </c>
      <c r="G106" s="528" t="s">
        <v>321</v>
      </c>
      <c r="H106" s="493" t="s">
        <v>284</v>
      </c>
      <c r="I106" s="495">
        <v>1257520</v>
      </c>
      <c r="J106" s="496">
        <v>918577</v>
      </c>
      <c r="K106" s="496">
        <v>0</v>
      </c>
      <c r="L106" s="496">
        <v>0</v>
      </c>
      <c r="M106" s="411">
        <v>310479</v>
      </c>
      <c r="N106" s="411">
        <v>18372</v>
      </c>
      <c r="O106" s="496">
        <v>10092</v>
      </c>
      <c r="P106" s="497">
        <v>3.12</v>
      </c>
      <c r="Q106" s="412">
        <v>0</v>
      </c>
      <c r="R106" s="498">
        <v>3.12</v>
      </c>
      <c r="S106" s="479">
        <f t="shared" si="183"/>
        <v>0</v>
      </c>
      <c r="T106" s="486">
        <v>0</v>
      </c>
      <c r="U106" s="486">
        <v>0</v>
      </c>
      <c r="V106" s="486">
        <f>SUM(S106:U106)</f>
        <v>0</v>
      </c>
      <c r="W106" s="486">
        <v>0</v>
      </c>
      <c r="X106" s="486">
        <v>0</v>
      </c>
      <c r="Y106" s="486">
        <f>SUM(W106:X106)</f>
        <v>0</v>
      </c>
      <c r="Z106" s="486">
        <f>V106+Y106</f>
        <v>0</v>
      </c>
      <c r="AA106" s="319">
        <f>ROUND((V106+W106)*33.8%,0)</f>
        <v>0</v>
      </c>
      <c r="AB106" s="178">
        <f>ROUND(V106*2%,0)</f>
        <v>0</v>
      </c>
      <c r="AC106" s="486">
        <v>0</v>
      </c>
      <c r="AD106" s="486">
        <v>0</v>
      </c>
      <c r="AE106" s="486">
        <f t="shared" si="141"/>
        <v>0</v>
      </c>
      <c r="AF106" s="486">
        <f t="shared" si="142"/>
        <v>0</v>
      </c>
      <c r="AG106" s="501">
        <v>0</v>
      </c>
      <c r="AH106" s="501">
        <v>0</v>
      </c>
      <c r="AI106" s="501">
        <v>0</v>
      </c>
      <c r="AJ106" s="501">
        <v>0</v>
      </c>
      <c r="AK106" s="501">
        <v>0</v>
      </c>
      <c r="AL106" s="501">
        <f t="shared" si="184"/>
        <v>0</v>
      </c>
      <c r="AM106" s="501">
        <f t="shared" si="185"/>
        <v>0</v>
      </c>
      <c r="AN106" s="529">
        <f t="shared" si="143"/>
        <v>0</v>
      </c>
      <c r="AO106" s="530">
        <f>I106+AF106</f>
        <v>1257520</v>
      </c>
      <c r="AP106" s="486">
        <f>J106+V106</f>
        <v>918577</v>
      </c>
      <c r="AQ106" s="480">
        <f>K106+Y106</f>
        <v>0</v>
      </c>
      <c r="AR106" s="480">
        <f>L106</f>
        <v>0</v>
      </c>
      <c r="AS106" s="486">
        <f t="shared" si="186"/>
        <v>310479</v>
      </c>
      <c r="AT106" s="486">
        <f t="shared" si="186"/>
        <v>18372</v>
      </c>
      <c r="AU106" s="486">
        <f>O106+AE106</f>
        <v>10092</v>
      </c>
      <c r="AV106" s="501">
        <f>P106+AN106</f>
        <v>3.12</v>
      </c>
      <c r="AW106" s="501">
        <f t="shared" si="187"/>
        <v>0</v>
      </c>
      <c r="AX106" s="502">
        <f t="shared" si="187"/>
        <v>3.12</v>
      </c>
    </row>
    <row r="107" spans="1:50" ht="12.95" customHeight="1" x14ac:dyDescent="0.25">
      <c r="A107" s="154">
        <v>19</v>
      </c>
      <c r="B107" s="526">
        <v>5419</v>
      </c>
      <c r="C107" s="527">
        <v>600099261</v>
      </c>
      <c r="D107" s="83">
        <v>70946752</v>
      </c>
      <c r="E107" s="528" t="s">
        <v>410</v>
      </c>
      <c r="F107" s="83">
        <v>3143</v>
      </c>
      <c r="G107" s="528" t="s">
        <v>634</v>
      </c>
      <c r="H107" s="493" t="s">
        <v>283</v>
      </c>
      <c r="I107" s="495">
        <v>581634</v>
      </c>
      <c r="J107" s="496">
        <v>416478</v>
      </c>
      <c r="K107" s="496">
        <v>12000</v>
      </c>
      <c r="L107" s="496">
        <v>0</v>
      </c>
      <c r="M107" s="411">
        <v>144826</v>
      </c>
      <c r="N107" s="411">
        <v>8330</v>
      </c>
      <c r="O107" s="496">
        <v>0</v>
      </c>
      <c r="P107" s="497">
        <v>0.91669999999999996</v>
      </c>
      <c r="Q107" s="412">
        <v>0.91669999999999996</v>
      </c>
      <c r="R107" s="498">
        <v>0</v>
      </c>
      <c r="S107" s="479">
        <f t="shared" si="183"/>
        <v>0</v>
      </c>
      <c r="T107" s="486">
        <v>0</v>
      </c>
      <c r="U107" s="486">
        <v>0</v>
      </c>
      <c r="V107" s="486">
        <f>SUM(S107:U107)</f>
        <v>0</v>
      </c>
      <c r="W107" s="486">
        <v>0</v>
      </c>
      <c r="X107" s="486">
        <v>0</v>
      </c>
      <c r="Y107" s="486">
        <f>SUM(W107:X107)</f>
        <v>0</v>
      </c>
      <c r="Z107" s="486">
        <f>V107+Y107</f>
        <v>0</v>
      </c>
      <c r="AA107" s="319">
        <f>ROUND((V107+W107)*33.8%,0)</f>
        <v>0</v>
      </c>
      <c r="AB107" s="178">
        <f>ROUND(V107*2%,0)</f>
        <v>0</v>
      </c>
      <c r="AC107" s="486">
        <v>0</v>
      </c>
      <c r="AD107" s="486">
        <v>0</v>
      </c>
      <c r="AE107" s="486">
        <f t="shared" si="141"/>
        <v>0</v>
      </c>
      <c r="AF107" s="486">
        <f t="shared" si="142"/>
        <v>0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si="184"/>
        <v>0</v>
      </c>
      <c r="AM107" s="501">
        <f t="shared" si="185"/>
        <v>0</v>
      </c>
      <c r="AN107" s="529">
        <f t="shared" si="143"/>
        <v>0</v>
      </c>
      <c r="AO107" s="530">
        <f>I107+AF107</f>
        <v>581634</v>
      </c>
      <c r="AP107" s="486">
        <f>J107+V107</f>
        <v>416478</v>
      </c>
      <c r="AQ107" s="480">
        <f>K107+Y107</f>
        <v>12000</v>
      </c>
      <c r="AR107" s="480">
        <f>L107</f>
        <v>0</v>
      </c>
      <c r="AS107" s="486">
        <f t="shared" si="186"/>
        <v>144826</v>
      </c>
      <c r="AT107" s="486">
        <f t="shared" si="186"/>
        <v>8330</v>
      </c>
      <c r="AU107" s="486">
        <f>O107+AE107</f>
        <v>0</v>
      </c>
      <c r="AV107" s="501">
        <f>P107+AN107</f>
        <v>0.91669999999999996</v>
      </c>
      <c r="AW107" s="501">
        <f t="shared" si="187"/>
        <v>0.91669999999999996</v>
      </c>
      <c r="AX107" s="502">
        <f t="shared" si="187"/>
        <v>0</v>
      </c>
    </row>
    <row r="108" spans="1:50" ht="12.95" customHeight="1" x14ac:dyDescent="0.25">
      <c r="A108" s="154">
        <v>19</v>
      </c>
      <c r="B108" s="526">
        <v>5419</v>
      </c>
      <c r="C108" s="527">
        <v>600099261</v>
      </c>
      <c r="D108" s="83">
        <v>70946752</v>
      </c>
      <c r="E108" s="528" t="s">
        <v>410</v>
      </c>
      <c r="F108" s="83">
        <v>3143</v>
      </c>
      <c r="G108" s="528" t="s">
        <v>635</v>
      </c>
      <c r="H108" s="493" t="s">
        <v>284</v>
      </c>
      <c r="I108" s="495">
        <v>21066</v>
      </c>
      <c r="J108" s="496">
        <v>14850</v>
      </c>
      <c r="K108" s="496">
        <v>0</v>
      </c>
      <c r="L108" s="496">
        <v>0</v>
      </c>
      <c r="M108" s="411">
        <v>5019</v>
      </c>
      <c r="N108" s="411">
        <v>297</v>
      </c>
      <c r="O108" s="496">
        <v>900</v>
      </c>
      <c r="P108" s="497">
        <v>0.06</v>
      </c>
      <c r="Q108" s="412">
        <v>0</v>
      </c>
      <c r="R108" s="498">
        <v>0.06</v>
      </c>
      <c r="S108" s="479">
        <f t="shared" si="183"/>
        <v>0</v>
      </c>
      <c r="T108" s="486">
        <v>0</v>
      </c>
      <c r="U108" s="486">
        <v>0</v>
      </c>
      <c r="V108" s="486">
        <f>SUM(S108:U108)</f>
        <v>0</v>
      </c>
      <c r="W108" s="486">
        <v>0</v>
      </c>
      <c r="X108" s="486">
        <v>0</v>
      </c>
      <c r="Y108" s="486">
        <f>SUM(W108:X108)</f>
        <v>0</v>
      </c>
      <c r="Z108" s="486">
        <f>V108+Y108</f>
        <v>0</v>
      </c>
      <c r="AA108" s="319">
        <f>ROUND((V108+W108)*33.8%,0)</f>
        <v>0</v>
      </c>
      <c r="AB108" s="178">
        <f>ROUND(V108*2%,0)</f>
        <v>0</v>
      </c>
      <c r="AC108" s="486">
        <v>0</v>
      </c>
      <c r="AD108" s="486">
        <v>0</v>
      </c>
      <c r="AE108" s="486">
        <f t="shared" si="141"/>
        <v>0</v>
      </c>
      <c r="AF108" s="486">
        <f t="shared" si="142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84"/>
        <v>0</v>
      </c>
      <c r="AM108" s="501">
        <f t="shared" si="185"/>
        <v>0</v>
      </c>
      <c r="AN108" s="529">
        <f t="shared" si="143"/>
        <v>0</v>
      </c>
      <c r="AO108" s="530">
        <f>I108+AF108</f>
        <v>21066</v>
      </c>
      <c r="AP108" s="486">
        <f>J108+V108</f>
        <v>14850</v>
      </c>
      <c r="AQ108" s="480">
        <f>K108+Y108</f>
        <v>0</v>
      </c>
      <c r="AR108" s="480">
        <f>L108</f>
        <v>0</v>
      </c>
      <c r="AS108" s="486">
        <f t="shared" si="186"/>
        <v>5019</v>
      </c>
      <c r="AT108" s="486">
        <f t="shared" si="186"/>
        <v>297</v>
      </c>
      <c r="AU108" s="486">
        <f>O108+AE108</f>
        <v>900</v>
      </c>
      <c r="AV108" s="501">
        <f>P108+AN108</f>
        <v>0.06</v>
      </c>
      <c r="AW108" s="501">
        <f t="shared" si="187"/>
        <v>0</v>
      </c>
      <c r="AX108" s="502">
        <f t="shared" si="187"/>
        <v>0.06</v>
      </c>
    </row>
    <row r="109" spans="1:50" ht="12.95" customHeight="1" x14ac:dyDescent="0.25">
      <c r="A109" s="156">
        <v>19</v>
      </c>
      <c r="B109" s="104">
        <v>5419</v>
      </c>
      <c r="C109" s="105">
        <v>600099261</v>
      </c>
      <c r="D109" s="104">
        <v>70946752</v>
      </c>
      <c r="E109" s="298" t="s">
        <v>411</v>
      </c>
      <c r="F109" s="92"/>
      <c r="G109" s="299"/>
      <c r="H109" s="93"/>
      <c r="I109" s="295">
        <v>17265142</v>
      </c>
      <c r="J109" s="108">
        <v>12345207</v>
      </c>
      <c r="K109" s="108">
        <v>115539</v>
      </c>
      <c r="L109" s="108">
        <v>75539</v>
      </c>
      <c r="M109" s="108">
        <v>4186199</v>
      </c>
      <c r="N109" s="108">
        <v>246905</v>
      </c>
      <c r="O109" s="108">
        <v>371292</v>
      </c>
      <c r="P109" s="158">
        <v>26.524799999999999</v>
      </c>
      <c r="Q109" s="158">
        <v>18.417199999999998</v>
      </c>
      <c r="R109" s="297">
        <v>8.1075999999999997</v>
      </c>
      <c r="S109" s="150">
        <f t="shared" ref="S109:AN109" si="188">SUM(S104:S108)</f>
        <v>0</v>
      </c>
      <c r="T109" s="108">
        <f t="shared" si="188"/>
        <v>-3144</v>
      </c>
      <c r="U109" s="108">
        <f t="shared" si="188"/>
        <v>0</v>
      </c>
      <c r="V109" s="108">
        <f t="shared" si="188"/>
        <v>-3144</v>
      </c>
      <c r="W109" s="108">
        <f t="shared" si="188"/>
        <v>0</v>
      </c>
      <c r="X109" s="108">
        <f t="shared" si="188"/>
        <v>0</v>
      </c>
      <c r="Y109" s="108">
        <f t="shared" si="188"/>
        <v>0</v>
      </c>
      <c r="Z109" s="108">
        <f t="shared" si="188"/>
        <v>-3144</v>
      </c>
      <c r="AA109" s="108">
        <f t="shared" si="188"/>
        <v>-1063</v>
      </c>
      <c r="AB109" s="108">
        <f t="shared" si="188"/>
        <v>-63</v>
      </c>
      <c r="AC109" s="108">
        <f t="shared" si="188"/>
        <v>0</v>
      </c>
      <c r="AD109" s="108">
        <f t="shared" si="188"/>
        <v>0</v>
      </c>
      <c r="AE109" s="108">
        <f t="shared" si="188"/>
        <v>0</v>
      </c>
      <c r="AF109" s="108">
        <f t="shared" si="188"/>
        <v>-4270</v>
      </c>
      <c r="AG109" s="158">
        <f t="shared" si="188"/>
        <v>0</v>
      </c>
      <c r="AH109" s="158">
        <f t="shared" si="188"/>
        <v>0</v>
      </c>
      <c r="AI109" s="158">
        <f t="shared" si="188"/>
        <v>-0.01</v>
      </c>
      <c r="AJ109" s="158">
        <f t="shared" si="188"/>
        <v>0</v>
      </c>
      <c r="AK109" s="158">
        <f t="shared" si="188"/>
        <v>0</v>
      </c>
      <c r="AL109" s="158">
        <f t="shared" si="188"/>
        <v>-0.01</v>
      </c>
      <c r="AM109" s="158">
        <f t="shared" si="188"/>
        <v>0</v>
      </c>
      <c r="AN109" s="410">
        <f t="shared" si="188"/>
        <v>-0.01</v>
      </c>
      <c r="AO109" s="295">
        <f t="shared" ref="AO109:AX109" si="189">SUM(AO104:AO108)</f>
        <v>17260872</v>
      </c>
      <c r="AP109" s="108">
        <f t="shared" si="189"/>
        <v>12342063</v>
      </c>
      <c r="AQ109" s="108">
        <f t="shared" si="189"/>
        <v>115539</v>
      </c>
      <c r="AR109" s="108">
        <f t="shared" si="189"/>
        <v>75539</v>
      </c>
      <c r="AS109" s="108">
        <f t="shared" si="189"/>
        <v>4185136</v>
      </c>
      <c r="AT109" s="108">
        <f t="shared" si="189"/>
        <v>246842</v>
      </c>
      <c r="AU109" s="108">
        <f t="shared" si="189"/>
        <v>371292</v>
      </c>
      <c r="AV109" s="158">
        <f t="shared" si="189"/>
        <v>26.514799999999997</v>
      </c>
      <c r="AW109" s="158">
        <f t="shared" si="189"/>
        <v>18.4072</v>
      </c>
      <c r="AX109" s="297">
        <f t="shared" si="189"/>
        <v>8.1075999999999997</v>
      </c>
    </row>
    <row r="110" spans="1:50" ht="12.95" customHeight="1" x14ac:dyDescent="0.25">
      <c r="A110" s="154">
        <v>20</v>
      </c>
      <c r="B110" s="526">
        <v>5425</v>
      </c>
      <c r="C110" s="107">
        <v>600099521</v>
      </c>
      <c r="D110" s="83">
        <v>854859</v>
      </c>
      <c r="E110" s="528" t="s">
        <v>412</v>
      </c>
      <c r="F110" s="83">
        <v>3233</v>
      </c>
      <c r="G110" s="528" t="s">
        <v>413</v>
      </c>
      <c r="H110" s="493" t="s">
        <v>284</v>
      </c>
      <c r="I110" s="495">
        <v>2477475</v>
      </c>
      <c r="J110" s="496">
        <v>1799999</v>
      </c>
      <c r="K110" s="496">
        <v>10000</v>
      </c>
      <c r="L110" s="496">
        <v>0</v>
      </c>
      <c r="M110" s="411">
        <v>611780</v>
      </c>
      <c r="N110" s="411">
        <v>36000</v>
      </c>
      <c r="O110" s="496">
        <v>19696</v>
      </c>
      <c r="P110" s="497">
        <v>4.07</v>
      </c>
      <c r="Q110" s="412">
        <v>2.89</v>
      </c>
      <c r="R110" s="498">
        <v>1.18</v>
      </c>
      <c r="S110" s="479">
        <f>W110*-1</f>
        <v>0</v>
      </c>
      <c r="T110" s="486">
        <v>0</v>
      </c>
      <c r="U110" s="486">
        <v>0</v>
      </c>
      <c r="V110" s="486">
        <f>SUM(S110:U110)</f>
        <v>0</v>
      </c>
      <c r="W110" s="486">
        <v>0</v>
      </c>
      <c r="X110" s="486">
        <v>0</v>
      </c>
      <c r="Y110" s="486">
        <f>SUM(W110:X110)</f>
        <v>0</v>
      </c>
      <c r="Z110" s="486">
        <f>V110+Y110</f>
        <v>0</v>
      </c>
      <c r="AA110" s="319">
        <f>ROUND((V110+W110)*33.8%,0)</f>
        <v>0</v>
      </c>
      <c r="AB110" s="178">
        <f>ROUND(V110*2%,0)</f>
        <v>0</v>
      </c>
      <c r="AC110" s="486">
        <v>0</v>
      </c>
      <c r="AD110" s="486">
        <v>0</v>
      </c>
      <c r="AE110" s="486">
        <f t="shared" si="141"/>
        <v>0</v>
      </c>
      <c r="AF110" s="486">
        <f t="shared" si="142"/>
        <v>0</v>
      </c>
      <c r="AG110" s="501">
        <v>0</v>
      </c>
      <c r="AH110" s="501">
        <v>0</v>
      </c>
      <c r="AI110" s="501">
        <v>0</v>
      </c>
      <c r="AJ110" s="501">
        <v>0</v>
      </c>
      <c r="AK110" s="501">
        <v>0</v>
      </c>
      <c r="AL110" s="501">
        <f>AG110+AI110+AJ110</f>
        <v>0</v>
      </c>
      <c r="AM110" s="501">
        <f>AH110+AK110</f>
        <v>0</v>
      </c>
      <c r="AN110" s="529">
        <f t="shared" si="143"/>
        <v>0</v>
      </c>
      <c r="AO110" s="530">
        <f>I110+AF110</f>
        <v>2477475</v>
      </c>
      <c r="AP110" s="486">
        <f>J110+V110</f>
        <v>1799999</v>
      </c>
      <c r="AQ110" s="480">
        <f>K110+Y110</f>
        <v>10000</v>
      </c>
      <c r="AR110" s="480">
        <f>L110</f>
        <v>0</v>
      </c>
      <c r="AS110" s="486">
        <f>M110+AA110</f>
        <v>611780</v>
      </c>
      <c r="AT110" s="486">
        <f>N110+AB110</f>
        <v>36000</v>
      </c>
      <c r="AU110" s="486">
        <f>O110+AE110</f>
        <v>19696</v>
      </c>
      <c r="AV110" s="501">
        <f>P110+AN110</f>
        <v>4.07</v>
      </c>
      <c r="AW110" s="501">
        <f>Q110+AL110</f>
        <v>2.89</v>
      </c>
      <c r="AX110" s="502">
        <f>R110+AM110</f>
        <v>1.18</v>
      </c>
    </row>
    <row r="111" spans="1:50" ht="12.95" customHeight="1" x14ac:dyDescent="0.25">
      <c r="A111" s="156">
        <v>20</v>
      </c>
      <c r="B111" s="104">
        <v>5425</v>
      </c>
      <c r="C111" s="105">
        <v>600099521</v>
      </c>
      <c r="D111" s="104">
        <v>854859</v>
      </c>
      <c r="E111" s="298" t="s">
        <v>414</v>
      </c>
      <c r="F111" s="92"/>
      <c r="G111" s="299"/>
      <c r="H111" s="93"/>
      <c r="I111" s="294">
        <v>2477475</v>
      </c>
      <c r="J111" s="106">
        <v>1799999</v>
      </c>
      <c r="K111" s="106">
        <v>10000</v>
      </c>
      <c r="L111" s="106">
        <v>0</v>
      </c>
      <c r="M111" s="106">
        <v>611780</v>
      </c>
      <c r="N111" s="106">
        <v>36000</v>
      </c>
      <c r="O111" s="106">
        <v>19696</v>
      </c>
      <c r="P111" s="157">
        <v>4.07</v>
      </c>
      <c r="Q111" s="157">
        <v>2.89</v>
      </c>
      <c r="R111" s="296">
        <v>1.18</v>
      </c>
      <c r="S111" s="149">
        <f t="shared" ref="S111:AN111" si="190">SUM(S110)</f>
        <v>0</v>
      </c>
      <c r="T111" s="106">
        <f t="shared" si="190"/>
        <v>0</v>
      </c>
      <c r="U111" s="106">
        <f t="shared" si="190"/>
        <v>0</v>
      </c>
      <c r="V111" s="106">
        <f t="shared" si="190"/>
        <v>0</v>
      </c>
      <c r="W111" s="106">
        <f t="shared" si="190"/>
        <v>0</v>
      </c>
      <c r="X111" s="106">
        <f t="shared" si="190"/>
        <v>0</v>
      </c>
      <c r="Y111" s="106">
        <f t="shared" si="190"/>
        <v>0</v>
      </c>
      <c r="Z111" s="106">
        <f t="shared" si="190"/>
        <v>0</v>
      </c>
      <c r="AA111" s="106">
        <f t="shared" si="190"/>
        <v>0</v>
      </c>
      <c r="AB111" s="106">
        <f t="shared" si="190"/>
        <v>0</v>
      </c>
      <c r="AC111" s="106">
        <f t="shared" si="190"/>
        <v>0</v>
      </c>
      <c r="AD111" s="106">
        <f t="shared" si="190"/>
        <v>0</v>
      </c>
      <c r="AE111" s="106">
        <f t="shared" si="190"/>
        <v>0</v>
      </c>
      <c r="AF111" s="106">
        <f t="shared" si="190"/>
        <v>0</v>
      </c>
      <c r="AG111" s="157">
        <f t="shared" si="190"/>
        <v>0</v>
      </c>
      <c r="AH111" s="157">
        <f t="shared" si="190"/>
        <v>0</v>
      </c>
      <c r="AI111" s="157">
        <f t="shared" si="190"/>
        <v>0</v>
      </c>
      <c r="AJ111" s="157">
        <f t="shared" si="190"/>
        <v>0</v>
      </c>
      <c r="AK111" s="157">
        <f t="shared" si="190"/>
        <v>0</v>
      </c>
      <c r="AL111" s="157">
        <f t="shared" si="190"/>
        <v>0</v>
      </c>
      <c r="AM111" s="157">
        <f t="shared" si="190"/>
        <v>0</v>
      </c>
      <c r="AN111" s="409">
        <f t="shared" si="190"/>
        <v>0</v>
      </c>
      <c r="AO111" s="294">
        <f t="shared" ref="AO111:AX111" si="191">SUM(AO110)</f>
        <v>2477475</v>
      </c>
      <c r="AP111" s="106">
        <f t="shared" si="191"/>
        <v>1799999</v>
      </c>
      <c r="AQ111" s="106">
        <f t="shared" si="191"/>
        <v>10000</v>
      </c>
      <c r="AR111" s="106">
        <f t="shared" si="191"/>
        <v>0</v>
      </c>
      <c r="AS111" s="106">
        <f t="shared" si="191"/>
        <v>611780</v>
      </c>
      <c r="AT111" s="106">
        <f t="shared" si="191"/>
        <v>36000</v>
      </c>
      <c r="AU111" s="106">
        <f t="shared" si="191"/>
        <v>19696</v>
      </c>
      <c r="AV111" s="157">
        <f t="shared" si="191"/>
        <v>4.07</v>
      </c>
      <c r="AW111" s="157">
        <f t="shared" si="191"/>
        <v>2.89</v>
      </c>
      <c r="AX111" s="296">
        <f t="shared" si="191"/>
        <v>1.18</v>
      </c>
    </row>
    <row r="112" spans="1:50" ht="12.95" customHeight="1" x14ac:dyDescent="0.25">
      <c r="A112" s="154">
        <v>21</v>
      </c>
      <c r="B112" s="526">
        <v>5426</v>
      </c>
      <c r="C112" s="527">
        <v>600098761</v>
      </c>
      <c r="D112" s="83">
        <v>72742615</v>
      </c>
      <c r="E112" s="528" t="s">
        <v>415</v>
      </c>
      <c r="F112" s="83">
        <v>3111</v>
      </c>
      <c r="G112" s="528" t="s">
        <v>331</v>
      </c>
      <c r="H112" s="493" t="s">
        <v>283</v>
      </c>
      <c r="I112" s="495">
        <v>6385353</v>
      </c>
      <c r="J112" s="496">
        <v>4511226</v>
      </c>
      <c r="K112" s="496">
        <v>91000</v>
      </c>
      <c r="L112" s="496">
        <v>0</v>
      </c>
      <c r="M112" s="411">
        <v>1555552</v>
      </c>
      <c r="N112" s="411">
        <v>90225</v>
      </c>
      <c r="O112" s="496">
        <v>137350</v>
      </c>
      <c r="P112" s="497">
        <v>10.565200000000001</v>
      </c>
      <c r="Q112" s="412">
        <v>8</v>
      </c>
      <c r="R112" s="498">
        <v>2.5651999999999999</v>
      </c>
      <c r="S112" s="479">
        <f t="shared" ref="S112:S115" si="192">W112*-1</f>
        <v>0</v>
      </c>
      <c r="T112" s="486">
        <v>0</v>
      </c>
      <c r="U112" s="486">
        <v>0</v>
      </c>
      <c r="V112" s="486">
        <f>SUM(S112:U112)</f>
        <v>0</v>
      </c>
      <c r="W112" s="486">
        <v>0</v>
      </c>
      <c r="X112" s="486">
        <v>0</v>
      </c>
      <c r="Y112" s="486">
        <f>SUM(W112:X112)</f>
        <v>0</v>
      </c>
      <c r="Z112" s="486">
        <f>V112+Y112</f>
        <v>0</v>
      </c>
      <c r="AA112" s="319">
        <f>ROUND((V112+W112)*33.8%,0)</f>
        <v>0</v>
      </c>
      <c r="AB112" s="178">
        <f>ROUND(V112*2%,0)</f>
        <v>0</v>
      </c>
      <c r="AC112" s="486">
        <v>0</v>
      </c>
      <c r="AD112" s="486">
        <v>0</v>
      </c>
      <c r="AE112" s="486">
        <f t="shared" ref="AE112:AE113" si="193">SUM(AC112:AD112)</f>
        <v>0</v>
      </c>
      <c r="AF112" s="486">
        <f t="shared" si="142"/>
        <v>0</v>
      </c>
      <c r="AG112" s="501">
        <v>0</v>
      </c>
      <c r="AH112" s="501">
        <v>0</v>
      </c>
      <c r="AI112" s="501">
        <v>0</v>
      </c>
      <c r="AJ112" s="501">
        <v>0</v>
      </c>
      <c r="AK112" s="501">
        <v>0</v>
      </c>
      <c r="AL112" s="501">
        <f t="shared" ref="AL112:AL115" si="194">AG112+AI112+AJ112</f>
        <v>0</v>
      </c>
      <c r="AM112" s="501">
        <f t="shared" ref="AM112:AM115" si="195">AH112+AK112</f>
        <v>0</v>
      </c>
      <c r="AN112" s="529">
        <f t="shared" si="143"/>
        <v>0</v>
      </c>
      <c r="AO112" s="530">
        <f>I112+AF112</f>
        <v>6385353</v>
      </c>
      <c r="AP112" s="486">
        <f>J112+V112</f>
        <v>4511226</v>
      </c>
      <c r="AQ112" s="480">
        <f>K112+Y112</f>
        <v>91000</v>
      </c>
      <c r="AR112" s="480">
        <f>L112</f>
        <v>0</v>
      </c>
      <c r="AS112" s="486">
        <f t="shared" ref="AS112:AT115" si="196">M112+AA112</f>
        <v>1555552</v>
      </c>
      <c r="AT112" s="486">
        <f t="shared" si="196"/>
        <v>90225</v>
      </c>
      <c r="AU112" s="486">
        <f>O112+AE112</f>
        <v>137350</v>
      </c>
      <c r="AV112" s="501">
        <f>P112+AN112</f>
        <v>10.565200000000001</v>
      </c>
      <c r="AW112" s="501">
        <f t="shared" ref="AW112:AX115" si="197">Q112+AL112</f>
        <v>8</v>
      </c>
      <c r="AX112" s="502">
        <f t="shared" si="197"/>
        <v>2.5651999999999999</v>
      </c>
    </row>
    <row r="113" spans="1:50" ht="12.95" customHeight="1" x14ac:dyDescent="0.25">
      <c r="A113" s="154">
        <v>21</v>
      </c>
      <c r="B113" s="526">
        <v>5426</v>
      </c>
      <c r="C113" s="527">
        <v>600098761</v>
      </c>
      <c r="D113" s="83">
        <v>72742615</v>
      </c>
      <c r="E113" s="528" t="s">
        <v>415</v>
      </c>
      <c r="F113" s="83">
        <v>3111</v>
      </c>
      <c r="G113" s="528" t="s">
        <v>325</v>
      </c>
      <c r="H113" s="493" t="s">
        <v>284</v>
      </c>
      <c r="I113" s="495">
        <v>153727</v>
      </c>
      <c r="J113" s="496">
        <v>113201</v>
      </c>
      <c r="K113" s="496">
        <v>0</v>
      </c>
      <c r="L113" s="496">
        <v>0</v>
      </c>
      <c r="M113" s="411">
        <v>38262</v>
      </c>
      <c r="N113" s="411">
        <v>2264</v>
      </c>
      <c r="O113" s="496">
        <v>0</v>
      </c>
      <c r="P113" s="497">
        <v>0.33</v>
      </c>
      <c r="Q113" s="412">
        <v>0.33</v>
      </c>
      <c r="R113" s="498">
        <v>0</v>
      </c>
      <c r="S113" s="479">
        <f t="shared" si="192"/>
        <v>0</v>
      </c>
      <c r="T113" s="486">
        <v>0</v>
      </c>
      <c r="U113" s="486">
        <v>0</v>
      </c>
      <c r="V113" s="486">
        <f>SUM(S113:U113)</f>
        <v>0</v>
      </c>
      <c r="W113" s="486">
        <v>0</v>
      </c>
      <c r="X113" s="486">
        <v>0</v>
      </c>
      <c r="Y113" s="486">
        <f>SUM(W113:X113)</f>
        <v>0</v>
      </c>
      <c r="Z113" s="486">
        <f>V113+Y113</f>
        <v>0</v>
      </c>
      <c r="AA113" s="319">
        <f>ROUND((V113+W113)*33.8%,0)</f>
        <v>0</v>
      </c>
      <c r="AB113" s="178">
        <f>ROUND(V113*2%,0)</f>
        <v>0</v>
      </c>
      <c r="AC113" s="486">
        <v>0</v>
      </c>
      <c r="AD113" s="486">
        <v>0</v>
      </c>
      <c r="AE113" s="486">
        <f t="shared" si="193"/>
        <v>0</v>
      </c>
      <c r="AF113" s="486">
        <f t="shared" si="142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si="194"/>
        <v>0</v>
      </c>
      <c r="AM113" s="501">
        <f t="shared" si="195"/>
        <v>0</v>
      </c>
      <c r="AN113" s="529">
        <f t="shared" si="143"/>
        <v>0</v>
      </c>
      <c r="AO113" s="530">
        <f>I113+AF113</f>
        <v>153727</v>
      </c>
      <c r="AP113" s="486">
        <f>J113+V113</f>
        <v>113201</v>
      </c>
      <c r="AQ113" s="480">
        <f>K113+Y113</f>
        <v>0</v>
      </c>
      <c r="AR113" s="480">
        <f>L113</f>
        <v>0</v>
      </c>
      <c r="AS113" s="486">
        <f t="shared" si="196"/>
        <v>38262</v>
      </c>
      <c r="AT113" s="486">
        <f t="shared" si="196"/>
        <v>2264</v>
      </c>
      <c r="AU113" s="486">
        <f>O113+AE113</f>
        <v>0</v>
      </c>
      <c r="AV113" s="501">
        <f>P113+AN113</f>
        <v>0.33</v>
      </c>
      <c r="AW113" s="501">
        <f t="shared" si="197"/>
        <v>0.33</v>
      </c>
      <c r="AX113" s="502">
        <f t="shared" si="197"/>
        <v>0</v>
      </c>
    </row>
    <row r="114" spans="1:50" ht="12.95" customHeight="1" x14ac:dyDescent="0.25">
      <c r="A114" s="154">
        <v>21</v>
      </c>
      <c r="B114" s="526">
        <v>5426</v>
      </c>
      <c r="C114" s="527">
        <v>600098761</v>
      </c>
      <c r="D114" s="83">
        <v>72742615</v>
      </c>
      <c r="E114" s="528" t="s">
        <v>415</v>
      </c>
      <c r="F114" s="83">
        <v>3111</v>
      </c>
      <c r="G114" s="531" t="s">
        <v>319</v>
      </c>
      <c r="H114" s="493" t="s">
        <v>283</v>
      </c>
      <c r="I114" s="495">
        <v>280349</v>
      </c>
      <c r="J114" s="496">
        <v>206443</v>
      </c>
      <c r="K114" s="496">
        <v>0</v>
      </c>
      <c r="L114" s="496">
        <v>0</v>
      </c>
      <c r="M114" s="411">
        <v>69778</v>
      </c>
      <c r="N114" s="411">
        <v>4128</v>
      </c>
      <c r="O114" s="496">
        <v>0</v>
      </c>
      <c r="P114" s="497">
        <v>0.58749999999999991</v>
      </c>
      <c r="Q114" s="412">
        <v>0.58749999999999991</v>
      </c>
      <c r="R114" s="498">
        <v>0</v>
      </c>
      <c r="S114" s="479">
        <f t="shared" si="192"/>
        <v>0</v>
      </c>
      <c r="T114" s="486">
        <v>0</v>
      </c>
      <c r="U114" s="486">
        <v>0</v>
      </c>
      <c r="V114" s="486">
        <f>SUM(S114:U114)</f>
        <v>0</v>
      </c>
      <c r="W114" s="486">
        <v>0</v>
      </c>
      <c r="X114" s="486">
        <v>0</v>
      </c>
      <c r="Y114" s="486">
        <f>SUM(W114:X114)</f>
        <v>0</v>
      </c>
      <c r="Z114" s="486">
        <f>V114+Y114</f>
        <v>0</v>
      </c>
      <c r="AA114" s="319">
        <f>ROUND((V114+W114)*33.8%,0)</f>
        <v>0</v>
      </c>
      <c r="AB114" s="178">
        <f>ROUND(V114*2%,0)</f>
        <v>0</v>
      </c>
      <c r="AC114" s="486">
        <v>0</v>
      </c>
      <c r="AD114" s="486">
        <v>0</v>
      </c>
      <c r="AE114" s="486">
        <f t="shared" si="141"/>
        <v>0</v>
      </c>
      <c r="AF114" s="486">
        <f t="shared" si="142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si="194"/>
        <v>0</v>
      </c>
      <c r="AM114" s="501">
        <f t="shared" si="195"/>
        <v>0</v>
      </c>
      <c r="AN114" s="529">
        <f t="shared" si="143"/>
        <v>0</v>
      </c>
      <c r="AO114" s="530">
        <f>I114+AF114</f>
        <v>280349</v>
      </c>
      <c r="AP114" s="486">
        <f>J114+V114</f>
        <v>206443</v>
      </c>
      <c r="AQ114" s="480">
        <f>K114+Y114</f>
        <v>0</v>
      </c>
      <c r="AR114" s="480">
        <f>L114</f>
        <v>0</v>
      </c>
      <c r="AS114" s="486">
        <f t="shared" si="196"/>
        <v>69778</v>
      </c>
      <c r="AT114" s="486">
        <f t="shared" si="196"/>
        <v>4128</v>
      </c>
      <c r="AU114" s="486">
        <f>O114+AE114</f>
        <v>0</v>
      </c>
      <c r="AV114" s="501">
        <f>P114+AN114</f>
        <v>0.58749999999999991</v>
      </c>
      <c r="AW114" s="501">
        <f t="shared" si="197"/>
        <v>0.58749999999999991</v>
      </c>
      <c r="AX114" s="502">
        <f t="shared" si="197"/>
        <v>0</v>
      </c>
    </row>
    <row r="115" spans="1:50" ht="12.95" customHeight="1" x14ac:dyDescent="0.25">
      <c r="A115" s="154">
        <v>21</v>
      </c>
      <c r="B115" s="526">
        <v>5426</v>
      </c>
      <c r="C115" s="527">
        <v>600098761</v>
      </c>
      <c r="D115" s="83">
        <v>72742615</v>
      </c>
      <c r="E115" s="528" t="s">
        <v>415</v>
      </c>
      <c r="F115" s="83">
        <v>3141</v>
      </c>
      <c r="G115" s="528" t="s">
        <v>321</v>
      </c>
      <c r="H115" s="493" t="s">
        <v>284</v>
      </c>
      <c r="I115" s="495">
        <v>920545</v>
      </c>
      <c r="J115" s="496">
        <v>669571</v>
      </c>
      <c r="K115" s="496">
        <v>4650</v>
      </c>
      <c r="L115" s="496">
        <v>0</v>
      </c>
      <c r="M115" s="411">
        <v>227887</v>
      </c>
      <c r="N115" s="411">
        <v>13391</v>
      </c>
      <c r="O115" s="496">
        <v>5046</v>
      </c>
      <c r="P115" s="497">
        <v>2.29</v>
      </c>
      <c r="Q115" s="412">
        <v>0</v>
      </c>
      <c r="R115" s="498">
        <v>2.29</v>
      </c>
      <c r="S115" s="479">
        <f t="shared" si="192"/>
        <v>0</v>
      </c>
      <c r="T115" s="486">
        <v>0</v>
      </c>
      <c r="U115" s="486">
        <v>0</v>
      </c>
      <c r="V115" s="486">
        <f>SUM(S115:U115)</f>
        <v>0</v>
      </c>
      <c r="W115" s="486">
        <v>0</v>
      </c>
      <c r="X115" s="486">
        <v>0</v>
      </c>
      <c r="Y115" s="486">
        <f>SUM(W115:X115)</f>
        <v>0</v>
      </c>
      <c r="Z115" s="486">
        <f>V115+Y115</f>
        <v>0</v>
      </c>
      <c r="AA115" s="319">
        <f>ROUND((V115+W115)*33.8%,0)</f>
        <v>0</v>
      </c>
      <c r="AB115" s="178">
        <f>ROUND(V115*2%,0)</f>
        <v>0</v>
      </c>
      <c r="AC115" s="486">
        <v>0</v>
      </c>
      <c r="AD115" s="486">
        <v>0</v>
      </c>
      <c r="AE115" s="486">
        <f t="shared" si="141"/>
        <v>0</v>
      </c>
      <c r="AF115" s="486">
        <f t="shared" si="142"/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si="194"/>
        <v>0</v>
      </c>
      <c r="AM115" s="501">
        <f t="shared" si="195"/>
        <v>0</v>
      </c>
      <c r="AN115" s="529">
        <f t="shared" si="143"/>
        <v>0</v>
      </c>
      <c r="AO115" s="530">
        <f>I115+AF115</f>
        <v>920545</v>
      </c>
      <c r="AP115" s="486">
        <f>J115+V115</f>
        <v>669571</v>
      </c>
      <c r="AQ115" s="480">
        <f>K115+Y115</f>
        <v>4650</v>
      </c>
      <c r="AR115" s="480">
        <f>L115</f>
        <v>0</v>
      </c>
      <c r="AS115" s="486">
        <f t="shared" si="196"/>
        <v>227887</v>
      </c>
      <c r="AT115" s="486">
        <f t="shared" si="196"/>
        <v>13391</v>
      </c>
      <c r="AU115" s="486">
        <f>O115+AE115</f>
        <v>5046</v>
      </c>
      <c r="AV115" s="501">
        <f>P115+AN115</f>
        <v>2.29</v>
      </c>
      <c r="AW115" s="501">
        <f t="shared" si="197"/>
        <v>0</v>
      </c>
      <c r="AX115" s="502">
        <f t="shared" si="197"/>
        <v>2.29</v>
      </c>
    </row>
    <row r="116" spans="1:50" ht="12.95" customHeight="1" x14ac:dyDescent="0.25">
      <c r="A116" s="156">
        <v>21</v>
      </c>
      <c r="B116" s="104">
        <v>5426</v>
      </c>
      <c r="C116" s="105">
        <v>600098761</v>
      </c>
      <c r="D116" s="104">
        <v>72742615</v>
      </c>
      <c r="E116" s="298" t="s">
        <v>416</v>
      </c>
      <c r="F116" s="92"/>
      <c r="G116" s="299"/>
      <c r="H116" s="93"/>
      <c r="I116" s="295">
        <v>7739974</v>
      </c>
      <c r="J116" s="108">
        <v>5500441</v>
      </c>
      <c r="K116" s="108">
        <v>95650</v>
      </c>
      <c r="L116" s="108">
        <v>0</v>
      </c>
      <c r="M116" s="108">
        <v>1891479</v>
      </c>
      <c r="N116" s="108">
        <v>110008</v>
      </c>
      <c r="O116" s="108">
        <v>142396</v>
      </c>
      <c r="P116" s="158">
        <v>13.7727</v>
      </c>
      <c r="Q116" s="158">
        <v>8.9175000000000004</v>
      </c>
      <c r="R116" s="297">
        <v>4.8552</v>
      </c>
      <c r="S116" s="150">
        <f t="shared" ref="S116:AN116" si="198">SUM(S112:S115)</f>
        <v>0</v>
      </c>
      <c r="T116" s="108">
        <f t="shared" si="198"/>
        <v>0</v>
      </c>
      <c r="U116" s="108">
        <f t="shared" si="198"/>
        <v>0</v>
      </c>
      <c r="V116" s="108">
        <f t="shared" si="198"/>
        <v>0</v>
      </c>
      <c r="W116" s="108">
        <f t="shared" si="198"/>
        <v>0</v>
      </c>
      <c r="X116" s="108">
        <f t="shared" si="198"/>
        <v>0</v>
      </c>
      <c r="Y116" s="108">
        <f t="shared" si="198"/>
        <v>0</v>
      </c>
      <c r="Z116" s="108">
        <f t="shared" si="198"/>
        <v>0</v>
      </c>
      <c r="AA116" s="108">
        <f t="shared" si="198"/>
        <v>0</v>
      </c>
      <c r="AB116" s="108">
        <f t="shared" si="198"/>
        <v>0</v>
      </c>
      <c r="AC116" s="108">
        <f t="shared" si="198"/>
        <v>0</v>
      </c>
      <c r="AD116" s="108">
        <f t="shared" si="198"/>
        <v>0</v>
      </c>
      <c r="AE116" s="108">
        <f t="shared" si="198"/>
        <v>0</v>
      </c>
      <c r="AF116" s="108">
        <f t="shared" si="198"/>
        <v>0</v>
      </c>
      <c r="AG116" s="158">
        <f t="shared" si="198"/>
        <v>0</v>
      </c>
      <c r="AH116" s="158">
        <f t="shared" si="198"/>
        <v>0</v>
      </c>
      <c r="AI116" s="158">
        <f t="shared" si="198"/>
        <v>0</v>
      </c>
      <c r="AJ116" s="158">
        <f t="shared" si="198"/>
        <v>0</v>
      </c>
      <c r="AK116" s="158">
        <f t="shared" si="198"/>
        <v>0</v>
      </c>
      <c r="AL116" s="158">
        <f t="shared" si="198"/>
        <v>0</v>
      </c>
      <c r="AM116" s="158">
        <f t="shared" si="198"/>
        <v>0</v>
      </c>
      <c r="AN116" s="410">
        <f t="shared" si="198"/>
        <v>0</v>
      </c>
      <c r="AO116" s="295">
        <f t="shared" ref="AO116:AX116" si="199">SUM(AO112:AO115)</f>
        <v>7739974</v>
      </c>
      <c r="AP116" s="108">
        <f t="shared" si="199"/>
        <v>5500441</v>
      </c>
      <c r="AQ116" s="108">
        <f t="shared" si="199"/>
        <v>95650</v>
      </c>
      <c r="AR116" s="108">
        <f t="shared" si="199"/>
        <v>0</v>
      </c>
      <c r="AS116" s="108">
        <f t="shared" si="199"/>
        <v>1891479</v>
      </c>
      <c r="AT116" s="108">
        <f t="shared" si="199"/>
        <v>110008</v>
      </c>
      <c r="AU116" s="108">
        <f t="shared" si="199"/>
        <v>142396</v>
      </c>
      <c r="AV116" s="158">
        <f t="shared" si="199"/>
        <v>13.7727</v>
      </c>
      <c r="AW116" s="158">
        <f t="shared" si="199"/>
        <v>8.9175000000000004</v>
      </c>
      <c r="AX116" s="297">
        <f t="shared" si="199"/>
        <v>4.8552</v>
      </c>
    </row>
    <row r="117" spans="1:50" ht="12.95" customHeight="1" x14ac:dyDescent="0.25">
      <c r="A117" s="154">
        <v>22</v>
      </c>
      <c r="B117" s="526">
        <v>5423</v>
      </c>
      <c r="C117" s="527">
        <v>600098516</v>
      </c>
      <c r="D117" s="83">
        <v>72742453</v>
      </c>
      <c r="E117" s="528" t="s">
        <v>417</v>
      </c>
      <c r="F117" s="83">
        <v>3111</v>
      </c>
      <c r="G117" s="528" t="s">
        <v>331</v>
      </c>
      <c r="H117" s="493" t="s">
        <v>283</v>
      </c>
      <c r="I117" s="495">
        <v>8470863</v>
      </c>
      <c r="J117" s="496">
        <v>6116468</v>
      </c>
      <c r="K117" s="496">
        <v>0</v>
      </c>
      <c r="L117" s="496">
        <v>0</v>
      </c>
      <c r="M117" s="411">
        <v>2067366</v>
      </c>
      <c r="N117" s="411">
        <v>122329</v>
      </c>
      <c r="O117" s="496">
        <v>164700</v>
      </c>
      <c r="P117" s="497">
        <v>14.2822</v>
      </c>
      <c r="Q117" s="412">
        <v>10.33</v>
      </c>
      <c r="R117" s="498">
        <v>3.9521999999999999</v>
      </c>
      <c r="S117" s="479">
        <f t="shared" ref="S117:S119" si="200">W117*-1</f>
        <v>0</v>
      </c>
      <c r="T117" s="486">
        <v>0</v>
      </c>
      <c r="U117" s="486">
        <v>0</v>
      </c>
      <c r="V117" s="486">
        <f>SUM(S117:U117)</f>
        <v>0</v>
      </c>
      <c r="W117" s="486">
        <v>0</v>
      </c>
      <c r="X117" s="486">
        <v>0</v>
      </c>
      <c r="Y117" s="486">
        <f>SUM(W117:X117)</f>
        <v>0</v>
      </c>
      <c r="Z117" s="486">
        <f>V117+Y117</f>
        <v>0</v>
      </c>
      <c r="AA117" s="319">
        <f>ROUND((V117+W117)*33.8%,0)</f>
        <v>0</v>
      </c>
      <c r="AB117" s="178">
        <f>ROUND(V117*2%,0)</f>
        <v>0</v>
      </c>
      <c r="AC117" s="486">
        <v>0</v>
      </c>
      <c r="AD117" s="486">
        <v>0</v>
      </c>
      <c r="AE117" s="486">
        <f t="shared" si="141"/>
        <v>0</v>
      </c>
      <c r="AF117" s="486">
        <f t="shared" si="142"/>
        <v>0</v>
      </c>
      <c r="AG117" s="501">
        <v>0</v>
      </c>
      <c r="AH117" s="501">
        <v>0</v>
      </c>
      <c r="AI117" s="501">
        <v>0</v>
      </c>
      <c r="AJ117" s="501">
        <v>0</v>
      </c>
      <c r="AK117" s="501">
        <v>0</v>
      </c>
      <c r="AL117" s="501">
        <f t="shared" ref="AL117:AL119" si="201">AG117+AI117+AJ117</f>
        <v>0</v>
      </c>
      <c r="AM117" s="501">
        <f t="shared" ref="AM117:AM119" si="202">AH117+AK117</f>
        <v>0</v>
      </c>
      <c r="AN117" s="529">
        <f t="shared" si="143"/>
        <v>0</v>
      </c>
      <c r="AO117" s="530">
        <f>I117+AF117</f>
        <v>8470863</v>
      </c>
      <c r="AP117" s="486">
        <f>J117+V117</f>
        <v>6116468</v>
      </c>
      <c r="AQ117" s="480">
        <f>K117+Y117</f>
        <v>0</v>
      </c>
      <c r="AR117" s="480">
        <f>L117</f>
        <v>0</v>
      </c>
      <c r="AS117" s="486">
        <f t="shared" ref="AS117:AT119" si="203">M117+AA117</f>
        <v>2067366</v>
      </c>
      <c r="AT117" s="486">
        <f t="shared" si="203"/>
        <v>122329</v>
      </c>
      <c r="AU117" s="486">
        <f>O117+AE117</f>
        <v>164700</v>
      </c>
      <c r="AV117" s="501">
        <f>P117+AN117</f>
        <v>14.2822</v>
      </c>
      <c r="AW117" s="501">
        <f t="shared" ref="AW117:AX119" si="204">Q117+AL117</f>
        <v>10.33</v>
      </c>
      <c r="AX117" s="502">
        <f t="shared" si="204"/>
        <v>3.9521999999999999</v>
      </c>
    </row>
    <row r="118" spans="1:50" ht="12.95" customHeight="1" x14ac:dyDescent="0.25">
      <c r="A118" s="154">
        <v>22</v>
      </c>
      <c r="B118" s="526">
        <v>5423</v>
      </c>
      <c r="C118" s="527">
        <v>600098516</v>
      </c>
      <c r="D118" s="83">
        <v>72742453</v>
      </c>
      <c r="E118" s="528" t="s">
        <v>417</v>
      </c>
      <c r="F118" s="83">
        <v>3111</v>
      </c>
      <c r="G118" s="528" t="s">
        <v>325</v>
      </c>
      <c r="H118" s="493" t="s">
        <v>284</v>
      </c>
      <c r="I118" s="495">
        <v>394592</v>
      </c>
      <c r="J118" s="496">
        <v>286150</v>
      </c>
      <c r="K118" s="496">
        <v>0</v>
      </c>
      <c r="L118" s="496">
        <v>0</v>
      </c>
      <c r="M118" s="411">
        <v>96719</v>
      </c>
      <c r="N118" s="411">
        <v>5723</v>
      </c>
      <c r="O118" s="496">
        <v>6000</v>
      </c>
      <c r="P118" s="497">
        <v>0.84000000000000008</v>
      </c>
      <c r="Q118" s="412">
        <v>0.84000000000000008</v>
      </c>
      <c r="R118" s="498">
        <v>0</v>
      </c>
      <c r="S118" s="479">
        <f t="shared" si="200"/>
        <v>0</v>
      </c>
      <c r="T118" s="486">
        <v>0</v>
      </c>
      <c r="U118" s="486">
        <v>0</v>
      </c>
      <c r="V118" s="486">
        <f>SUM(S118:U118)</f>
        <v>0</v>
      </c>
      <c r="W118" s="486">
        <v>0</v>
      </c>
      <c r="X118" s="486">
        <v>0</v>
      </c>
      <c r="Y118" s="486">
        <f>SUM(W118:X118)</f>
        <v>0</v>
      </c>
      <c r="Z118" s="486">
        <f>V118+Y118</f>
        <v>0</v>
      </c>
      <c r="AA118" s="319">
        <f>ROUND((V118+W118)*33.8%,0)</f>
        <v>0</v>
      </c>
      <c r="AB118" s="178">
        <f>ROUND(V118*2%,0)</f>
        <v>0</v>
      </c>
      <c r="AC118" s="486">
        <v>0</v>
      </c>
      <c r="AD118" s="486">
        <v>0</v>
      </c>
      <c r="AE118" s="486">
        <f t="shared" si="141"/>
        <v>0</v>
      </c>
      <c r="AF118" s="486">
        <f t="shared" si="142"/>
        <v>0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si="201"/>
        <v>0</v>
      </c>
      <c r="AM118" s="501">
        <f t="shared" si="202"/>
        <v>0</v>
      </c>
      <c r="AN118" s="529">
        <f t="shared" si="143"/>
        <v>0</v>
      </c>
      <c r="AO118" s="530">
        <f>I118+AF118</f>
        <v>394592</v>
      </c>
      <c r="AP118" s="486">
        <f>J118+V118</f>
        <v>286150</v>
      </c>
      <c r="AQ118" s="480">
        <f>K118+Y118</f>
        <v>0</v>
      </c>
      <c r="AR118" s="480">
        <f>L118</f>
        <v>0</v>
      </c>
      <c r="AS118" s="486">
        <f t="shared" si="203"/>
        <v>96719</v>
      </c>
      <c r="AT118" s="486">
        <f t="shared" si="203"/>
        <v>5723</v>
      </c>
      <c r="AU118" s="486">
        <f>O118+AE118</f>
        <v>6000</v>
      </c>
      <c r="AV118" s="501">
        <f>P118+AN118</f>
        <v>0.84000000000000008</v>
      </c>
      <c r="AW118" s="501">
        <f t="shared" si="204"/>
        <v>0.84000000000000008</v>
      </c>
      <c r="AX118" s="502">
        <f t="shared" si="204"/>
        <v>0</v>
      </c>
    </row>
    <row r="119" spans="1:50" ht="12.95" customHeight="1" x14ac:dyDescent="0.25">
      <c r="A119" s="154">
        <v>22</v>
      </c>
      <c r="B119" s="526">
        <v>5423</v>
      </c>
      <c r="C119" s="527">
        <v>600098516</v>
      </c>
      <c r="D119" s="83">
        <v>72742453</v>
      </c>
      <c r="E119" s="528" t="s">
        <v>417</v>
      </c>
      <c r="F119" s="83">
        <v>3141</v>
      </c>
      <c r="G119" s="528" t="s">
        <v>321</v>
      </c>
      <c r="H119" s="493" t="s">
        <v>284</v>
      </c>
      <c r="I119" s="495">
        <v>1470221</v>
      </c>
      <c r="J119" s="496">
        <v>1076860</v>
      </c>
      <c r="K119" s="496">
        <v>0</v>
      </c>
      <c r="L119" s="496">
        <v>0</v>
      </c>
      <c r="M119" s="411">
        <v>363978</v>
      </c>
      <c r="N119" s="411">
        <v>21537</v>
      </c>
      <c r="O119" s="496">
        <v>7846</v>
      </c>
      <c r="P119" s="497">
        <v>3.6599999999999997</v>
      </c>
      <c r="Q119" s="412">
        <v>0</v>
      </c>
      <c r="R119" s="498">
        <v>3.6599999999999997</v>
      </c>
      <c r="S119" s="479">
        <f t="shared" si="200"/>
        <v>0</v>
      </c>
      <c r="T119" s="486">
        <v>0</v>
      </c>
      <c r="U119" s="486">
        <v>0</v>
      </c>
      <c r="V119" s="486">
        <f>SUM(S119:U119)</f>
        <v>0</v>
      </c>
      <c r="W119" s="486">
        <v>0</v>
      </c>
      <c r="X119" s="486">
        <v>0</v>
      </c>
      <c r="Y119" s="486">
        <f>SUM(W119:X119)</f>
        <v>0</v>
      </c>
      <c r="Z119" s="486">
        <f>V119+Y119</f>
        <v>0</v>
      </c>
      <c r="AA119" s="319">
        <f>ROUND((V119+W119)*33.8%,0)</f>
        <v>0</v>
      </c>
      <c r="AB119" s="178">
        <f>ROUND(V119*2%,0)</f>
        <v>0</v>
      </c>
      <c r="AC119" s="486">
        <v>0</v>
      </c>
      <c r="AD119" s="486">
        <v>0</v>
      </c>
      <c r="AE119" s="486">
        <f t="shared" si="141"/>
        <v>0</v>
      </c>
      <c r="AF119" s="486">
        <f t="shared" si="142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201"/>
        <v>0</v>
      </c>
      <c r="AM119" s="501">
        <f t="shared" si="202"/>
        <v>0</v>
      </c>
      <c r="AN119" s="529">
        <f t="shared" si="143"/>
        <v>0</v>
      </c>
      <c r="AO119" s="530">
        <f>I119+AF119</f>
        <v>1470221</v>
      </c>
      <c r="AP119" s="486">
        <f>J119+V119</f>
        <v>1076860</v>
      </c>
      <c r="AQ119" s="480">
        <f>K119+Y119</f>
        <v>0</v>
      </c>
      <c r="AR119" s="480">
        <f>L119</f>
        <v>0</v>
      </c>
      <c r="AS119" s="486">
        <f t="shared" si="203"/>
        <v>363978</v>
      </c>
      <c r="AT119" s="486">
        <f t="shared" si="203"/>
        <v>21537</v>
      </c>
      <c r="AU119" s="486">
        <f>O119+AE119</f>
        <v>7846</v>
      </c>
      <c r="AV119" s="501">
        <f>P119+AN119</f>
        <v>3.6599999999999997</v>
      </c>
      <c r="AW119" s="501">
        <f t="shared" si="204"/>
        <v>0</v>
      </c>
      <c r="AX119" s="502">
        <f t="shared" si="204"/>
        <v>3.6599999999999997</v>
      </c>
    </row>
    <row r="120" spans="1:50" ht="12.95" customHeight="1" x14ac:dyDescent="0.25">
      <c r="A120" s="156">
        <v>22</v>
      </c>
      <c r="B120" s="104">
        <v>5423</v>
      </c>
      <c r="C120" s="105">
        <v>600098516</v>
      </c>
      <c r="D120" s="104">
        <v>72742453</v>
      </c>
      <c r="E120" s="298" t="s">
        <v>418</v>
      </c>
      <c r="F120" s="92"/>
      <c r="G120" s="299"/>
      <c r="H120" s="93"/>
      <c r="I120" s="294">
        <v>10335676</v>
      </c>
      <c r="J120" s="106">
        <v>7479478</v>
      </c>
      <c r="K120" s="106">
        <v>0</v>
      </c>
      <c r="L120" s="106">
        <v>0</v>
      </c>
      <c r="M120" s="106">
        <v>2528063</v>
      </c>
      <c r="N120" s="106">
        <v>149589</v>
      </c>
      <c r="O120" s="106">
        <v>178546</v>
      </c>
      <c r="P120" s="157">
        <v>18.7822</v>
      </c>
      <c r="Q120" s="157">
        <v>11.17</v>
      </c>
      <c r="R120" s="296">
        <v>7.6121999999999996</v>
      </c>
      <c r="S120" s="149">
        <f t="shared" ref="S120:AN120" si="205">SUM(S117:S119)</f>
        <v>0</v>
      </c>
      <c r="T120" s="106">
        <f t="shared" si="205"/>
        <v>0</v>
      </c>
      <c r="U120" s="106">
        <f t="shared" si="205"/>
        <v>0</v>
      </c>
      <c r="V120" s="106">
        <f t="shared" si="205"/>
        <v>0</v>
      </c>
      <c r="W120" s="106">
        <f t="shared" si="205"/>
        <v>0</v>
      </c>
      <c r="X120" s="106">
        <f t="shared" si="205"/>
        <v>0</v>
      </c>
      <c r="Y120" s="106">
        <f t="shared" si="205"/>
        <v>0</v>
      </c>
      <c r="Z120" s="106">
        <f t="shared" si="205"/>
        <v>0</v>
      </c>
      <c r="AA120" s="106">
        <f t="shared" si="205"/>
        <v>0</v>
      </c>
      <c r="AB120" s="106">
        <f t="shared" si="205"/>
        <v>0</v>
      </c>
      <c r="AC120" s="106">
        <f t="shared" si="205"/>
        <v>0</v>
      </c>
      <c r="AD120" s="106">
        <f t="shared" si="205"/>
        <v>0</v>
      </c>
      <c r="AE120" s="106">
        <f t="shared" si="205"/>
        <v>0</v>
      </c>
      <c r="AF120" s="106">
        <f t="shared" si="205"/>
        <v>0</v>
      </c>
      <c r="AG120" s="157">
        <f t="shared" si="205"/>
        <v>0</v>
      </c>
      <c r="AH120" s="157">
        <f t="shared" si="205"/>
        <v>0</v>
      </c>
      <c r="AI120" s="157">
        <f t="shared" si="205"/>
        <v>0</v>
      </c>
      <c r="AJ120" s="157">
        <f t="shared" si="205"/>
        <v>0</v>
      </c>
      <c r="AK120" s="157">
        <f t="shared" si="205"/>
        <v>0</v>
      </c>
      <c r="AL120" s="157">
        <f t="shared" si="205"/>
        <v>0</v>
      </c>
      <c r="AM120" s="157">
        <f t="shared" si="205"/>
        <v>0</v>
      </c>
      <c r="AN120" s="409">
        <f t="shared" si="205"/>
        <v>0</v>
      </c>
      <c r="AO120" s="294">
        <f t="shared" ref="AO120:AX120" si="206">SUM(AO117:AO119)</f>
        <v>10335676</v>
      </c>
      <c r="AP120" s="106">
        <f t="shared" si="206"/>
        <v>7479478</v>
      </c>
      <c r="AQ120" s="106">
        <f t="shared" si="206"/>
        <v>0</v>
      </c>
      <c r="AR120" s="106">
        <f t="shared" si="206"/>
        <v>0</v>
      </c>
      <c r="AS120" s="106">
        <f t="shared" si="206"/>
        <v>2528063</v>
      </c>
      <c r="AT120" s="106">
        <f t="shared" si="206"/>
        <v>149589</v>
      </c>
      <c r="AU120" s="106">
        <f t="shared" si="206"/>
        <v>178546</v>
      </c>
      <c r="AV120" s="157">
        <f t="shared" si="206"/>
        <v>18.7822</v>
      </c>
      <c r="AW120" s="157">
        <f t="shared" si="206"/>
        <v>11.17</v>
      </c>
      <c r="AX120" s="296">
        <f t="shared" si="206"/>
        <v>7.6121999999999996</v>
      </c>
    </row>
    <row r="121" spans="1:50" ht="12.75" customHeight="1" x14ac:dyDescent="0.25">
      <c r="A121" s="154">
        <v>23</v>
      </c>
      <c r="B121" s="526">
        <v>5422</v>
      </c>
      <c r="C121" s="527">
        <v>600099181</v>
      </c>
      <c r="D121" s="83">
        <v>854751</v>
      </c>
      <c r="E121" s="528" t="s">
        <v>419</v>
      </c>
      <c r="F121" s="83">
        <v>3113</v>
      </c>
      <c r="G121" s="528" t="s">
        <v>335</v>
      </c>
      <c r="H121" s="493" t="s">
        <v>283</v>
      </c>
      <c r="I121" s="495">
        <v>35150442</v>
      </c>
      <c r="J121" s="496">
        <v>24761270</v>
      </c>
      <c r="K121" s="496">
        <v>160576</v>
      </c>
      <c r="L121" s="496">
        <v>90576</v>
      </c>
      <c r="M121" s="411">
        <v>8392970</v>
      </c>
      <c r="N121" s="411">
        <v>495226</v>
      </c>
      <c r="O121" s="496">
        <v>1340400</v>
      </c>
      <c r="P121" s="497">
        <v>47.683099999999996</v>
      </c>
      <c r="Q121" s="412">
        <v>36.43</v>
      </c>
      <c r="R121" s="498">
        <v>11.2531</v>
      </c>
      <c r="S121" s="479">
        <f t="shared" ref="S121:S125" si="207">W121*-1</f>
        <v>0</v>
      </c>
      <c r="T121" s="486">
        <v>0</v>
      </c>
      <c r="U121" s="486">
        <v>0</v>
      </c>
      <c r="V121" s="486">
        <f>SUM(S121:U121)</f>
        <v>0</v>
      </c>
      <c r="W121" s="486">
        <v>0</v>
      </c>
      <c r="X121" s="486">
        <v>0</v>
      </c>
      <c r="Y121" s="486">
        <f>SUM(W121:X121)</f>
        <v>0</v>
      </c>
      <c r="Z121" s="486">
        <f>V121+Y121</f>
        <v>0</v>
      </c>
      <c r="AA121" s="319">
        <f>ROUND((V121+W121)*33.8%,0)</f>
        <v>0</v>
      </c>
      <c r="AB121" s="178">
        <f>ROUND(V121*2%,0)</f>
        <v>0</v>
      </c>
      <c r="AC121" s="486">
        <v>0</v>
      </c>
      <c r="AD121" s="486">
        <v>0</v>
      </c>
      <c r="AE121" s="486">
        <f t="shared" si="141"/>
        <v>0</v>
      </c>
      <c r="AF121" s="486">
        <f t="shared" si="142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ref="AL121:AL125" si="208">AG121+AI121+AJ121</f>
        <v>0</v>
      </c>
      <c r="AM121" s="501">
        <f t="shared" ref="AM121:AM125" si="209">AH121+AK121</f>
        <v>0</v>
      </c>
      <c r="AN121" s="529">
        <f t="shared" si="143"/>
        <v>0</v>
      </c>
      <c r="AO121" s="530">
        <f>I121+AF121</f>
        <v>35150442</v>
      </c>
      <c r="AP121" s="486">
        <f>J121+V121</f>
        <v>24761270</v>
      </c>
      <c r="AQ121" s="480">
        <f>K121+Y121</f>
        <v>160576</v>
      </c>
      <c r="AR121" s="480">
        <f>L121</f>
        <v>90576</v>
      </c>
      <c r="AS121" s="486">
        <f t="shared" ref="AS121:AT125" si="210">M121+AA121</f>
        <v>8392970</v>
      </c>
      <c r="AT121" s="486">
        <f t="shared" si="210"/>
        <v>495226</v>
      </c>
      <c r="AU121" s="486">
        <f>O121+AE121</f>
        <v>1340400</v>
      </c>
      <c r="AV121" s="501">
        <f>P121+AN121</f>
        <v>47.683099999999996</v>
      </c>
      <c r="AW121" s="501">
        <f t="shared" ref="AW121:AX125" si="211">Q121+AL121</f>
        <v>36.43</v>
      </c>
      <c r="AX121" s="502">
        <f t="shared" si="211"/>
        <v>11.2531</v>
      </c>
    </row>
    <row r="122" spans="1:50" ht="12.95" customHeight="1" x14ac:dyDescent="0.25">
      <c r="A122" s="154">
        <v>23</v>
      </c>
      <c r="B122" s="526">
        <v>5422</v>
      </c>
      <c r="C122" s="527">
        <v>600099181</v>
      </c>
      <c r="D122" s="83">
        <v>854751</v>
      </c>
      <c r="E122" s="528" t="s">
        <v>419</v>
      </c>
      <c r="F122" s="83">
        <v>3113</v>
      </c>
      <c r="G122" s="528" t="s">
        <v>325</v>
      </c>
      <c r="H122" s="493" t="s">
        <v>284</v>
      </c>
      <c r="I122" s="495">
        <v>1652490</v>
      </c>
      <c r="J122" s="496">
        <v>1199477</v>
      </c>
      <c r="K122" s="496">
        <v>0</v>
      </c>
      <c r="L122" s="496">
        <v>0</v>
      </c>
      <c r="M122" s="411">
        <v>405423</v>
      </c>
      <c r="N122" s="411">
        <v>23990</v>
      </c>
      <c r="O122" s="496">
        <v>23600</v>
      </c>
      <c r="P122" s="497">
        <v>3.58</v>
      </c>
      <c r="Q122" s="412">
        <v>3.58</v>
      </c>
      <c r="R122" s="498">
        <v>0</v>
      </c>
      <c r="S122" s="479">
        <f t="shared" si="207"/>
        <v>0</v>
      </c>
      <c r="T122" s="486">
        <v>0</v>
      </c>
      <c r="U122" s="486">
        <v>0</v>
      </c>
      <c r="V122" s="486">
        <f>SUM(S122:U122)</f>
        <v>0</v>
      </c>
      <c r="W122" s="486">
        <v>0</v>
      </c>
      <c r="X122" s="486">
        <v>0</v>
      </c>
      <c r="Y122" s="486">
        <f>SUM(W122:X122)</f>
        <v>0</v>
      </c>
      <c r="Z122" s="486">
        <f>V122+Y122</f>
        <v>0</v>
      </c>
      <c r="AA122" s="319">
        <f>ROUND((V122+W122)*33.8%,0)</f>
        <v>0</v>
      </c>
      <c r="AB122" s="178">
        <f>ROUND(V122*2%,0)</f>
        <v>0</v>
      </c>
      <c r="AC122" s="486">
        <v>0</v>
      </c>
      <c r="AD122" s="486">
        <v>0</v>
      </c>
      <c r="AE122" s="486">
        <f t="shared" si="141"/>
        <v>0</v>
      </c>
      <c r="AF122" s="486">
        <f t="shared" si="142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208"/>
        <v>0</v>
      </c>
      <c r="AM122" s="501">
        <f t="shared" si="209"/>
        <v>0</v>
      </c>
      <c r="AN122" s="529">
        <f t="shared" si="143"/>
        <v>0</v>
      </c>
      <c r="AO122" s="530">
        <f>I122+AF122</f>
        <v>1652490</v>
      </c>
      <c r="AP122" s="486">
        <f>J122+V122</f>
        <v>1199477</v>
      </c>
      <c r="AQ122" s="480">
        <f>K122+Y122</f>
        <v>0</v>
      </c>
      <c r="AR122" s="480">
        <f>L122</f>
        <v>0</v>
      </c>
      <c r="AS122" s="486">
        <f t="shared" si="210"/>
        <v>405423</v>
      </c>
      <c r="AT122" s="486">
        <f t="shared" si="210"/>
        <v>23990</v>
      </c>
      <c r="AU122" s="486">
        <f>O122+AE122</f>
        <v>23600</v>
      </c>
      <c r="AV122" s="501">
        <f>P122+AN122</f>
        <v>3.58</v>
      </c>
      <c r="AW122" s="501">
        <f t="shared" si="211"/>
        <v>3.58</v>
      </c>
      <c r="AX122" s="502">
        <f t="shared" si="211"/>
        <v>0</v>
      </c>
    </row>
    <row r="123" spans="1:50" ht="12.95" customHeight="1" x14ac:dyDescent="0.25">
      <c r="A123" s="154">
        <v>23</v>
      </c>
      <c r="B123" s="526">
        <v>5422</v>
      </c>
      <c r="C123" s="527">
        <v>600099181</v>
      </c>
      <c r="D123" s="83">
        <v>854751</v>
      </c>
      <c r="E123" s="528" t="s">
        <v>419</v>
      </c>
      <c r="F123" s="83">
        <v>3141</v>
      </c>
      <c r="G123" s="528" t="s">
        <v>321</v>
      </c>
      <c r="H123" s="493" t="s">
        <v>284</v>
      </c>
      <c r="I123" s="495">
        <v>3413517</v>
      </c>
      <c r="J123" s="496">
        <v>2468048</v>
      </c>
      <c r="K123" s="496">
        <v>20000</v>
      </c>
      <c r="L123" s="496">
        <v>0</v>
      </c>
      <c r="M123" s="411">
        <v>840960</v>
      </c>
      <c r="N123" s="411">
        <v>49361</v>
      </c>
      <c r="O123" s="496">
        <v>35148</v>
      </c>
      <c r="P123" s="497">
        <v>8.4599999999999991</v>
      </c>
      <c r="Q123" s="412">
        <v>0</v>
      </c>
      <c r="R123" s="498">
        <v>8.4599999999999991</v>
      </c>
      <c r="S123" s="479">
        <f t="shared" si="207"/>
        <v>0</v>
      </c>
      <c r="T123" s="486">
        <v>0</v>
      </c>
      <c r="U123" s="486">
        <v>0</v>
      </c>
      <c r="V123" s="486">
        <f>SUM(S123:U123)</f>
        <v>0</v>
      </c>
      <c r="W123" s="486">
        <v>0</v>
      </c>
      <c r="X123" s="486">
        <v>0</v>
      </c>
      <c r="Y123" s="486">
        <f>SUM(W123:X123)</f>
        <v>0</v>
      </c>
      <c r="Z123" s="486">
        <f>V123+Y123</f>
        <v>0</v>
      </c>
      <c r="AA123" s="319">
        <f>ROUND((V123+W123)*33.8%,0)</f>
        <v>0</v>
      </c>
      <c r="AB123" s="178">
        <f>ROUND(V123*2%,0)</f>
        <v>0</v>
      </c>
      <c r="AC123" s="486">
        <v>0</v>
      </c>
      <c r="AD123" s="486">
        <v>0</v>
      </c>
      <c r="AE123" s="486">
        <f t="shared" si="141"/>
        <v>0</v>
      </c>
      <c r="AF123" s="486">
        <f t="shared" si="142"/>
        <v>0</v>
      </c>
      <c r="AG123" s="501">
        <v>0</v>
      </c>
      <c r="AH123" s="501">
        <v>0</v>
      </c>
      <c r="AI123" s="501">
        <v>0</v>
      </c>
      <c r="AJ123" s="501">
        <v>0</v>
      </c>
      <c r="AK123" s="501">
        <v>0</v>
      </c>
      <c r="AL123" s="501">
        <f t="shared" si="208"/>
        <v>0</v>
      </c>
      <c r="AM123" s="501">
        <f t="shared" si="209"/>
        <v>0</v>
      </c>
      <c r="AN123" s="529">
        <f t="shared" si="143"/>
        <v>0</v>
      </c>
      <c r="AO123" s="530">
        <f>I123+AF123</f>
        <v>3413517</v>
      </c>
      <c r="AP123" s="486">
        <f>J123+V123</f>
        <v>2468048</v>
      </c>
      <c r="AQ123" s="480">
        <f>K123+Y123</f>
        <v>20000</v>
      </c>
      <c r="AR123" s="480">
        <f>L123</f>
        <v>0</v>
      </c>
      <c r="AS123" s="486">
        <f t="shared" si="210"/>
        <v>840960</v>
      </c>
      <c r="AT123" s="486">
        <f t="shared" si="210"/>
        <v>49361</v>
      </c>
      <c r="AU123" s="486">
        <f>O123+AE123</f>
        <v>35148</v>
      </c>
      <c r="AV123" s="501">
        <f>P123+AN123</f>
        <v>8.4599999999999991</v>
      </c>
      <c r="AW123" s="501">
        <f t="shared" si="211"/>
        <v>0</v>
      </c>
      <c r="AX123" s="502">
        <f t="shared" si="211"/>
        <v>8.4599999999999991</v>
      </c>
    </row>
    <row r="124" spans="1:50" ht="12.95" customHeight="1" x14ac:dyDescent="0.25">
      <c r="A124" s="154">
        <v>23</v>
      </c>
      <c r="B124" s="526">
        <v>5422</v>
      </c>
      <c r="C124" s="527">
        <v>600099181</v>
      </c>
      <c r="D124" s="83">
        <v>854751</v>
      </c>
      <c r="E124" s="528" t="s">
        <v>419</v>
      </c>
      <c r="F124" s="83">
        <v>3143</v>
      </c>
      <c r="G124" s="528" t="s">
        <v>634</v>
      </c>
      <c r="H124" s="493" t="s">
        <v>283</v>
      </c>
      <c r="I124" s="495">
        <v>2146621</v>
      </c>
      <c r="J124" s="496">
        <v>1580723</v>
      </c>
      <c r="K124" s="496">
        <v>0</v>
      </c>
      <c r="L124" s="496">
        <v>0</v>
      </c>
      <c r="M124" s="411">
        <v>534284</v>
      </c>
      <c r="N124" s="411">
        <v>31614</v>
      </c>
      <c r="O124" s="496">
        <v>0</v>
      </c>
      <c r="P124" s="497">
        <v>3.4821</v>
      </c>
      <c r="Q124" s="412">
        <v>3.4821</v>
      </c>
      <c r="R124" s="498">
        <v>0</v>
      </c>
      <c r="S124" s="479">
        <f t="shared" si="207"/>
        <v>0</v>
      </c>
      <c r="T124" s="486">
        <v>0</v>
      </c>
      <c r="U124" s="486">
        <v>0</v>
      </c>
      <c r="V124" s="486">
        <f>SUM(S124:U124)</f>
        <v>0</v>
      </c>
      <c r="W124" s="486">
        <v>0</v>
      </c>
      <c r="X124" s="486">
        <v>0</v>
      </c>
      <c r="Y124" s="486">
        <f>SUM(W124:X124)</f>
        <v>0</v>
      </c>
      <c r="Z124" s="486">
        <f>V124+Y124</f>
        <v>0</v>
      </c>
      <c r="AA124" s="319">
        <f>ROUND((V124+W124)*33.8%,0)</f>
        <v>0</v>
      </c>
      <c r="AB124" s="178">
        <f>ROUND(V124*2%,0)</f>
        <v>0</v>
      </c>
      <c r="AC124" s="486">
        <v>0</v>
      </c>
      <c r="AD124" s="486">
        <v>0</v>
      </c>
      <c r="AE124" s="486">
        <f t="shared" si="141"/>
        <v>0</v>
      </c>
      <c r="AF124" s="486">
        <f t="shared" si="142"/>
        <v>0</v>
      </c>
      <c r="AG124" s="501">
        <v>0</v>
      </c>
      <c r="AH124" s="501">
        <v>0</v>
      </c>
      <c r="AI124" s="501">
        <v>0</v>
      </c>
      <c r="AJ124" s="501">
        <v>0</v>
      </c>
      <c r="AK124" s="501">
        <v>0</v>
      </c>
      <c r="AL124" s="501">
        <f t="shared" si="208"/>
        <v>0</v>
      </c>
      <c r="AM124" s="501">
        <f t="shared" si="209"/>
        <v>0</v>
      </c>
      <c r="AN124" s="529">
        <f t="shared" si="143"/>
        <v>0</v>
      </c>
      <c r="AO124" s="530">
        <f>I124+AF124</f>
        <v>2146621</v>
      </c>
      <c r="AP124" s="486">
        <f>J124+V124</f>
        <v>1580723</v>
      </c>
      <c r="AQ124" s="480">
        <f>K124+Y124</f>
        <v>0</v>
      </c>
      <c r="AR124" s="480">
        <f>L124</f>
        <v>0</v>
      </c>
      <c r="AS124" s="486">
        <f t="shared" si="210"/>
        <v>534284</v>
      </c>
      <c r="AT124" s="486">
        <f t="shared" si="210"/>
        <v>31614</v>
      </c>
      <c r="AU124" s="486">
        <f>O124+AE124</f>
        <v>0</v>
      </c>
      <c r="AV124" s="501">
        <f>P124+AN124</f>
        <v>3.4821</v>
      </c>
      <c r="AW124" s="501">
        <f t="shared" si="211"/>
        <v>3.4821</v>
      </c>
      <c r="AX124" s="502">
        <f t="shared" si="211"/>
        <v>0</v>
      </c>
    </row>
    <row r="125" spans="1:50" ht="12.95" customHeight="1" x14ac:dyDescent="0.25">
      <c r="A125" s="154">
        <v>23</v>
      </c>
      <c r="B125" s="526">
        <v>5422</v>
      </c>
      <c r="C125" s="527">
        <v>600099181</v>
      </c>
      <c r="D125" s="83">
        <v>854751</v>
      </c>
      <c r="E125" s="528" t="s">
        <v>419</v>
      </c>
      <c r="F125" s="83">
        <v>3143</v>
      </c>
      <c r="G125" s="528" t="s">
        <v>635</v>
      </c>
      <c r="H125" s="493" t="s">
        <v>284</v>
      </c>
      <c r="I125" s="495">
        <v>78648</v>
      </c>
      <c r="J125" s="496">
        <v>55440</v>
      </c>
      <c r="K125" s="496">
        <v>0</v>
      </c>
      <c r="L125" s="496">
        <v>0</v>
      </c>
      <c r="M125" s="411">
        <v>18739</v>
      </c>
      <c r="N125" s="411">
        <v>1109</v>
      </c>
      <c r="O125" s="496">
        <v>3360</v>
      </c>
      <c r="P125" s="497">
        <v>0.23</v>
      </c>
      <c r="Q125" s="412">
        <v>0</v>
      </c>
      <c r="R125" s="498">
        <v>0.23</v>
      </c>
      <c r="S125" s="479">
        <f t="shared" si="207"/>
        <v>0</v>
      </c>
      <c r="T125" s="486">
        <v>0</v>
      </c>
      <c r="U125" s="486">
        <v>0</v>
      </c>
      <c r="V125" s="486">
        <f>SUM(S125:U125)</f>
        <v>0</v>
      </c>
      <c r="W125" s="486">
        <v>0</v>
      </c>
      <c r="X125" s="486">
        <v>0</v>
      </c>
      <c r="Y125" s="486">
        <f>SUM(W125:X125)</f>
        <v>0</v>
      </c>
      <c r="Z125" s="486">
        <f>V125+Y125</f>
        <v>0</v>
      </c>
      <c r="AA125" s="319">
        <f>ROUND((V125+W125)*33.8%,0)</f>
        <v>0</v>
      </c>
      <c r="AB125" s="178">
        <f>ROUND(V125*2%,0)</f>
        <v>0</v>
      </c>
      <c r="AC125" s="486">
        <v>0</v>
      </c>
      <c r="AD125" s="486">
        <v>0</v>
      </c>
      <c r="AE125" s="486">
        <f t="shared" si="141"/>
        <v>0</v>
      </c>
      <c r="AF125" s="486">
        <f t="shared" si="142"/>
        <v>0</v>
      </c>
      <c r="AG125" s="501">
        <v>0</v>
      </c>
      <c r="AH125" s="501">
        <v>0</v>
      </c>
      <c r="AI125" s="501">
        <v>0</v>
      </c>
      <c r="AJ125" s="501">
        <v>0</v>
      </c>
      <c r="AK125" s="501">
        <v>0</v>
      </c>
      <c r="AL125" s="501">
        <f t="shared" si="208"/>
        <v>0</v>
      </c>
      <c r="AM125" s="501">
        <f t="shared" si="209"/>
        <v>0</v>
      </c>
      <c r="AN125" s="529">
        <f t="shared" si="143"/>
        <v>0</v>
      </c>
      <c r="AO125" s="530">
        <f>I125+AF125</f>
        <v>78648</v>
      </c>
      <c r="AP125" s="486">
        <f>J125+V125</f>
        <v>55440</v>
      </c>
      <c r="AQ125" s="480">
        <f>K125+Y125</f>
        <v>0</v>
      </c>
      <c r="AR125" s="480">
        <f>L125</f>
        <v>0</v>
      </c>
      <c r="AS125" s="486">
        <f t="shared" si="210"/>
        <v>18739</v>
      </c>
      <c r="AT125" s="486">
        <f t="shared" si="210"/>
        <v>1109</v>
      </c>
      <c r="AU125" s="486">
        <f>O125+AE125</f>
        <v>3360</v>
      </c>
      <c r="AV125" s="501">
        <f>P125+AN125</f>
        <v>0.23</v>
      </c>
      <c r="AW125" s="501">
        <f t="shared" si="211"/>
        <v>0</v>
      </c>
      <c r="AX125" s="502">
        <f t="shared" si="211"/>
        <v>0.23</v>
      </c>
    </row>
    <row r="126" spans="1:50" ht="12.95" customHeight="1" x14ac:dyDescent="0.25">
      <c r="A126" s="156">
        <v>23</v>
      </c>
      <c r="B126" s="104">
        <v>5422</v>
      </c>
      <c r="C126" s="105">
        <v>600099181</v>
      </c>
      <c r="D126" s="104">
        <v>854751</v>
      </c>
      <c r="E126" s="298" t="s">
        <v>420</v>
      </c>
      <c r="F126" s="92"/>
      <c r="G126" s="299"/>
      <c r="H126" s="93"/>
      <c r="I126" s="294">
        <v>42441718</v>
      </c>
      <c r="J126" s="106">
        <v>30064958</v>
      </c>
      <c r="K126" s="106">
        <v>180576</v>
      </c>
      <c r="L126" s="106">
        <v>90576</v>
      </c>
      <c r="M126" s="106">
        <v>10192376</v>
      </c>
      <c r="N126" s="106">
        <v>601300</v>
      </c>
      <c r="O126" s="106">
        <v>1402508</v>
      </c>
      <c r="P126" s="157">
        <v>63.435199999999995</v>
      </c>
      <c r="Q126" s="157">
        <v>43.492100000000001</v>
      </c>
      <c r="R126" s="296">
        <v>19.943099999999998</v>
      </c>
      <c r="S126" s="149">
        <f t="shared" ref="S126:AN126" si="212">SUM(S121:S125)</f>
        <v>0</v>
      </c>
      <c r="T126" s="106">
        <f t="shared" si="212"/>
        <v>0</v>
      </c>
      <c r="U126" s="106">
        <f t="shared" si="212"/>
        <v>0</v>
      </c>
      <c r="V126" s="106">
        <f t="shared" si="212"/>
        <v>0</v>
      </c>
      <c r="W126" s="106">
        <f t="shared" si="212"/>
        <v>0</v>
      </c>
      <c r="X126" s="106">
        <f t="shared" si="212"/>
        <v>0</v>
      </c>
      <c r="Y126" s="106">
        <f t="shared" si="212"/>
        <v>0</v>
      </c>
      <c r="Z126" s="106">
        <f t="shared" si="212"/>
        <v>0</v>
      </c>
      <c r="AA126" s="106">
        <f t="shared" si="212"/>
        <v>0</v>
      </c>
      <c r="AB126" s="106">
        <f t="shared" si="212"/>
        <v>0</v>
      </c>
      <c r="AC126" s="106">
        <f t="shared" si="212"/>
        <v>0</v>
      </c>
      <c r="AD126" s="106">
        <f t="shared" si="212"/>
        <v>0</v>
      </c>
      <c r="AE126" s="106">
        <f t="shared" si="212"/>
        <v>0</v>
      </c>
      <c r="AF126" s="106">
        <f t="shared" si="212"/>
        <v>0</v>
      </c>
      <c r="AG126" s="157">
        <f t="shared" si="212"/>
        <v>0</v>
      </c>
      <c r="AH126" s="157">
        <f t="shared" si="212"/>
        <v>0</v>
      </c>
      <c r="AI126" s="157">
        <f t="shared" si="212"/>
        <v>0</v>
      </c>
      <c r="AJ126" s="157">
        <f t="shared" si="212"/>
        <v>0</v>
      </c>
      <c r="AK126" s="157">
        <f t="shared" si="212"/>
        <v>0</v>
      </c>
      <c r="AL126" s="157">
        <f t="shared" si="212"/>
        <v>0</v>
      </c>
      <c r="AM126" s="157">
        <f t="shared" si="212"/>
        <v>0</v>
      </c>
      <c r="AN126" s="409">
        <f t="shared" si="212"/>
        <v>0</v>
      </c>
      <c r="AO126" s="294">
        <f t="shared" ref="AO126:AX126" si="213">SUM(AO121:AO125)</f>
        <v>42441718</v>
      </c>
      <c r="AP126" s="106">
        <f t="shared" si="213"/>
        <v>30064958</v>
      </c>
      <c r="AQ126" s="106">
        <f t="shared" si="213"/>
        <v>180576</v>
      </c>
      <c r="AR126" s="106">
        <f t="shared" si="213"/>
        <v>90576</v>
      </c>
      <c r="AS126" s="106">
        <f t="shared" si="213"/>
        <v>10192376</v>
      </c>
      <c r="AT126" s="106">
        <f t="shared" si="213"/>
        <v>601300</v>
      </c>
      <c r="AU126" s="106">
        <f t="shared" si="213"/>
        <v>1402508</v>
      </c>
      <c r="AV126" s="157">
        <f t="shared" si="213"/>
        <v>63.435199999999995</v>
      </c>
      <c r="AW126" s="157">
        <f t="shared" si="213"/>
        <v>43.492100000000001</v>
      </c>
      <c r="AX126" s="296">
        <f t="shared" si="213"/>
        <v>19.943099999999998</v>
      </c>
    </row>
    <row r="127" spans="1:50" ht="12.95" customHeight="1" x14ac:dyDescent="0.25">
      <c r="A127" s="154">
        <v>24</v>
      </c>
      <c r="B127" s="526">
        <v>5424</v>
      </c>
      <c r="C127" s="527">
        <v>600099431</v>
      </c>
      <c r="D127" s="83">
        <v>72742372</v>
      </c>
      <c r="E127" s="528" t="s">
        <v>421</v>
      </c>
      <c r="F127" s="83">
        <v>3114</v>
      </c>
      <c r="G127" s="531" t="s">
        <v>564</v>
      </c>
      <c r="H127" s="493" t="s">
        <v>283</v>
      </c>
      <c r="I127" s="495">
        <v>3826440</v>
      </c>
      <c r="J127" s="496">
        <v>2729540</v>
      </c>
      <c r="K127" s="496">
        <v>54316</v>
      </c>
      <c r="L127" s="496">
        <v>2516</v>
      </c>
      <c r="M127" s="411">
        <v>940093</v>
      </c>
      <c r="N127" s="411">
        <v>54591</v>
      </c>
      <c r="O127" s="496">
        <v>47900</v>
      </c>
      <c r="P127" s="497">
        <v>5.3888999999999996</v>
      </c>
      <c r="Q127" s="412">
        <v>3.7273000000000001</v>
      </c>
      <c r="R127" s="498">
        <v>1.6616</v>
      </c>
      <c r="S127" s="479">
        <f t="shared" ref="S127:S128" si="214">W127*-1</f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319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 t="shared" si="141"/>
        <v>0</v>
      </c>
      <c r="AF127" s="486">
        <f t="shared" si="142"/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ref="AL127:AL128" si="215">AG127+AI127+AJ127</f>
        <v>0</v>
      </c>
      <c r="AM127" s="501">
        <f t="shared" ref="AM127:AM128" si="216">AH127+AK127</f>
        <v>0</v>
      </c>
      <c r="AN127" s="529">
        <f t="shared" si="143"/>
        <v>0</v>
      </c>
      <c r="AO127" s="530">
        <f>I127+AF127</f>
        <v>3826440</v>
      </c>
      <c r="AP127" s="486">
        <f>J127+V127</f>
        <v>2729540</v>
      </c>
      <c r="AQ127" s="480">
        <f>K127+Y127</f>
        <v>54316</v>
      </c>
      <c r="AR127" s="480">
        <f>L127</f>
        <v>2516</v>
      </c>
      <c r="AS127" s="486">
        <f>M127+AA127</f>
        <v>940093</v>
      </c>
      <c r="AT127" s="486">
        <f>N127+AB127</f>
        <v>54591</v>
      </c>
      <c r="AU127" s="486">
        <f>O127+AE127</f>
        <v>47900</v>
      </c>
      <c r="AV127" s="501">
        <f>P127+AN127</f>
        <v>5.3888999999999996</v>
      </c>
      <c r="AW127" s="501">
        <f>Q127+AL127</f>
        <v>3.7273000000000001</v>
      </c>
      <c r="AX127" s="502">
        <f>R127+AM127</f>
        <v>1.6616</v>
      </c>
    </row>
    <row r="128" spans="1:50" ht="12.95" customHeight="1" x14ac:dyDescent="0.25">
      <c r="A128" s="154">
        <v>24</v>
      </c>
      <c r="B128" s="526">
        <v>5424</v>
      </c>
      <c r="C128" s="527">
        <v>600099431</v>
      </c>
      <c r="D128" s="83">
        <v>72742372</v>
      </c>
      <c r="E128" s="528" t="s">
        <v>421</v>
      </c>
      <c r="F128" s="83">
        <v>3114</v>
      </c>
      <c r="G128" s="531" t="s">
        <v>319</v>
      </c>
      <c r="H128" s="493" t="s">
        <v>283</v>
      </c>
      <c r="I128" s="495">
        <v>506903</v>
      </c>
      <c r="J128" s="496">
        <v>373272</v>
      </c>
      <c r="K128" s="496">
        <v>0</v>
      </c>
      <c r="L128" s="496">
        <v>0</v>
      </c>
      <c r="M128" s="411">
        <v>126166</v>
      </c>
      <c r="N128" s="411">
        <v>7465</v>
      </c>
      <c r="O128" s="496">
        <v>0</v>
      </c>
      <c r="P128" s="497">
        <v>1</v>
      </c>
      <c r="Q128" s="412">
        <v>1</v>
      </c>
      <c r="R128" s="498">
        <v>0</v>
      </c>
      <c r="S128" s="479">
        <f t="shared" si="214"/>
        <v>0</v>
      </c>
      <c r="T128" s="486">
        <v>0</v>
      </c>
      <c r="U128" s="486">
        <v>0</v>
      </c>
      <c r="V128" s="486">
        <f>SUM(S128:U128)</f>
        <v>0</v>
      </c>
      <c r="W128" s="486">
        <v>0</v>
      </c>
      <c r="X128" s="486">
        <v>0</v>
      </c>
      <c r="Y128" s="486">
        <f>SUM(W128:X128)</f>
        <v>0</v>
      </c>
      <c r="Z128" s="486">
        <f>V128+Y128</f>
        <v>0</v>
      </c>
      <c r="AA128" s="319">
        <f>ROUND((V128+W128)*33.8%,0)</f>
        <v>0</v>
      </c>
      <c r="AB128" s="178">
        <f>ROUND(V128*2%,0)</f>
        <v>0</v>
      </c>
      <c r="AC128" s="486">
        <v>0</v>
      </c>
      <c r="AD128" s="486">
        <v>0</v>
      </c>
      <c r="AE128" s="486">
        <f t="shared" si="141"/>
        <v>0</v>
      </c>
      <c r="AF128" s="486">
        <f t="shared" si="142"/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si="215"/>
        <v>0</v>
      </c>
      <c r="AM128" s="501">
        <f t="shared" si="216"/>
        <v>0</v>
      </c>
      <c r="AN128" s="529">
        <f t="shared" si="143"/>
        <v>0</v>
      </c>
      <c r="AO128" s="530">
        <f>I128+AF128</f>
        <v>506903</v>
      </c>
      <c r="AP128" s="486">
        <f>J128+V128</f>
        <v>373272</v>
      </c>
      <c r="AQ128" s="480">
        <f>K128+Y128</f>
        <v>0</v>
      </c>
      <c r="AR128" s="480">
        <f>L128</f>
        <v>0</v>
      </c>
      <c r="AS128" s="486">
        <f>M128+AA128</f>
        <v>126166</v>
      </c>
      <c r="AT128" s="486">
        <f>N128+AB128</f>
        <v>7465</v>
      </c>
      <c r="AU128" s="486">
        <f>O128+AE128</f>
        <v>0</v>
      </c>
      <c r="AV128" s="501">
        <f>P128+AN128</f>
        <v>1</v>
      </c>
      <c r="AW128" s="501">
        <f>Q128+AL128</f>
        <v>1</v>
      </c>
      <c r="AX128" s="502">
        <f>R128+AM128</f>
        <v>0</v>
      </c>
    </row>
    <row r="129" spans="1:50" ht="12.95" customHeight="1" x14ac:dyDescent="0.25">
      <c r="A129" s="156">
        <v>24</v>
      </c>
      <c r="B129" s="104">
        <v>5424</v>
      </c>
      <c r="C129" s="105">
        <v>600099431</v>
      </c>
      <c r="D129" s="104">
        <v>72742372</v>
      </c>
      <c r="E129" s="298" t="s">
        <v>422</v>
      </c>
      <c r="F129" s="92"/>
      <c r="G129" s="299"/>
      <c r="H129" s="93"/>
      <c r="I129" s="294">
        <v>4333343</v>
      </c>
      <c r="J129" s="106">
        <v>3102812</v>
      </c>
      <c r="K129" s="106">
        <v>54316</v>
      </c>
      <c r="L129" s="106">
        <v>2516</v>
      </c>
      <c r="M129" s="106">
        <v>1066259</v>
      </c>
      <c r="N129" s="106">
        <v>62056</v>
      </c>
      <c r="O129" s="106">
        <v>47900</v>
      </c>
      <c r="P129" s="157">
        <v>6.3888999999999996</v>
      </c>
      <c r="Q129" s="157">
        <v>4.7272999999999996</v>
      </c>
      <c r="R129" s="296">
        <v>1.6616</v>
      </c>
      <c r="S129" s="149">
        <f t="shared" ref="S129:AN129" si="217">SUM(S127:S128)</f>
        <v>0</v>
      </c>
      <c r="T129" s="106">
        <f t="shared" si="217"/>
        <v>0</v>
      </c>
      <c r="U129" s="106">
        <f t="shared" si="217"/>
        <v>0</v>
      </c>
      <c r="V129" s="106">
        <f t="shared" si="217"/>
        <v>0</v>
      </c>
      <c r="W129" s="106">
        <f t="shared" si="217"/>
        <v>0</v>
      </c>
      <c r="X129" s="106">
        <f t="shared" si="217"/>
        <v>0</v>
      </c>
      <c r="Y129" s="106">
        <f t="shared" si="217"/>
        <v>0</v>
      </c>
      <c r="Z129" s="106">
        <f t="shared" si="217"/>
        <v>0</v>
      </c>
      <c r="AA129" s="106">
        <f t="shared" si="217"/>
        <v>0</v>
      </c>
      <c r="AB129" s="106">
        <f t="shared" si="217"/>
        <v>0</v>
      </c>
      <c r="AC129" s="106">
        <f t="shared" si="217"/>
        <v>0</v>
      </c>
      <c r="AD129" s="106">
        <f t="shared" si="217"/>
        <v>0</v>
      </c>
      <c r="AE129" s="106">
        <f t="shared" si="217"/>
        <v>0</v>
      </c>
      <c r="AF129" s="106">
        <f t="shared" si="217"/>
        <v>0</v>
      </c>
      <c r="AG129" s="157">
        <f t="shared" si="217"/>
        <v>0</v>
      </c>
      <c r="AH129" s="157">
        <f t="shared" si="217"/>
        <v>0</v>
      </c>
      <c r="AI129" s="157">
        <f t="shared" si="217"/>
        <v>0</v>
      </c>
      <c r="AJ129" s="157">
        <f t="shared" si="217"/>
        <v>0</v>
      </c>
      <c r="AK129" s="157">
        <f t="shared" si="217"/>
        <v>0</v>
      </c>
      <c r="AL129" s="157">
        <f t="shared" si="217"/>
        <v>0</v>
      </c>
      <c r="AM129" s="157">
        <f t="shared" si="217"/>
        <v>0</v>
      </c>
      <c r="AN129" s="409">
        <f t="shared" si="217"/>
        <v>0</v>
      </c>
      <c r="AO129" s="294">
        <f t="shared" ref="AO129:AX129" si="218">SUM(AO127:AO128)</f>
        <v>4333343</v>
      </c>
      <c r="AP129" s="106">
        <f t="shared" si="218"/>
        <v>3102812</v>
      </c>
      <c r="AQ129" s="106">
        <f t="shared" si="218"/>
        <v>54316</v>
      </c>
      <c r="AR129" s="106">
        <f t="shared" si="218"/>
        <v>2516</v>
      </c>
      <c r="AS129" s="106">
        <f t="shared" si="218"/>
        <v>1066259</v>
      </c>
      <c r="AT129" s="106">
        <f t="shared" si="218"/>
        <v>62056</v>
      </c>
      <c r="AU129" s="106">
        <f t="shared" si="218"/>
        <v>47900</v>
      </c>
      <c r="AV129" s="157">
        <f t="shared" si="218"/>
        <v>6.3888999999999996</v>
      </c>
      <c r="AW129" s="157">
        <f t="shared" si="218"/>
        <v>4.7272999999999996</v>
      </c>
      <c r="AX129" s="296">
        <f t="shared" si="218"/>
        <v>1.6616</v>
      </c>
    </row>
    <row r="130" spans="1:50" ht="12.95" customHeight="1" x14ac:dyDescent="0.25">
      <c r="A130" s="154">
        <v>25</v>
      </c>
      <c r="B130" s="526">
        <v>5427</v>
      </c>
      <c r="C130" s="527">
        <v>600099407</v>
      </c>
      <c r="D130" s="83">
        <v>72742534</v>
      </c>
      <c r="E130" s="528" t="s">
        <v>423</v>
      </c>
      <c r="F130" s="83">
        <v>3231</v>
      </c>
      <c r="G130" s="528" t="s">
        <v>424</v>
      </c>
      <c r="H130" s="493" t="s">
        <v>283</v>
      </c>
      <c r="I130" s="495">
        <v>9555798</v>
      </c>
      <c r="J130" s="496">
        <v>7010477</v>
      </c>
      <c r="K130" s="496">
        <v>0</v>
      </c>
      <c r="L130" s="496">
        <v>0</v>
      </c>
      <c r="M130" s="411">
        <v>2369541</v>
      </c>
      <c r="N130" s="411">
        <v>140210</v>
      </c>
      <c r="O130" s="496">
        <v>35570</v>
      </c>
      <c r="P130" s="497">
        <v>13.809700000000001</v>
      </c>
      <c r="Q130" s="412">
        <v>12.197800000000001</v>
      </c>
      <c r="R130" s="498">
        <v>1.6119000000000001</v>
      </c>
      <c r="S130" s="479">
        <f>W130*-1</f>
        <v>0</v>
      </c>
      <c r="T130" s="486">
        <v>0</v>
      </c>
      <c r="U130" s="486">
        <v>0</v>
      </c>
      <c r="V130" s="486">
        <f>SUM(S130:U130)</f>
        <v>0</v>
      </c>
      <c r="W130" s="486">
        <v>0</v>
      </c>
      <c r="X130" s="486">
        <v>0</v>
      </c>
      <c r="Y130" s="486">
        <f>SUM(W130:X130)</f>
        <v>0</v>
      </c>
      <c r="Z130" s="486">
        <f>V130+Y130</f>
        <v>0</v>
      </c>
      <c r="AA130" s="319">
        <f>ROUND((V130+W130)*33.8%,0)</f>
        <v>0</v>
      </c>
      <c r="AB130" s="178">
        <f>ROUND(V130*2%,0)</f>
        <v>0</v>
      </c>
      <c r="AC130" s="486">
        <v>0</v>
      </c>
      <c r="AD130" s="486">
        <v>0</v>
      </c>
      <c r="AE130" s="486">
        <f t="shared" si="141"/>
        <v>0</v>
      </c>
      <c r="AF130" s="486">
        <f t="shared" si="142"/>
        <v>0</v>
      </c>
      <c r="AG130" s="501">
        <v>0</v>
      </c>
      <c r="AH130" s="501">
        <v>0</v>
      </c>
      <c r="AI130" s="501">
        <v>0</v>
      </c>
      <c r="AJ130" s="501">
        <v>0</v>
      </c>
      <c r="AK130" s="501">
        <v>0</v>
      </c>
      <c r="AL130" s="501">
        <f>AG130+AI130+AJ130</f>
        <v>0</v>
      </c>
      <c r="AM130" s="501">
        <f>AH130+AK130</f>
        <v>0</v>
      </c>
      <c r="AN130" s="529">
        <f t="shared" si="143"/>
        <v>0</v>
      </c>
      <c r="AO130" s="530">
        <f>I130+AF130</f>
        <v>9555798</v>
      </c>
      <c r="AP130" s="486">
        <f>J130+V130</f>
        <v>7010477</v>
      </c>
      <c r="AQ130" s="480">
        <f>K130+Y130</f>
        <v>0</v>
      </c>
      <c r="AR130" s="480">
        <f>L130</f>
        <v>0</v>
      </c>
      <c r="AS130" s="486">
        <f>M130+AA130</f>
        <v>2369541</v>
      </c>
      <c r="AT130" s="486">
        <f>N130+AB130</f>
        <v>140210</v>
      </c>
      <c r="AU130" s="486">
        <f>O130+AE130</f>
        <v>35570</v>
      </c>
      <c r="AV130" s="501">
        <f>P130+AN130</f>
        <v>13.809700000000001</v>
      </c>
      <c r="AW130" s="501">
        <f>Q130+AL130</f>
        <v>12.197800000000001</v>
      </c>
      <c r="AX130" s="502">
        <f>R130+AM130</f>
        <v>1.6119000000000001</v>
      </c>
    </row>
    <row r="131" spans="1:50" ht="12.95" customHeight="1" x14ac:dyDescent="0.25">
      <c r="A131" s="154">
        <v>25</v>
      </c>
      <c r="B131" s="526">
        <v>5427</v>
      </c>
      <c r="C131" s="527">
        <v>600099407</v>
      </c>
      <c r="D131" s="83">
        <v>72742534</v>
      </c>
      <c r="E131" s="528" t="s">
        <v>423</v>
      </c>
      <c r="F131" s="83">
        <v>3231</v>
      </c>
      <c r="G131" s="528" t="s">
        <v>325</v>
      </c>
      <c r="H131" s="493" t="s">
        <v>284</v>
      </c>
      <c r="I131" s="495">
        <v>0</v>
      </c>
      <c r="J131" s="496">
        <v>0</v>
      </c>
      <c r="K131" s="496">
        <v>0</v>
      </c>
      <c r="L131" s="496">
        <v>0</v>
      </c>
      <c r="M131" s="411">
        <v>0</v>
      </c>
      <c r="N131" s="411">
        <v>0</v>
      </c>
      <c r="O131" s="496">
        <v>0</v>
      </c>
      <c r="P131" s="497">
        <v>0</v>
      </c>
      <c r="Q131" s="412">
        <v>0</v>
      </c>
      <c r="R131" s="498">
        <v>0</v>
      </c>
      <c r="S131" s="479">
        <f>W131*-1</f>
        <v>0</v>
      </c>
      <c r="T131" s="486">
        <v>7075</v>
      </c>
      <c r="U131" s="486">
        <v>0</v>
      </c>
      <c r="V131" s="486">
        <f>SUM(S131:U131)</f>
        <v>7075</v>
      </c>
      <c r="W131" s="486">
        <v>0</v>
      </c>
      <c r="X131" s="486">
        <v>0</v>
      </c>
      <c r="Y131" s="486">
        <f>SUM(W131:X131)</f>
        <v>0</v>
      </c>
      <c r="Z131" s="486">
        <f>V131+Y131</f>
        <v>7075</v>
      </c>
      <c r="AA131" s="319">
        <f>ROUND((V131+W131)*33.8%,0)</f>
        <v>2391</v>
      </c>
      <c r="AB131" s="178">
        <f>ROUND(V131*2%,0)</f>
        <v>142</v>
      </c>
      <c r="AC131" s="486">
        <v>0</v>
      </c>
      <c r="AD131" s="486">
        <v>0</v>
      </c>
      <c r="AE131" s="486">
        <f t="shared" ref="AE131" si="219">SUM(AC131:AD131)</f>
        <v>0</v>
      </c>
      <c r="AF131" s="486">
        <f t="shared" si="142"/>
        <v>9608</v>
      </c>
      <c r="AG131" s="501">
        <v>0</v>
      </c>
      <c r="AH131" s="501">
        <v>0</v>
      </c>
      <c r="AI131" s="501">
        <v>0.02</v>
      </c>
      <c r="AJ131" s="501">
        <v>0</v>
      </c>
      <c r="AK131" s="501">
        <v>0</v>
      </c>
      <c r="AL131" s="501">
        <f>AG131+AI131+AJ131</f>
        <v>0.02</v>
      </c>
      <c r="AM131" s="501">
        <f>AH131+AK131</f>
        <v>0</v>
      </c>
      <c r="AN131" s="529">
        <f t="shared" ref="AN131" si="220">SUM(AL131:AM131)</f>
        <v>0.02</v>
      </c>
      <c r="AO131" s="530">
        <f>I131+AF131</f>
        <v>9608</v>
      </c>
      <c r="AP131" s="486">
        <f>J131+V131</f>
        <v>7075</v>
      </c>
      <c r="AQ131" s="480">
        <f>K131+Y131</f>
        <v>0</v>
      </c>
      <c r="AR131" s="480">
        <f>L131</f>
        <v>0</v>
      </c>
      <c r="AS131" s="486">
        <f>M131+AA131</f>
        <v>2391</v>
      </c>
      <c r="AT131" s="486">
        <f>N131+AB131</f>
        <v>142</v>
      </c>
      <c r="AU131" s="486">
        <f>O131+AE131</f>
        <v>0</v>
      </c>
      <c r="AV131" s="501">
        <f>P131+AN131</f>
        <v>0.02</v>
      </c>
      <c r="AW131" s="501">
        <f>Q131+AL131</f>
        <v>0.02</v>
      </c>
      <c r="AX131" s="502">
        <f>R131+AM131</f>
        <v>0</v>
      </c>
    </row>
    <row r="132" spans="1:50" ht="12.95" customHeight="1" x14ac:dyDescent="0.25">
      <c r="A132" s="156">
        <v>25</v>
      </c>
      <c r="B132" s="104">
        <v>5427</v>
      </c>
      <c r="C132" s="105">
        <v>600099431</v>
      </c>
      <c r="D132" s="104">
        <v>72742534</v>
      </c>
      <c r="E132" s="298" t="s">
        <v>425</v>
      </c>
      <c r="F132" s="92"/>
      <c r="G132" s="299"/>
      <c r="H132" s="93"/>
      <c r="I132" s="294">
        <v>9555798</v>
      </c>
      <c r="J132" s="106">
        <v>7010477</v>
      </c>
      <c r="K132" s="106">
        <v>0</v>
      </c>
      <c r="L132" s="106">
        <v>0</v>
      </c>
      <c r="M132" s="106">
        <v>2369541</v>
      </c>
      <c r="N132" s="106">
        <v>140210</v>
      </c>
      <c r="O132" s="106">
        <v>35570</v>
      </c>
      <c r="P132" s="157">
        <v>13.809700000000001</v>
      </c>
      <c r="Q132" s="157">
        <v>12.197800000000001</v>
      </c>
      <c r="R132" s="296">
        <v>1.6119000000000001</v>
      </c>
      <c r="S132" s="149">
        <f>SUM(S130:S131)</f>
        <v>0</v>
      </c>
      <c r="T132" s="149">
        <f>SUM(T130:T131)</f>
        <v>7075</v>
      </c>
      <c r="U132" s="149">
        <f t="shared" ref="U132:Z132" si="221">SUM(U130:U131)</f>
        <v>0</v>
      </c>
      <c r="V132" s="149">
        <f t="shared" si="221"/>
        <v>7075</v>
      </c>
      <c r="W132" s="149">
        <f t="shared" si="221"/>
        <v>0</v>
      </c>
      <c r="X132" s="149">
        <f t="shared" si="221"/>
        <v>0</v>
      </c>
      <c r="Y132" s="149">
        <f t="shared" si="221"/>
        <v>0</v>
      </c>
      <c r="Z132" s="149">
        <f t="shared" si="221"/>
        <v>7075</v>
      </c>
      <c r="AA132" s="149">
        <f t="shared" ref="AA132:AN132" si="222">SUM(AA130:AA131)</f>
        <v>2391</v>
      </c>
      <c r="AB132" s="149">
        <f t="shared" si="222"/>
        <v>142</v>
      </c>
      <c r="AC132" s="149">
        <f t="shared" si="222"/>
        <v>0</v>
      </c>
      <c r="AD132" s="149">
        <f t="shared" si="222"/>
        <v>0</v>
      </c>
      <c r="AE132" s="149">
        <f t="shared" si="222"/>
        <v>0</v>
      </c>
      <c r="AF132" s="149">
        <f t="shared" si="222"/>
        <v>9608</v>
      </c>
      <c r="AG132" s="149">
        <f t="shared" si="222"/>
        <v>0</v>
      </c>
      <c r="AH132" s="149">
        <f t="shared" si="222"/>
        <v>0</v>
      </c>
      <c r="AI132" s="149">
        <f t="shared" si="222"/>
        <v>0.02</v>
      </c>
      <c r="AJ132" s="149">
        <f t="shared" si="222"/>
        <v>0</v>
      </c>
      <c r="AK132" s="149">
        <f t="shared" si="222"/>
        <v>0</v>
      </c>
      <c r="AL132" s="149">
        <f t="shared" si="222"/>
        <v>0.02</v>
      </c>
      <c r="AM132" s="149">
        <f t="shared" si="222"/>
        <v>0</v>
      </c>
      <c r="AN132" s="149">
        <f t="shared" si="222"/>
        <v>0.02</v>
      </c>
      <c r="AO132" s="294">
        <f>SUM(AO130:AO131)</f>
        <v>9565406</v>
      </c>
      <c r="AP132" s="106">
        <f>SUM(AP130:AP131)</f>
        <v>7017552</v>
      </c>
      <c r="AQ132" s="106">
        <f t="shared" ref="AQ132:AU132" si="223">SUM(AQ130:AQ131)</f>
        <v>0</v>
      </c>
      <c r="AR132" s="106">
        <f t="shared" si="223"/>
        <v>0</v>
      </c>
      <c r="AS132" s="106">
        <f t="shared" si="223"/>
        <v>2371932</v>
      </c>
      <c r="AT132" s="106">
        <f t="shared" si="223"/>
        <v>140352</v>
      </c>
      <c r="AU132" s="106">
        <f t="shared" si="223"/>
        <v>35570</v>
      </c>
      <c r="AV132" s="157">
        <f>SUM(AV130:AV131)</f>
        <v>13.829700000000001</v>
      </c>
      <c r="AW132" s="157">
        <f t="shared" ref="AW132:AX132" si="224">SUM(AW130:AW131)</f>
        <v>12.2178</v>
      </c>
      <c r="AX132" s="157">
        <f t="shared" si="224"/>
        <v>1.6119000000000001</v>
      </c>
    </row>
    <row r="133" spans="1:50" ht="12.95" customHeight="1" x14ac:dyDescent="0.25">
      <c r="A133" s="154">
        <v>26</v>
      </c>
      <c r="B133" s="526">
        <v>5432</v>
      </c>
      <c r="C133" s="527">
        <v>600099024</v>
      </c>
      <c r="D133" s="83">
        <v>71003819</v>
      </c>
      <c r="E133" s="528" t="s">
        <v>426</v>
      </c>
      <c r="F133" s="83">
        <v>3111</v>
      </c>
      <c r="G133" s="528" t="s">
        <v>331</v>
      </c>
      <c r="H133" s="493" t="s">
        <v>283</v>
      </c>
      <c r="I133" s="495">
        <v>1500137</v>
      </c>
      <c r="J133" s="496">
        <v>1088229</v>
      </c>
      <c r="K133" s="496">
        <v>4650</v>
      </c>
      <c r="L133" s="496">
        <v>0</v>
      </c>
      <c r="M133" s="411">
        <v>369393</v>
      </c>
      <c r="N133" s="411">
        <v>21765</v>
      </c>
      <c r="O133" s="496">
        <v>16100</v>
      </c>
      <c r="P133" s="497">
        <v>2.5108999999999999</v>
      </c>
      <c r="Q133" s="412">
        <v>2</v>
      </c>
      <c r="R133" s="498">
        <v>0.51090000000000002</v>
      </c>
      <c r="S133" s="479">
        <f t="shared" ref="S133:S138" si="225">W133*-1</f>
        <v>0</v>
      </c>
      <c r="T133" s="486">
        <v>0</v>
      </c>
      <c r="U133" s="486">
        <v>0</v>
      </c>
      <c r="V133" s="486">
        <f t="shared" ref="V133:V138" si="226">SUM(S133:U133)</f>
        <v>0</v>
      </c>
      <c r="W133" s="486">
        <v>0</v>
      </c>
      <c r="X133" s="486">
        <v>0</v>
      </c>
      <c r="Y133" s="486">
        <f t="shared" ref="Y133:Y138" si="227">SUM(W133:X133)</f>
        <v>0</v>
      </c>
      <c r="Z133" s="486">
        <f t="shared" ref="Z133:Z138" si="228">V133+Y133</f>
        <v>0</v>
      </c>
      <c r="AA133" s="319">
        <f t="shared" ref="AA133:AA138" si="229">ROUND((V133+W133)*33.8%,0)</f>
        <v>0</v>
      </c>
      <c r="AB133" s="178">
        <f t="shared" ref="AB133:AB138" si="230">ROUND(V133*2%,0)</f>
        <v>0</v>
      </c>
      <c r="AC133" s="486">
        <v>0</v>
      </c>
      <c r="AD133" s="486">
        <v>0</v>
      </c>
      <c r="AE133" s="486">
        <f t="shared" si="141"/>
        <v>0</v>
      </c>
      <c r="AF133" s="486">
        <f t="shared" si="142"/>
        <v>0</v>
      </c>
      <c r="AG133" s="501">
        <v>0</v>
      </c>
      <c r="AH133" s="501">
        <v>0</v>
      </c>
      <c r="AI133" s="501">
        <v>0</v>
      </c>
      <c r="AJ133" s="501">
        <v>0</v>
      </c>
      <c r="AK133" s="501">
        <v>0</v>
      </c>
      <c r="AL133" s="501">
        <f t="shared" ref="AL133:AL138" si="231">AG133+AI133+AJ133</f>
        <v>0</v>
      </c>
      <c r="AM133" s="501">
        <f t="shared" ref="AM133:AM138" si="232">AH133+AK133</f>
        <v>0</v>
      </c>
      <c r="AN133" s="529">
        <f t="shared" si="143"/>
        <v>0</v>
      </c>
      <c r="AO133" s="530">
        <f t="shared" ref="AO133:AO138" si="233">I133+AF133</f>
        <v>1500137</v>
      </c>
      <c r="AP133" s="486">
        <f t="shared" ref="AP133:AP138" si="234">J133+V133</f>
        <v>1088229</v>
      </c>
      <c r="AQ133" s="480">
        <f t="shared" ref="AQ133:AQ138" si="235">K133+Y133</f>
        <v>4650</v>
      </c>
      <c r="AR133" s="480">
        <f t="shared" ref="AR133:AR138" si="236">L133</f>
        <v>0</v>
      </c>
      <c r="AS133" s="486">
        <f t="shared" ref="AS133:AT138" si="237">M133+AA133</f>
        <v>369393</v>
      </c>
      <c r="AT133" s="486">
        <f t="shared" si="237"/>
        <v>21765</v>
      </c>
      <c r="AU133" s="486">
        <f t="shared" ref="AU133:AU138" si="238">O133+AE133</f>
        <v>16100</v>
      </c>
      <c r="AV133" s="501">
        <f t="shared" ref="AV133:AV138" si="239">P133+AN133</f>
        <v>2.5108999999999999</v>
      </c>
      <c r="AW133" s="501">
        <f t="shared" ref="AW133:AX138" si="240">Q133+AL133</f>
        <v>2</v>
      </c>
      <c r="AX133" s="502">
        <f t="shared" si="240"/>
        <v>0.51090000000000002</v>
      </c>
    </row>
    <row r="134" spans="1:50" ht="12.95" customHeight="1" x14ac:dyDescent="0.25">
      <c r="A134" s="154">
        <v>26</v>
      </c>
      <c r="B134" s="526">
        <v>5432</v>
      </c>
      <c r="C134" s="527">
        <v>600099024</v>
      </c>
      <c r="D134" s="83">
        <v>71003819</v>
      </c>
      <c r="E134" s="528" t="s">
        <v>426</v>
      </c>
      <c r="F134" s="83">
        <v>3117</v>
      </c>
      <c r="G134" s="528" t="s">
        <v>320</v>
      </c>
      <c r="H134" s="493" t="s">
        <v>283</v>
      </c>
      <c r="I134" s="495">
        <v>2413151</v>
      </c>
      <c r="J134" s="496">
        <v>1738618</v>
      </c>
      <c r="K134" s="496">
        <v>3668</v>
      </c>
      <c r="L134" s="496">
        <v>2368</v>
      </c>
      <c r="M134" s="411">
        <v>588093</v>
      </c>
      <c r="N134" s="411">
        <v>34772</v>
      </c>
      <c r="O134" s="496">
        <v>48000</v>
      </c>
      <c r="P134" s="497">
        <v>3.5531999999999999</v>
      </c>
      <c r="Q134" s="412">
        <v>2.4380999999999999</v>
      </c>
      <c r="R134" s="498">
        <v>1.1151</v>
      </c>
      <c r="S134" s="479">
        <f t="shared" si="225"/>
        <v>0</v>
      </c>
      <c r="T134" s="486">
        <v>0</v>
      </c>
      <c r="U134" s="486">
        <v>0</v>
      </c>
      <c r="V134" s="486">
        <f t="shared" si="226"/>
        <v>0</v>
      </c>
      <c r="W134" s="486">
        <v>0</v>
      </c>
      <c r="X134" s="486">
        <v>0</v>
      </c>
      <c r="Y134" s="486">
        <f t="shared" si="227"/>
        <v>0</v>
      </c>
      <c r="Z134" s="486">
        <f t="shared" si="228"/>
        <v>0</v>
      </c>
      <c r="AA134" s="319">
        <f t="shared" si="229"/>
        <v>0</v>
      </c>
      <c r="AB134" s="178">
        <f t="shared" si="230"/>
        <v>0</v>
      </c>
      <c r="AC134" s="486">
        <v>0</v>
      </c>
      <c r="AD134" s="486">
        <v>0</v>
      </c>
      <c r="AE134" s="486">
        <f t="shared" si="141"/>
        <v>0</v>
      </c>
      <c r="AF134" s="486">
        <f t="shared" si="142"/>
        <v>0</v>
      </c>
      <c r="AG134" s="501">
        <v>0</v>
      </c>
      <c r="AH134" s="501">
        <v>0</v>
      </c>
      <c r="AI134" s="501">
        <v>0</v>
      </c>
      <c r="AJ134" s="501">
        <v>0</v>
      </c>
      <c r="AK134" s="501">
        <v>0</v>
      </c>
      <c r="AL134" s="501">
        <f t="shared" si="231"/>
        <v>0</v>
      </c>
      <c r="AM134" s="501">
        <f t="shared" si="232"/>
        <v>0</v>
      </c>
      <c r="AN134" s="529">
        <f t="shared" si="143"/>
        <v>0</v>
      </c>
      <c r="AO134" s="530">
        <f t="shared" si="233"/>
        <v>2413151</v>
      </c>
      <c r="AP134" s="486">
        <f t="shared" si="234"/>
        <v>1738618</v>
      </c>
      <c r="AQ134" s="480">
        <f t="shared" si="235"/>
        <v>3668</v>
      </c>
      <c r="AR134" s="480">
        <f t="shared" si="236"/>
        <v>2368</v>
      </c>
      <c r="AS134" s="486">
        <f t="shared" si="237"/>
        <v>588093</v>
      </c>
      <c r="AT134" s="486">
        <f t="shared" si="237"/>
        <v>34772</v>
      </c>
      <c r="AU134" s="486">
        <f t="shared" si="238"/>
        <v>48000</v>
      </c>
      <c r="AV134" s="501">
        <f t="shared" si="239"/>
        <v>3.5531999999999999</v>
      </c>
      <c r="AW134" s="501">
        <f t="shared" si="240"/>
        <v>2.4380999999999999</v>
      </c>
      <c r="AX134" s="502">
        <f t="shared" si="240"/>
        <v>1.1151</v>
      </c>
    </row>
    <row r="135" spans="1:50" ht="12.95" customHeight="1" x14ac:dyDescent="0.25">
      <c r="A135" s="154">
        <v>26</v>
      </c>
      <c r="B135" s="526">
        <v>5432</v>
      </c>
      <c r="C135" s="527">
        <v>600099024</v>
      </c>
      <c r="D135" s="83">
        <v>71003819</v>
      </c>
      <c r="E135" s="528" t="s">
        <v>426</v>
      </c>
      <c r="F135" s="83">
        <v>3117</v>
      </c>
      <c r="G135" s="528" t="s">
        <v>325</v>
      </c>
      <c r="H135" s="493" t="s">
        <v>284</v>
      </c>
      <c r="I135" s="495">
        <v>2567</v>
      </c>
      <c r="J135" s="496">
        <v>1890</v>
      </c>
      <c r="K135" s="496">
        <v>0</v>
      </c>
      <c r="L135" s="496">
        <v>0</v>
      </c>
      <c r="M135" s="411">
        <v>639</v>
      </c>
      <c r="N135" s="411">
        <v>38</v>
      </c>
      <c r="O135" s="496">
        <v>0</v>
      </c>
      <c r="P135" s="497">
        <v>0</v>
      </c>
      <c r="Q135" s="412">
        <v>0</v>
      </c>
      <c r="R135" s="498">
        <v>0</v>
      </c>
      <c r="S135" s="479">
        <f t="shared" si="225"/>
        <v>0</v>
      </c>
      <c r="T135" s="486">
        <v>0</v>
      </c>
      <c r="U135" s="486">
        <v>0</v>
      </c>
      <c r="V135" s="486">
        <f t="shared" si="226"/>
        <v>0</v>
      </c>
      <c r="W135" s="486">
        <v>0</v>
      </c>
      <c r="X135" s="486">
        <v>0</v>
      </c>
      <c r="Y135" s="486">
        <f t="shared" si="227"/>
        <v>0</v>
      </c>
      <c r="Z135" s="486">
        <f t="shared" si="228"/>
        <v>0</v>
      </c>
      <c r="AA135" s="319">
        <f t="shared" si="229"/>
        <v>0</v>
      </c>
      <c r="AB135" s="178">
        <f t="shared" si="230"/>
        <v>0</v>
      </c>
      <c r="AC135" s="486">
        <v>0</v>
      </c>
      <c r="AD135" s="486">
        <v>0</v>
      </c>
      <c r="AE135" s="486">
        <f t="shared" si="141"/>
        <v>0</v>
      </c>
      <c r="AF135" s="486">
        <f t="shared" si="142"/>
        <v>0</v>
      </c>
      <c r="AG135" s="501">
        <v>0</v>
      </c>
      <c r="AH135" s="501">
        <v>0</v>
      </c>
      <c r="AI135" s="501">
        <v>0</v>
      </c>
      <c r="AJ135" s="501">
        <v>0</v>
      </c>
      <c r="AK135" s="501">
        <v>0</v>
      </c>
      <c r="AL135" s="501">
        <f t="shared" si="231"/>
        <v>0</v>
      </c>
      <c r="AM135" s="501">
        <f t="shared" si="232"/>
        <v>0</v>
      </c>
      <c r="AN135" s="529">
        <f t="shared" si="143"/>
        <v>0</v>
      </c>
      <c r="AO135" s="530">
        <f t="shared" si="233"/>
        <v>2567</v>
      </c>
      <c r="AP135" s="486">
        <f t="shared" si="234"/>
        <v>1890</v>
      </c>
      <c r="AQ135" s="480">
        <f t="shared" si="235"/>
        <v>0</v>
      </c>
      <c r="AR135" s="480">
        <f t="shared" si="236"/>
        <v>0</v>
      </c>
      <c r="AS135" s="486">
        <f t="shared" si="237"/>
        <v>639</v>
      </c>
      <c r="AT135" s="486">
        <f t="shared" si="237"/>
        <v>38</v>
      </c>
      <c r="AU135" s="486">
        <f t="shared" si="238"/>
        <v>0</v>
      </c>
      <c r="AV135" s="501">
        <f t="shared" si="239"/>
        <v>0</v>
      </c>
      <c r="AW135" s="501">
        <f t="shared" si="240"/>
        <v>0</v>
      </c>
      <c r="AX135" s="502">
        <f t="shared" si="240"/>
        <v>0</v>
      </c>
    </row>
    <row r="136" spans="1:50" ht="12.95" customHeight="1" x14ac:dyDescent="0.25">
      <c r="A136" s="154">
        <v>26</v>
      </c>
      <c r="B136" s="526">
        <v>5432</v>
      </c>
      <c r="C136" s="527">
        <v>600099024</v>
      </c>
      <c r="D136" s="83">
        <v>71003819</v>
      </c>
      <c r="E136" s="528" t="s">
        <v>426</v>
      </c>
      <c r="F136" s="83">
        <v>3141</v>
      </c>
      <c r="G136" s="528" t="s">
        <v>321</v>
      </c>
      <c r="H136" s="493" t="s">
        <v>284</v>
      </c>
      <c r="I136" s="495">
        <v>582627</v>
      </c>
      <c r="J136" s="496">
        <v>421456</v>
      </c>
      <c r="K136" s="496">
        <v>6000</v>
      </c>
      <c r="L136" s="496">
        <v>0</v>
      </c>
      <c r="M136" s="411">
        <v>144480</v>
      </c>
      <c r="N136" s="411">
        <v>8429</v>
      </c>
      <c r="O136" s="496">
        <v>2262</v>
      </c>
      <c r="P136" s="497">
        <v>1.4500000000000002</v>
      </c>
      <c r="Q136" s="412">
        <v>0</v>
      </c>
      <c r="R136" s="498">
        <v>1.4500000000000002</v>
      </c>
      <c r="S136" s="479">
        <f t="shared" si="225"/>
        <v>0</v>
      </c>
      <c r="T136" s="486">
        <v>0</v>
      </c>
      <c r="U136" s="486">
        <v>0</v>
      </c>
      <c r="V136" s="486">
        <f t="shared" si="226"/>
        <v>0</v>
      </c>
      <c r="W136" s="486">
        <v>0</v>
      </c>
      <c r="X136" s="486">
        <v>0</v>
      </c>
      <c r="Y136" s="486">
        <f t="shared" si="227"/>
        <v>0</v>
      </c>
      <c r="Z136" s="486">
        <f t="shared" si="228"/>
        <v>0</v>
      </c>
      <c r="AA136" s="319">
        <f t="shared" si="229"/>
        <v>0</v>
      </c>
      <c r="AB136" s="178">
        <f t="shared" si="230"/>
        <v>0</v>
      </c>
      <c r="AC136" s="486">
        <v>0</v>
      </c>
      <c r="AD136" s="486">
        <v>0</v>
      </c>
      <c r="AE136" s="486">
        <f t="shared" si="141"/>
        <v>0</v>
      </c>
      <c r="AF136" s="486">
        <f t="shared" si="142"/>
        <v>0</v>
      </c>
      <c r="AG136" s="501">
        <v>0</v>
      </c>
      <c r="AH136" s="501">
        <v>0</v>
      </c>
      <c r="AI136" s="501">
        <v>0</v>
      </c>
      <c r="AJ136" s="501">
        <v>0</v>
      </c>
      <c r="AK136" s="501">
        <v>0</v>
      </c>
      <c r="AL136" s="501">
        <f t="shared" si="231"/>
        <v>0</v>
      </c>
      <c r="AM136" s="501">
        <f t="shared" si="232"/>
        <v>0</v>
      </c>
      <c r="AN136" s="529">
        <f t="shared" si="143"/>
        <v>0</v>
      </c>
      <c r="AO136" s="530">
        <f t="shared" si="233"/>
        <v>582627</v>
      </c>
      <c r="AP136" s="486">
        <f t="shared" si="234"/>
        <v>421456</v>
      </c>
      <c r="AQ136" s="480">
        <f t="shared" si="235"/>
        <v>6000</v>
      </c>
      <c r="AR136" s="480">
        <f t="shared" si="236"/>
        <v>0</v>
      </c>
      <c r="AS136" s="486">
        <f t="shared" si="237"/>
        <v>144480</v>
      </c>
      <c r="AT136" s="486">
        <f t="shared" si="237"/>
        <v>8429</v>
      </c>
      <c r="AU136" s="486">
        <f t="shared" si="238"/>
        <v>2262</v>
      </c>
      <c r="AV136" s="501">
        <f t="shared" si="239"/>
        <v>1.4500000000000002</v>
      </c>
      <c r="AW136" s="501">
        <f t="shared" si="240"/>
        <v>0</v>
      </c>
      <c r="AX136" s="502">
        <f t="shared" si="240"/>
        <v>1.4500000000000002</v>
      </c>
    </row>
    <row r="137" spans="1:50" ht="12.95" customHeight="1" x14ac:dyDescent="0.25">
      <c r="A137" s="154">
        <v>26</v>
      </c>
      <c r="B137" s="526">
        <v>5432</v>
      </c>
      <c r="C137" s="527">
        <v>600099024</v>
      </c>
      <c r="D137" s="83">
        <v>71003819</v>
      </c>
      <c r="E137" s="528" t="s">
        <v>426</v>
      </c>
      <c r="F137" s="83">
        <v>3143</v>
      </c>
      <c r="G137" s="528" t="s">
        <v>634</v>
      </c>
      <c r="H137" s="493" t="s">
        <v>283</v>
      </c>
      <c r="I137" s="495">
        <v>373817</v>
      </c>
      <c r="J137" s="496">
        <v>270463</v>
      </c>
      <c r="K137" s="496">
        <v>4880</v>
      </c>
      <c r="L137" s="496">
        <v>0</v>
      </c>
      <c r="M137" s="411">
        <v>93065</v>
      </c>
      <c r="N137" s="411">
        <v>5409</v>
      </c>
      <c r="O137" s="496">
        <v>0</v>
      </c>
      <c r="P137" s="497">
        <v>0.64659999999999995</v>
      </c>
      <c r="Q137" s="412">
        <v>0.64659999999999995</v>
      </c>
      <c r="R137" s="498">
        <v>0</v>
      </c>
      <c r="S137" s="479">
        <f t="shared" si="225"/>
        <v>0</v>
      </c>
      <c r="T137" s="486">
        <v>0</v>
      </c>
      <c r="U137" s="486">
        <v>0</v>
      </c>
      <c r="V137" s="486">
        <f t="shared" si="226"/>
        <v>0</v>
      </c>
      <c r="W137" s="486">
        <v>0</v>
      </c>
      <c r="X137" s="486">
        <v>0</v>
      </c>
      <c r="Y137" s="486">
        <f t="shared" si="227"/>
        <v>0</v>
      </c>
      <c r="Z137" s="486">
        <f t="shared" si="228"/>
        <v>0</v>
      </c>
      <c r="AA137" s="319">
        <f t="shared" si="229"/>
        <v>0</v>
      </c>
      <c r="AB137" s="178">
        <f t="shared" si="230"/>
        <v>0</v>
      </c>
      <c r="AC137" s="486">
        <v>0</v>
      </c>
      <c r="AD137" s="486">
        <v>0</v>
      </c>
      <c r="AE137" s="486">
        <f t="shared" si="141"/>
        <v>0</v>
      </c>
      <c r="AF137" s="486">
        <f t="shared" si="142"/>
        <v>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si="231"/>
        <v>0</v>
      </c>
      <c r="AM137" s="501">
        <f t="shared" si="232"/>
        <v>0</v>
      </c>
      <c r="AN137" s="529">
        <f t="shared" si="143"/>
        <v>0</v>
      </c>
      <c r="AO137" s="530">
        <f t="shared" si="233"/>
        <v>373817</v>
      </c>
      <c r="AP137" s="486">
        <f t="shared" si="234"/>
        <v>270463</v>
      </c>
      <c r="AQ137" s="480">
        <f t="shared" si="235"/>
        <v>4880</v>
      </c>
      <c r="AR137" s="480">
        <f t="shared" si="236"/>
        <v>0</v>
      </c>
      <c r="AS137" s="486">
        <f t="shared" si="237"/>
        <v>93065</v>
      </c>
      <c r="AT137" s="486">
        <f t="shared" si="237"/>
        <v>5409</v>
      </c>
      <c r="AU137" s="486">
        <f t="shared" si="238"/>
        <v>0</v>
      </c>
      <c r="AV137" s="501">
        <f t="shared" si="239"/>
        <v>0.64659999999999995</v>
      </c>
      <c r="AW137" s="501">
        <f t="shared" si="240"/>
        <v>0.64659999999999995</v>
      </c>
      <c r="AX137" s="502">
        <f t="shared" si="240"/>
        <v>0</v>
      </c>
    </row>
    <row r="138" spans="1:50" ht="12.95" customHeight="1" x14ac:dyDescent="0.25">
      <c r="A138" s="154">
        <v>26</v>
      </c>
      <c r="B138" s="526">
        <v>5432</v>
      </c>
      <c r="C138" s="527">
        <v>600099024</v>
      </c>
      <c r="D138" s="83">
        <v>71003819</v>
      </c>
      <c r="E138" s="528" t="s">
        <v>426</v>
      </c>
      <c r="F138" s="83">
        <v>3143</v>
      </c>
      <c r="G138" s="528" t="s">
        <v>635</v>
      </c>
      <c r="H138" s="493" t="s">
        <v>284</v>
      </c>
      <c r="I138" s="495">
        <v>10534</v>
      </c>
      <c r="J138" s="496">
        <v>7425</v>
      </c>
      <c r="K138" s="496">
        <v>0</v>
      </c>
      <c r="L138" s="496">
        <v>0</v>
      </c>
      <c r="M138" s="411">
        <v>2510</v>
      </c>
      <c r="N138" s="411">
        <v>149</v>
      </c>
      <c r="O138" s="496">
        <v>450</v>
      </c>
      <c r="P138" s="497">
        <v>0.03</v>
      </c>
      <c r="Q138" s="412">
        <v>0</v>
      </c>
      <c r="R138" s="498">
        <v>0.03</v>
      </c>
      <c r="S138" s="479">
        <f t="shared" si="225"/>
        <v>0</v>
      </c>
      <c r="T138" s="486">
        <v>0</v>
      </c>
      <c r="U138" s="486">
        <v>0</v>
      </c>
      <c r="V138" s="486">
        <f t="shared" si="226"/>
        <v>0</v>
      </c>
      <c r="W138" s="486">
        <v>0</v>
      </c>
      <c r="X138" s="486">
        <v>0</v>
      </c>
      <c r="Y138" s="486">
        <f t="shared" si="227"/>
        <v>0</v>
      </c>
      <c r="Z138" s="486">
        <f t="shared" si="228"/>
        <v>0</v>
      </c>
      <c r="AA138" s="319">
        <f t="shared" si="229"/>
        <v>0</v>
      </c>
      <c r="AB138" s="178">
        <f t="shared" si="230"/>
        <v>0</v>
      </c>
      <c r="AC138" s="486">
        <v>0</v>
      </c>
      <c r="AD138" s="486">
        <v>0</v>
      </c>
      <c r="AE138" s="486">
        <f t="shared" si="141"/>
        <v>0</v>
      </c>
      <c r="AF138" s="486">
        <f t="shared" si="142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231"/>
        <v>0</v>
      </c>
      <c r="AM138" s="501">
        <f t="shared" si="232"/>
        <v>0</v>
      </c>
      <c r="AN138" s="529">
        <f t="shared" si="143"/>
        <v>0</v>
      </c>
      <c r="AO138" s="530">
        <f t="shared" si="233"/>
        <v>10534</v>
      </c>
      <c r="AP138" s="486">
        <f t="shared" si="234"/>
        <v>7425</v>
      </c>
      <c r="AQ138" s="480">
        <f t="shared" si="235"/>
        <v>0</v>
      </c>
      <c r="AR138" s="480">
        <f t="shared" si="236"/>
        <v>0</v>
      </c>
      <c r="AS138" s="486">
        <f t="shared" si="237"/>
        <v>2510</v>
      </c>
      <c r="AT138" s="486">
        <f t="shared" si="237"/>
        <v>149</v>
      </c>
      <c r="AU138" s="486">
        <f t="shared" si="238"/>
        <v>450</v>
      </c>
      <c r="AV138" s="501">
        <f t="shared" si="239"/>
        <v>0.03</v>
      </c>
      <c r="AW138" s="501">
        <f t="shared" si="240"/>
        <v>0</v>
      </c>
      <c r="AX138" s="502">
        <f t="shared" si="240"/>
        <v>0.03</v>
      </c>
    </row>
    <row r="139" spans="1:50" ht="12.95" customHeight="1" x14ac:dyDescent="0.25">
      <c r="A139" s="156">
        <v>26</v>
      </c>
      <c r="B139" s="104">
        <v>5432</v>
      </c>
      <c r="C139" s="105">
        <v>600099024</v>
      </c>
      <c r="D139" s="104">
        <v>71003819</v>
      </c>
      <c r="E139" s="298" t="s">
        <v>427</v>
      </c>
      <c r="F139" s="92"/>
      <c r="G139" s="299"/>
      <c r="H139" s="93"/>
      <c r="I139" s="294">
        <v>4882833</v>
      </c>
      <c r="J139" s="106">
        <v>3528081</v>
      </c>
      <c r="K139" s="106">
        <v>19198</v>
      </c>
      <c r="L139" s="106">
        <v>2368</v>
      </c>
      <c r="M139" s="106">
        <v>1198180</v>
      </c>
      <c r="N139" s="106">
        <v>70562</v>
      </c>
      <c r="O139" s="106">
        <v>66812</v>
      </c>
      <c r="P139" s="157">
        <v>8.1906999999999996</v>
      </c>
      <c r="Q139" s="157">
        <v>5.0847000000000007</v>
      </c>
      <c r="R139" s="296">
        <v>3.1059999999999999</v>
      </c>
      <c r="S139" s="149">
        <f t="shared" ref="S139:AN139" si="241">SUM(S133:S138)</f>
        <v>0</v>
      </c>
      <c r="T139" s="106">
        <f t="shared" si="241"/>
        <v>0</v>
      </c>
      <c r="U139" s="106">
        <f t="shared" si="241"/>
        <v>0</v>
      </c>
      <c r="V139" s="106">
        <f t="shared" si="241"/>
        <v>0</v>
      </c>
      <c r="W139" s="106">
        <f t="shared" si="241"/>
        <v>0</v>
      </c>
      <c r="X139" s="106">
        <f t="shared" si="241"/>
        <v>0</v>
      </c>
      <c r="Y139" s="106">
        <f t="shared" si="241"/>
        <v>0</v>
      </c>
      <c r="Z139" s="106">
        <f t="shared" si="241"/>
        <v>0</v>
      </c>
      <c r="AA139" s="106">
        <f t="shared" si="241"/>
        <v>0</v>
      </c>
      <c r="AB139" s="106">
        <f t="shared" si="241"/>
        <v>0</v>
      </c>
      <c r="AC139" s="106">
        <f t="shared" si="241"/>
        <v>0</v>
      </c>
      <c r="AD139" s="106">
        <f t="shared" si="241"/>
        <v>0</v>
      </c>
      <c r="AE139" s="106">
        <f t="shared" si="241"/>
        <v>0</v>
      </c>
      <c r="AF139" s="106">
        <f t="shared" si="241"/>
        <v>0</v>
      </c>
      <c r="AG139" s="157">
        <f t="shared" si="241"/>
        <v>0</v>
      </c>
      <c r="AH139" s="157">
        <f t="shared" si="241"/>
        <v>0</v>
      </c>
      <c r="AI139" s="157">
        <f t="shared" si="241"/>
        <v>0</v>
      </c>
      <c r="AJ139" s="157">
        <f t="shared" si="241"/>
        <v>0</v>
      </c>
      <c r="AK139" s="157">
        <f t="shared" si="241"/>
        <v>0</v>
      </c>
      <c r="AL139" s="157">
        <f t="shared" si="241"/>
        <v>0</v>
      </c>
      <c r="AM139" s="157">
        <f t="shared" si="241"/>
        <v>0</v>
      </c>
      <c r="AN139" s="409">
        <f t="shared" si="241"/>
        <v>0</v>
      </c>
      <c r="AO139" s="294">
        <f t="shared" ref="AO139:AX139" si="242">SUM(AO133:AO138)</f>
        <v>4882833</v>
      </c>
      <c r="AP139" s="106">
        <f t="shared" si="242"/>
        <v>3528081</v>
      </c>
      <c r="AQ139" s="106">
        <f t="shared" si="242"/>
        <v>19198</v>
      </c>
      <c r="AR139" s="106">
        <f t="shared" si="242"/>
        <v>2368</v>
      </c>
      <c r="AS139" s="106">
        <f t="shared" si="242"/>
        <v>1198180</v>
      </c>
      <c r="AT139" s="106">
        <f t="shared" si="242"/>
        <v>70562</v>
      </c>
      <c r="AU139" s="106">
        <f t="shared" si="242"/>
        <v>66812</v>
      </c>
      <c r="AV139" s="157">
        <f t="shared" si="242"/>
        <v>8.1906999999999996</v>
      </c>
      <c r="AW139" s="157">
        <f t="shared" si="242"/>
        <v>5.0847000000000007</v>
      </c>
      <c r="AX139" s="296">
        <f t="shared" si="242"/>
        <v>3.1059999999999999</v>
      </c>
    </row>
    <row r="140" spans="1:50" ht="12.95" customHeight="1" x14ac:dyDescent="0.25">
      <c r="A140" s="154">
        <v>27</v>
      </c>
      <c r="B140" s="526">
        <v>5452</v>
      </c>
      <c r="C140" s="527">
        <v>600099245</v>
      </c>
      <c r="D140" s="83">
        <v>70188416</v>
      </c>
      <c r="E140" s="528" t="s">
        <v>428</v>
      </c>
      <c r="F140" s="83">
        <v>3111</v>
      </c>
      <c r="G140" s="528" t="s">
        <v>331</v>
      </c>
      <c r="H140" s="493" t="s">
        <v>283</v>
      </c>
      <c r="I140" s="495">
        <v>1494000</v>
      </c>
      <c r="J140" s="496">
        <v>1078954</v>
      </c>
      <c r="K140" s="496">
        <v>10000</v>
      </c>
      <c r="L140" s="496">
        <v>0</v>
      </c>
      <c r="M140" s="411">
        <v>368066</v>
      </c>
      <c r="N140" s="411">
        <v>21580</v>
      </c>
      <c r="O140" s="496">
        <v>15400</v>
      </c>
      <c r="P140" s="497">
        <v>2.4809000000000001</v>
      </c>
      <c r="Q140" s="412">
        <v>1.99</v>
      </c>
      <c r="R140" s="498">
        <v>0.4909</v>
      </c>
      <c r="S140" s="479">
        <f t="shared" ref="S140:S145" si="243">W140*-1</f>
        <v>0</v>
      </c>
      <c r="T140" s="486">
        <v>0</v>
      </c>
      <c r="U140" s="486">
        <v>0</v>
      </c>
      <c r="V140" s="486">
        <f t="shared" ref="V140:V145" si="244">SUM(S140:U140)</f>
        <v>0</v>
      </c>
      <c r="W140" s="486">
        <v>0</v>
      </c>
      <c r="X140" s="486">
        <v>0</v>
      </c>
      <c r="Y140" s="486">
        <f t="shared" ref="Y140:Y145" si="245">SUM(W140:X140)</f>
        <v>0</v>
      </c>
      <c r="Z140" s="486">
        <f t="shared" ref="Z140:Z145" si="246">V140+Y140</f>
        <v>0</v>
      </c>
      <c r="AA140" s="319">
        <f t="shared" ref="AA140:AA145" si="247">ROUND((V140+W140)*33.8%,0)</f>
        <v>0</v>
      </c>
      <c r="AB140" s="178">
        <f t="shared" ref="AB140:AB145" si="248">ROUND(V140*2%,0)</f>
        <v>0</v>
      </c>
      <c r="AC140" s="486">
        <v>0</v>
      </c>
      <c r="AD140" s="486">
        <v>0</v>
      </c>
      <c r="AE140" s="486">
        <f t="shared" si="141"/>
        <v>0</v>
      </c>
      <c r="AF140" s="486">
        <f t="shared" si="142"/>
        <v>0</v>
      </c>
      <c r="AG140" s="501">
        <v>0</v>
      </c>
      <c r="AH140" s="501">
        <v>0</v>
      </c>
      <c r="AI140" s="501">
        <v>0</v>
      </c>
      <c r="AJ140" s="501">
        <v>0</v>
      </c>
      <c r="AK140" s="501">
        <v>0</v>
      </c>
      <c r="AL140" s="501">
        <f t="shared" ref="AL140:AL145" si="249">AG140+AI140+AJ140</f>
        <v>0</v>
      </c>
      <c r="AM140" s="501">
        <f t="shared" ref="AM140:AM145" si="250">AH140+AK140</f>
        <v>0</v>
      </c>
      <c r="AN140" s="529">
        <f t="shared" si="143"/>
        <v>0</v>
      </c>
      <c r="AO140" s="530">
        <f t="shared" ref="AO140:AO145" si="251">I140+AF140</f>
        <v>1494000</v>
      </c>
      <c r="AP140" s="486">
        <f t="shared" ref="AP140:AP145" si="252">J140+V140</f>
        <v>1078954</v>
      </c>
      <c r="AQ140" s="480">
        <f t="shared" ref="AQ140:AQ145" si="253">K140+Y140</f>
        <v>10000</v>
      </c>
      <c r="AR140" s="480">
        <f t="shared" ref="AR140:AR145" si="254">L140</f>
        <v>0</v>
      </c>
      <c r="AS140" s="486">
        <f t="shared" ref="AS140:AT145" si="255">M140+AA140</f>
        <v>368066</v>
      </c>
      <c r="AT140" s="486">
        <f t="shared" si="255"/>
        <v>21580</v>
      </c>
      <c r="AU140" s="486">
        <f t="shared" ref="AU140:AU145" si="256">O140+AE140</f>
        <v>15400</v>
      </c>
      <c r="AV140" s="501">
        <f t="shared" ref="AV140:AV145" si="257">P140+AN140</f>
        <v>2.4809000000000001</v>
      </c>
      <c r="AW140" s="501">
        <f t="shared" ref="AW140:AX145" si="258">Q140+AL140</f>
        <v>1.99</v>
      </c>
      <c r="AX140" s="502">
        <f t="shared" si="258"/>
        <v>0.4909</v>
      </c>
    </row>
    <row r="141" spans="1:50" ht="12.95" customHeight="1" x14ac:dyDescent="0.25">
      <c r="A141" s="154">
        <v>27</v>
      </c>
      <c r="B141" s="526">
        <v>5452</v>
      </c>
      <c r="C141" s="527">
        <v>600099245</v>
      </c>
      <c r="D141" s="83">
        <v>70188416</v>
      </c>
      <c r="E141" s="528" t="s">
        <v>428</v>
      </c>
      <c r="F141" s="83">
        <v>3117</v>
      </c>
      <c r="G141" s="528" t="s">
        <v>320</v>
      </c>
      <c r="H141" s="493" t="s">
        <v>283</v>
      </c>
      <c r="I141" s="495">
        <v>3417905</v>
      </c>
      <c r="J141" s="496">
        <v>2434950</v>
      </c>
      <c r="K141" s="496">
        <v>10384</v>
      </c>
      <c r="L141" s="496">
        <v>4884</v>
      </c>
      <c r="M141" s="411">
        <v>824872</v>
      </c>
      <c r="N141" s="411">
        <v>48699</v>
      </c>
      <c r="O141" s="496">
        <v>99000</v>
      </c>
      <c r="P141" s="497">
        <v>5.2277000000000005</v>
      </c>
      <c r="Q141" s="412">
        <v>3.2726000000000002</v>
      </c>
      <c r="R141" s="498">
        <v>1.9551000000000001</v>
      </c>
      <c r="S141" s="479">
        <f t="shared" si="243"/>
        <v>0</v>
      </c>
      <c r="T141" s="486">
        <v>0</v>
      </c>
      <c r="U141" s="486">
        <v>0</v>
      </c>
      <c r="V141" s="486">
        <f t="shared" si="244"/>
        <v>0</v>
      </c>
      <c r="W141" s="486">
        <v>0</v>
      </c>
      <c r="X141" s="486">
        <v>0</v>
      </c>
      <c r="Y141" s="486">
        <f t="shared" si="245"/>
        <v>0</v>
      </c>
      <c r="Z141" s="486">
        <f t="shared" si="246"/>
        <v>0</v>
      </c>
      <c r="AA141" s="319">
        <f t="shared" si="247"/>
        <v>0</v>
      </c>
      <c r="AB141" s="178">
        <f t="shared" si="248"/>
        <v>0</v>
      </c>
      <c r="AC141" s="486">
        <v>0</v>
      </c>
      <c r="AD141" s="486">
        <v>0</v>
      </c>
      <c r="AE141" s="486">
        <f t="shared" si="141"/>
        <v>0</v>
      </c>
      <c r="AF141" s="486">
        <f t="shared" si="142"/>
        <v>0</v>
      </c>
      <c r="AG141" s="501">
        <v>0</v>
      </c>
      <c r="AH141" s="501">
        <v>0</v>
      </c>
      <c r="AI141" s="501">
        <v>0</v>
      </c>
      <c r="AJ141" s="501">
        <v>0</v>
      </c>
      <c r="AK141" s="501">
        <v>0</v>
      </c>
      <c r="AL141" s="501">
        <f t="shared" si="249"/>
        <v>0</v>
      </c>
      <c r="AM141" s="501">
        <f t="shared" si="250"/>
        <v>0</v>
      </c>
      <c r="AN141" s="529">
        <f t="shared" si="143"/>
        <v>0</v>
      </c>
      <c r="AO141" s="530">
        <f t="shared" si="251"/>
        <v>3417905</v>
      </c>
      <c r="AP141" s="486">
        <f t="shared" si="252"/>
        <v>2434950</v>
      </c>
      <c r="AQ141" s="480">
        <f t="shared" si="253"/>
        <v>10384</v>
      </c>
      <c r="AR141" s="480">
        <f t="shared" si="254"/>
        <v>4884</v>
      </c>
      <c r="AS141" s="486">
        <f t="shared" si="255"/>
        <v>824872</v>
      </c>
      <c r="AT141" s="486">
        <f t="shared" si="255"/>
        <v>48699</v>
      </c>
      <c r="AU141" s="486">
        <f t="shared" si="256"/>
        <v>99000</v>
      </c>
      <c r="AV141" s="501">
        <f t="shared" si="257"/>
        <v>5.2277000000000005</v>
      </c>
      <c r="AW141" s="501">
        <f t="shared" si="258"/>
        <v>3.2726000000000002</v>
      </c>
      <c r="AX141" s="502">
        <f t="shared" si="258"/>
        <v>1.9551000000000001</v>
      </c>
    </row>
    <row r="142" spans="1:50" ht="12.95" customHeight="1" x14ac:dyDescent="0.25">
      <c r="A142" s="154">
        <v>27</v>
      </c>
      <c r="B142" s="526">
        <v>5452</v>
      </c>
      <c r="C142" s="527">
        <v>600099245</v>
      </c>
      <c r="D142" s="83">
        <v>70188416</v>
      </c>
      <c r="E142" s="528" t="s">
        <v>428</v>
      </c>
      <c r="F142" s="83">
        <v>3117</v>
      </c>
      <c r="G142" s="528" t="s">
        <v>325</v>
      </c>
      <c r="H142" s="493" t="s">
        <v>284</v>
      </c>
      <c r="I142" s="495">
        <v>1590430</v>
      </c>
      <c r="J142" s="496">
        <v>1166923</v>
      </c>
      <c r="K142" s="496">
        <v>0</v>
      </c>
      <c r="L142" s="496">
        <v>0</v>
      </c>
      <c r="M142" s="411">
        <v>394419</v>
      </c>
      <c r="N142" s="411">
        <v>23338</v>
      </c>
      <c r="O142" s="496">
        <v>5750</v>
      </c>
      <c r="P142" s="497">
        <v>3.3600000000000003</v>
      </c>
      <c r="Q142" s="412">
        <v>3.3600000000000003</v>
      </c>
      <c r="R142" s="498">
        <v>0</v>
      </c>
      <c r="S142" s="479">
        <f t="shared" si="243"/>
        <v>0</v>
      </c>
      <c r="T142" s="486">
        <v>0</v>
      </c>
      <c r="U142" s="486">
        <v>0</v>
      </c>
      <c r="V142" s="486">
        <f t="shared" si="244"/>
        <v>0</v>
      </c>
      <c r="W142" s="486">
        <v>0</v>
      </c>
      <c r="X142" s="486">
        <v>0</v>
      </c>
      <c r="Y142" s="486">
        <f t="shared" si="245"/>
        <v>0</v>
      </c>
      <c r="Z142" s="486">
        <f t="shared" si="246"/>
        <v>0</v>
      </c>
      <c r="AA142" s="319">
        <f t="shared" si="247"/>
        <v>0</v>
      </c>
      <c r="AB142" s="178">
        <f t="shared" si="248"/>
        <v>0</v>
      </c>
      <c r="AC142" s="486">
        <v>0</v>
      </c>
      <c r="AD142" s="486">
        <v>0</v>
      </c>
      <c r="AE142" s="486">
        <f t="shared" si="141"/>
        <v>0</v>
      </c>
      <c r="AF142" s="486">
        <f t="shared" si="142"/>
        <v>0</v>
      </c>
      <c r="AG142" s="501">
        <v>0</v>
      </c>
      <c r="AH142" s="501">
        <v>0</v>
      </c>
      <c r="AI142" s="501">
        <v>0</v>
      </c>
      <c r="AJ142" s="501">
        <v>0</v>
      </c>
      <c r="AK142" s="501">
        <v>0</v>
      </c>
      <c r="AL142" s="501">
        <f t="shared" si="249"/>
        <v>0</v>
      </c>
      <c r="AM142" s="501">
        <f t="shared" si="250"/>
        <v>0</v>
      </c>
      <c r="AN142" s="529">
        <f t="shared" si="143"/>
        <v>0</v>
      </c>
      <c r="AO142" s="530">
        <f t="shared" si="251"/>
        <v>1590430</v>
      </c>
      <c r="AP142" s="486">
        <f t="shared" si="252"/>
        <v>1166923</v>
      </c>
      <c r="AQ142" s="480">
        <f t="shared" si="253"/>
        <v>0</v>
      </c>
      <c r="AR142" s="480">
        <f t="shared" si="254"/>
        <v>0</v>
      </c>
      <c r="AS142" s="486">
        <f t="shared" si="255"/>
        <v>394419</v>
      </c>
      <c r="AT142" s="486">
        <f t="shared" si="255"/>
        <v>23338</v>
      </c>
      <c r="AU142" s="486">
        <f t="shared" si="256"/>
        <v>5750</v>
      </c>
      <c r="AV142" s="501">
        <f t="shared" si="257"/>
        <v>3.3600000000000003</v>
      </c>
      <c r="AW142" s="501">
        <f t="shared" si="258"/>
        <v>3.3600000000000003</v>
      </c>
      <c r="AX142" s="502">
        <f t="shared" si="258"/>
        <v>0</v>
      </c>
    </row>
    <row r="143" spans="1:50" ht="12.95" customHeight="1" x14ac:dyDescent="0.25">
      <c r="A143" s="154">
        <v>27</v>
      </c>
      <c r="B143" s="526">
        <v>5452</v>
      </c>
      <c r="C143" s="527">
        <v>600099245</v>
      </c>
      <c r="D143" s="83">
        <v>70188416</v>
      </c>
      <c r="E143" s="528" t="s">
        <v>428</v>
      </c>
      <c r="F143" s="83">
        <v>3141</v>
      </c>
      <c r="G143" s="528" t="s">
        <v>321</v>
      </c>
      <c r="H143" s="493" t="s">
        <v>284</v>
      </c>
      <c r="I143" s="495">
        <v>695635</v>
      </c>
      <c r="J143" s="496">
        <v>509900</v>
      </c>
      <c r="K143" s="496">
        <v>0</v>
      </c>
      <c r="L143" s="496">
        <v>0</v>
      </c>
      <c r="M143" s="411">
        <v>172347</v>
      </c>
      <c r="N143" s="411">
        <v>10198</v>
      </c>
      <c r="O143" s="496">
        <v>3190</v>
      </c>
      <c r="P143" s="497">
        <v>1.74</v>
      </c>
      <c r="Q143" s="412">
        <v>0</v>
      </c>
      <c r="R143" s="498">
        <v>1.74</v>
      </c>
      <c r="S143" s="479">
        <f t="shared" si="243"/>
        <v>0</v>
      </c>
      <c r="T143" s="486">
        <v>0</v>
      </c>
      <c r="U143" s="486">
        <v>0</v>
      </c>
      <c r="V143" s="486">
        <f t="shared" si="244"/>
        <v>0</v>
      </c>
      <c r="W143" s="486">
        <v>0</v>
      </c>
      <c r="X143" s="486">
        <v>0</v>
      </c>
      <c r="Y143" s="486">
        <f t="shared" si="245"/>
        <v>0</v>
      </c>
      <c r="Z143" s="486">
        <f t="shared" si="246"/>
        <v>0</v>
      </c>
      <c r="AA143" s="319">
        <f t="shared" si="247"/>
        <v>0</v>
      </c>
      <c r="AB143" s="178">
        <f t="shared" si="248"/>
        <v>0</v>
      </c>
      <c r="AC143" s="486">
        <v>0</v>
      </c>
      <c r="AD143" s="486">
        <v>0</v>
      </c>
      <c r="AE143" s="486">
        <f t="shared" si="141"/>
        <v>0</v>
      </c>
      <c r="AF143" s="486">
        <f t="shared" si="142"/>
        <v>0</v>
      </c>
      <c r="AG143" s="501">
        <v>0</v>
      </c>
      <c r="AH143" s="501">
        <v>0</v>
      </c>
      <c r="AI143" s="501">
        <v>0</v>
      </c>
      <c r="AJ143" s="501">
        <v>0</v>
      </c>
      <c r="AK143" s="501">
        <v>0</v>
      </c>
      <c r="AL143" s="501">
        <f t="shared" si="249"/>
        <v>0</v>
      </c>
      <c r="AM143" s="501">
        <f t="shared" si="250"/>
        <v>0</v>
      </c>
      <c r="AN143" s="529">
        <f t="shared" si="143"/>
        <v>0</v>
      </c>
      <c r="AO143" s="530">
        <f t="shared" si="251"/>
        <v>695635</v>
      </c>
      <c r="AP143" s="486">
        <f t="shared" si="252"/>
        <v>509900</v>
      </c>
      <c r="AQ143" s="480">
        <f t="shared" si="253"/>
        <v>0</v>
      </c>
      <c r="AR143" s="480">
        <f t="shared" si="254"/>
        <v>0</v>
      </c>
      <c r="AS143" s="486">
        <f t="shared" si="255"/>
        <v>172347</v>
      </c>
      <c r="AT143" s="486">
        <f t="shared" si="255"/>
        <v>10198</v>
      </c>
      <c r="AU143" s="486">
        <f t="shared" si="256"/>
        <v>3190</v>
      </c>
      <c r="AV143" s="501">
        <f t="shared" si="257"/>
        <v>1.74</v>
      </c>
      <c r="AW143" s="501">
        <f t="shared" si="258"/>
        <v>0</v>
      </c>
      <c r="AX143" s="502">
        <f t="shared" si="258"/>
        <v>1.74</v>
      </c>
    </row>
    <row r="144" spans="1:50" ht="12.95" customHeight="1" x14ac:dyDescent="0.25">
      <c r="A144" s="154">
        <v>27</v>
      </c>
      <c r="B144" s="526">
        <v>5452</v>
      </c>
      <c r="C144" s="527">
        <v>600099245</v>
      </c>
      <c r="D144" s="83">
        <v>70188416</v>
      </c>
      <c r="E144" s="528" t="s">
        <v>428</v>
      </c>
      <c r="F144" s="83">
        <v>3143</v>
      </c>
      <c r="G144" s="528" t="s">
        <v>634</v>
      </c>
      <c r="H144" s="493" t="s">
        <v>283</v>
      </c>
      <c r="I144" s="495">
        <v>573277</v>
      </c>
      <c r="J144" s="496">
        <v>417222</v>
      </c>
      <c r="K144" s="496">
        <v>5000</v>
      </c>
      <c r="L144" s="496">
        <v>0</v>
      </c>
      <c r="M144" s="411">
        <v>142711</v>
      </c>
      <c r="N144" s="411">
        <v>8344</v>
      </c>
      <c r="O144" s="496">
        <v>0</v>
      </c>
      <c r="P144" s="497">
        <v>0.90669999999999995</v>
      </c>
      <c r="Q144" s="412">
        <v>0.90669999999999995</v>
      </c>
      <c r="R144" s="498">
        <v>0</v>
      </c>
      <c r="S144" s="479">
        <f t="shared" si="243"/>
        <v>0</v>
      </c>
      <c r="T144" s="486">
        <v>0</v>
      </c>
      <c r="U144" s="486">
        <v>0</v>
      </c>
      <c r="V144" s="486">
        <f t="shared" si="244"/>
        <v>0</v>
      </c>
      <c r="W144" s="486">
        <v>0</v>
      </c>
      <c r="X144" s="486">
        <v>0</v>
      </c>
      <c r="Y144" s="486">
        <f t="shared" si="245"/>
        <v>0</v>
      </c>
      <c r="Z144" s="486">
        <f t="shared" si="246"/>
        <v>0</v>
      </c>
      <c r="AA144" s="319">
        <f t="shared" si="247"/>
        <v>0</v>
      </c>
      <c r="AB144" s="178">
        <f t="shared" si="248"/>
        <v>0</v>
      </c>
      <c r="AC144" s="486">
        <v>0</v>
      </c>
      <c r="AD144" s="486">
        <v>0</v>
      </c>
      <c r="AE144" s="486">
        <f t="shared" si="141"/>
        <v>0</v>
      </c>
      <c r="AF144" s="486">
        <f t="shared" si="142"/>
        <v>0</v>
      </c>
      <c r="AG144" s="501">
        <v>0</v>
      </c>
      <c r="AH144" s="501">
        <v>0</v>
      </c>
      <c r="AI144" s="501">
        <v>0</v>
      </c>
      <c r="AJ144" s="501">
        <v>0</v>
      </c>
      <c r="AK144" s="501">
        <v>0</v>
      </c>
      <c r="AL144" s="501">
        <f t="shared" si="249"/>
        <v>0</v>
      </c>
      <c r="AM144" s="501">
        <f t="shared" si="250"/>
        <v>0</v>
      </c>
      <c r="AN144" s="529">
        <f t="shared" si="143"/>
        <v>0</v>
      </c>
      <c r="AO144" s="530">
        <f t="shared" si="251"/>
        <v>573277</v>
      </c>
      <c r="AP144" s="486">
        <f t="shared" si="252"/>
        <v>417222</v>
      </c>
      <c r="AQ144" s="480">
        <f t="shared" si="253"/>
        <v>5000</v>
      </c>
      <c r="AR144" s="480">
        <f t="shared" si="254"/>
        <v>0</v>
      </c>
      <c r="AS144" s="486">
        <f t="shared" si="255"/>
        <v>142711</v>
      </c>
      <c r="AT144" s="486">
        <f t="shared" si="255"/>
        <v>8344</v>
      </c>
      <c r="AU144" s="486">
        <f t="shared" si="256"/>
        <v>0</v>
      </c>
      <c r="AV144" s="501">
        <f t="shared" si="257"/>
        <v>0.90669999999999995</v>
      </c>
      <c r="AW144" s="501">
        <f t="shared" si="258"/>
        <v>0.90669999999999995</v>
      </c>
      <c r="AX144" s="502">
        <f t="shared" si="258"/>
        <v>0</v>
      </c>
    </row>
    <row r="145" spans="1:50" ht="12.95" customHeight="1" x14ac:dyDescent="0.25">
      <c r="A145" s="154">
        <v>27</v>
      </c>
      <c r="B145" s="526">
        <v>5452</v>
      </c>
      <c r="C145" s="527">
        <v>600099245</v>
      </c>
      <c r="D145" s="83">
        <v>70188416</v>
      </c>
      <c r="E145" s="528" t="s">
        <v>428</v>
      </c>
      <c r="F145" s="83">
        <v>3143</v>
      </c>
      <c r="G145" s="528" t="s">
        <v>635</v>
      </c>
      <c r="H145" s="493" t="s">
        <v>284</v>
      </c>
      <c r="I145" s="495">
        <v>17556</v>
      </c>
      <c r="J145" s="496">
        <v>12375</v>
      </c>
      <c r="K145" s="496">
        <v>0</v>
      </c>
      <c r="L145" s="496">
        <v>0</v>
      </c>
      <c r="M145" s="411">
        <v>4183</v>
      </c>
      <c r="N145" s="411">
        <v>248</v>
      </c>
      <c r="O145" s="496">
        <v>750</v>
      </c>
      <c r="P145" s="497">
        <v>0.05</v>
      </c>
      <c r="Q145" s="412">
        <v>0</v>
      </c>
      <c r="R145" s="498">
        <v>0.05</v>
      </c>
      <c r="S145" s="479">
        <f t="shared" si="243"/>
        <v>0</v>
      </c>
      <c r="T145" s="486">
        <v>0</v>
      </c>
      <c r="U145" s="486">
        <v>0</v>
      </c>
      <c r="V145" s="486">
        <f t="shared" si="244"/>
        <v>0</v>
      </c>
      <c r="W145" s="486">
        <v>0</v>
      </c>
      <c r="X145" s="486">
        <v>0</v>
      </c>
      <c r="Y145" s="486">
        <f t="shared" si="245"/>
        <v>0</v>
      </c>
      <c r="Z145" s="486">
        <f t="shared" si="246"/>
        <v>0</v>
      </c>
      <c r="AA145" s="319">
        <f t="shared" si="247"/>
        <v>0</v>
      </c>
      <c r="AB145" s="178">
        <f t="shared" si="248"/>
        <v>0</v>
      </c>
      <c r="AC145" s="486">
        <v>0</v>
      </c>
      <c r="AD145" s="486">
        <v>0</v>
      </c>
      <c r="AE145" s="486">
        <f t="shared" si="141"/>
        <v>0</v>
      </c>
      <c r="AF145" s="486">
        <f t="shared" si="142"/>
        <v>0</v>
      </c>
      <c r="AG145" s="501">
        <v>0</v>
      </c>
      <c r="AH145" s="501">
        <v>0</v>
      </c>
      <c r="AI145" s="501">
        <v>0</v>
      </c>
      <c r="AJ145" s="501">
        <v>0</v>
      </c>
      <c r="AK145" s="501">
        <v>0</v>
      </c>
      <c r="AL145" s="501">
        <f t="shared" si="249"/>
        <v>0</v>
      </c>
      <c r="AM145" s="501">
        <f t="shared" si="250"/>
        <v>0</v>
      </c>
      <c r="AN145" s="529">
        <f t="shared" si="143"/>
        <v>0</v>
      </c>
      <c r="AO145" s="530">
        <f t="shared" si="251"/>
        <v>17556</v>
      </c>
      <c r="AP145" s="486">
        <f t="shared" si="252"/>
        <v>12375</v>
      </c>
      <c r="AQ145" s="480">
        <f t="shared" si="253"/>
        <v>0</v>
      </c>
      <c r="AR145" s="480">
        <f t="shared" si="254"/>
        <v>0</v>
      </c>
      <c r="AS145" s="486">
        <f t="shared" si="255"/>
        <v>4183</v>
      </c>
      <c r="AT145" s="486">
        <f t="shared" si="255"/>
        <v>248</v>
      </c>
      <c r="AU145" s="486">
        <f t="shared" si="256"/>
        <v>750</v>
      </c>
      <c r="AV145" s="501">
        <f t="shared" si="257"/>
        <v>0.05</v>
      </c>
      <c r="AW145" s="501">
        <f t="shared" si="258"/>
        <v>0</v>
      </c>
      <c r="AX145" s="502">
        <f t="shared" si="258"/>
        <v>0.05</v>
      </c>
    </row>
    <row r="146" spans="1:50" ht="12.95" customHeight="1" x14ac:dyDescent="0.25">
      <c r="A146" s="156">
        <v>27</v>
      </c>
      <c r="B146" s="104">
        <v>5452</v>
      </c>
      <c r="C146" s="105">
        <v>600099245</v>
      </c>
      <c r="D146" s="104">
        <v>70188416</v>
      </c>
      <c r="E146" s="298" t="s">
        <v>429</v>
      </c>
      <c r="F146" s="92"/>
      <c r="G146" s="299"/>
      <c r="H146" s="93"/>
      <c r="I146" s="294">
        <v>7788803</v>
      </c>
      <c r="J146" s="106">
        <v>5620324</v>
      </c>
      <c r="K146" s="106">
        <v>25384</v>
      </c>
      <c r="L146" s="106">
        <v>4884</v>
      </c>
      <c r="M146" s="106">
        <v>1906598</v>
      </c>
      <c r="N146" s="106">
        <v>112407</v>
      </c>
      <c r="O146" s="106">
        <v>124090</v>
      </c>
      <c r="P146" s="157">
        <v>13.765300000000002</v>
      </c>
      <c r="Q146" s="157">
        <v>9.529300000000001</v>
      </c>
      <c r="R146" s="296">
        <v>4.2359999999999998</v>
      </c>
      <c r="S146" s="149">
        <f t="shared" ref="S146:AN146" si="259">SUM(S140:S145)</f>
        <v>0</v>
      </c>
      <c r="T146" s="106">
        <f t="shared" si="259"/>
        <v>0</v>
      </c>
      <c r="U146" s="106">
        <f t="shared" si="259"/>
        <v>0</v>
      </c>
      <c r="V146" s="106">
        <f t="shared" si="259"/>
        <v>0</v>
      </c>
      <c r="W146" s="106">
        <f t="shared" si="259"/>
        <v>0</v>
      </c>
      <c r="X146" s="106">
        <f t="shared" si="259"/>
        <v>0</v>
      </c>
      <c r="Y146" s="106">
        <f t="shared" si="259"/>
        <v>0</v>
      </c>
      <c r="Z146" s="106">
        <f t="shared" si="259"/>
        <v>0</v>
      </c>
      <c r="AA146" s="106">
        <f t="shared" si="259"/>
        <v>0</v>
      </c>
      <c r="AB146" s="106">
        <f t="shared" si="259"/>
        <v>0</v>
      </c>
      <c r="AC146" s="106">
        <f t="shared" si="259"/>
        <v>0</v>
      </c>
      <c r="AD146" s="106">
        <f t="shared" si="259"/>
        <v>0</v>
      </c>
      <c r="AE146" s="106">
        <f t="shared" si="259"/>
        <v>0</v>
      </c>
      <c r="AF146" s="106">
        <f t="shared" si="259"/>
        <v>0</v>
      </c>
      <c r="AG146" s="157">
        <f t="shared" si="259"/>
        <v>0</v>
      </c>
      <c r="AH146" s="157">
        <f t="shared" si="259"/>
        <v>0</v>
      </c>
      <c r="AI146" s="157">
        <f t="shared" si="259"/>
        <v>0</v>
      </c>
      <c r="AJ146" s="157">
        <f t="shared" si="259"/>
        <v>0</v>
      </c>
      <c r="AK146" s="157">
        <f t="shared" si="259"/>
        <v>0</v>
      </c>
      <c r="AL146" s="157">
        <f t="shared" si="259"/>
        <v>0</v>
      </c>
      <c r="AM146" s="157">
        <f t="shared" si="259"/>
        <v>0</v>
      </c>
      <c r="AN146" s="409">
        <f t="shared" si="259"/>
        <v>0</v>
      </c>
      <c r="AO146" s="294">
        <f t="shared" ref="AO146:AX146" si="260">SUM(AO140:AO145)</f>
        <v>7788803</v>
      </c>
      <c r="AP146" s="106">
        <f t="shared" si="260"/>
        <v>5620324</v>
      </c>
      <c r="AQ146" s="106">
        <f t="shared" si="260"/>
        <v>25384</v>
      </c>
      <c r="AR146" s="106">
        <f t="shared" si="260"/>
        <v>4884</v>
      </c>
      <c r="AS146" s="106">
        <f t="shared" si="260"/>
        <v>1906598</v>
      </c>
      <c r="AT146" s="106">
        <f t="shared" si="260"/>
        <v>112407</v>
      </c>
      <c r="AU146" s="106">
        <f t="shared" si="260"/>
        <v>124090</v>
      </c>
      <c r="AV146" s="157">
        <f t="shared" si="260"/>
        <v>13.765300000000002</v>
      </c>
      <c r="AW146" s="157">
        <f t="shared" si="260"/>
        <v>9.529300000000001</v>
      </c>
      <c r="AX146" s="296">
        <f t="shared" si="260"/>
        <v>4.2359999999999998</v>
      </c>
    </row>
    <row r="147" spans="1:50" ht="12.95" customHeight="1" x14ac:dyDescent="0.25">
      <c r="A147" s="154">
        <v>28</v>
      </c>
      <c r="B147" s="526">
        <v>5428</v>
      </c>
      <c r="C147" s="527">
        <v>600099059</v>
      </c>
      <c r="D147" s="83">
        <v>70985740</v>
      </c>
      <c r="E147" s="528" t="s">
        <v>430</v>
      </c>
      <c r="F147" s="83">
        <v>3111</v>
      </c>
      <c r="G147" s="528" t="s">
        <v>331</v>
      </c>
      <c r="H147" s="493" t="s">
        <v>283</v>
      </c>
      <c r="I147" s="495">
        <v>1186775</v>
      </c>
      <c r="J147" s="496">
        <v>842869</v>
      </c>
      <c r="K147" s="496">
        <v>20000</v>
      </c>
      <c r="L147" s="496">
        <v>0</v>
      </c>
      <c r="M147" s="411">
        <v>291649</v>
      </c>
      <c r="N147" s="411">
        <v>16857</v>
      </c>
      <c r="O147" s="496">
        <v>15400</v>
      </c>
      <c r="P147" s="497">
        <v>2.0114999999999998</v>
      </c>
      <c r="Q147" s="412">
        <v>1.5706</v>
      </c>
      <c r="R147" s="498">
        <v>0.44090000000000001</v>
      </c>
      <c r="S147" s="479">
        <f t="shared" ref="S147:S152" si="261">W147*-1</f>
        <v>0</v>
      </c>
      <c r="T147" s="486">
        <v>0</v>
      </c>
      <c r="U147" s="486">
        <v>0</v>
      </c>
      <c r="V147" s="486">
        <f t="shared" ref="V147:V152" si="262">SUM(S147:U147)</f>
        <v>0</v>
      </c>
      <c r="W147" s="486">
        <v>0</v>
      </c>
      <c r="X147" s="486">
        <v>0</v>
      </c>
      <c r="Y147" s="486">
        <f t="shared" ref="Y147:Y152" si="263">SUM(W147:X147)</f>
        <v>0</v>
      </c>
      <c r="Z147" s="486">
        <f t="shared" ref="Z147:Z152" si="264">V147+Y147</f>
        <v>0</v>
      </c>
      <c r="AA147" s="319">
        <f t="shared" ref="AA147:AA152" si="265">ROUND((V147+W147)*33.8%,0)</f>
        <v>0</v>
      </c>
      <c r="AB147" s="178">
        <f t="shared" ref="AB147:AB152" si="266">ROUND(V147*2%,0)</f>
        <v>0</v>
      </c>
      <c r="AC147" s="486">
        <v>0</v>
      </c>
      <c r="AD147" s="486">
        <v>0</v>
      </c>
      <c r="AE147" s="486">
        <f t="shared" ref="AE147:AE165" si="267">SUM(AC147:AD147)</f>
        <v>0</v>
      </c>
      <c r="AF147" s="486">
        <f t="shared" ref="AF147:AF165" si="268">Z147+AA147+AB147+AE147</f>
        <v>0</v>
      </c>
      <c r="AG147" s="501">
        <v>0</v>
      </c>
      <c r="AH147" s="501">
        <v>0</v>
      </c>
      <c r="AI147" s="501">
        <v>0</v>
      </c>
      <c r="AJ147" s="501">
        <v>0</v>
      </c>
      <c r="AK147" s="501">
        <v>0</v>
      </c>
      <c r="AL147" s="501">
        <f t="shared" ref="AL147:AL152" si="269">AG147+AI147+AJ147</f>
        <v>0</v>
      </c>
      <c r="AM147" s="501">
        <f t="shared" ref="AM147:AM152" si="270">AH147+AK147</f>
        <v>0</v>
      </c>
      <c r="AN147" s="529">
        <f t="shared" ref="AN147:AN165" si="271">SUM(AL147:AM147)</f>
        <v>0</v>
      </c>
      <c r="AO147" s="530">
        <f t="shared" ref="AO147:AO152" si="272">I147+AF147</f>
        <v>1186775</v>
      </c>
      <c r="AP147" s="486">
        <f t="shared" ref="AP147:AP152" si="273">J147+V147</f>
        <v>842869</v>
      </c>
      <c r="AQ147" s="480">
        <f t="shared" ref="AQ147:AQ152" si="274">K147+Y147</f>
        <v>20000</v>
      </c>
      <c r="AR147" s="480">
        <f t="shared" ref="AR147:AR152" si="275">L147</f>
        <v>0</v>
      </c>
      <c r="AS147" s="486">
        <f t="shared" ref="AS147:AT152" si="276">M147+AA147</f>
        <v>291649</v>
      </c>
      <c r="AT147" s="486">
        <f t="shared" si="276"/>
        <v>16857</v>
      </c>
      <c r="AU147" s="486">
        <f t="shared" ref="AU147:AU152" si="277">O147+AE147</f>
        <v>15400</v>
      </c>
      <c r="AV147" s="501">
        <f t="shared" ref="AV147:AV152" si="278">P147+AN147</f>
        <v>2.0114999999999998</v>
      </c>
      <c r="AW147" s="501">
        <f t="shared" ref="AW147:AX152" si="279">Q147+AL147</f>
        <v>1.5706</v>
      </c>
      <c r="AX147" s="502">
        <f t="shared" si="279"/>
        <v>0.44090000000000001</v>
      </c>
    </row>
    <row r="148" spans="1:50" ht="12.95" customHeight="1" x14ac:dyDescent="0.25">
      <c r="A148" s="154">
        <v>28</v>
      </c>
      <c r="B148" s="526">
        <v>5428</v>
      </c>
      <c r="C148" s="527">
        <v>600099059</v>
      </c>
      <c r="D148" s="83">
        <v>70985740</v>
      </c>
      <c r="E148" s="528" t="s">
        <v>430</v>
      </c>
      <c r="F148" s="83">
        <v>3117</v>
      </c>
      <c r="G148" s="528" t="s">
        <v>320</v>
      </c>
      <c r="H148" s="493" t="s">
        <v>283</v>
      </c>
      <c r="I148" s="495">
        <v>2635553</v>
      </c>
      <c r="J148" s="496">
        <v>1865933</v>
      </c>
      <c r="K148" s="496">
        <v>23516</v>
      </c>
      <c r="L148" s="496">
        <v>2516</v>
      </c>
      <c r="M148" s="411">
        <v>637784</v>
      </c>
      <c r="N148" s="411">
        <v>37319</v>
      </c>
      <c r="O148" s="496">
        <v>71001</v>
      </c>
      <c r="P148" s="497">
        <v>3.5393000000000003</v>
      </c>
      <c r="Q148" s="412">
        <v>2.4736000000000002</v>
      </c>
      <c r="R148" s="498">
        <v>1.0656999999999999</v>
      </c>
      <c r="S148" s="479">
        <f t="shared" si="261"/>
        <v>0</v>
      </c>
      <c r="T148" s="486">
        <v>0</v>
      </c>
      <c r="U148" s="486">
        <v>0</v>
      </c>
      <c r="V148" s="486">
        <f t="shared" si="262"/>
        <v>0</v>
      </c>
      <c r="W148" s="486">
        <v>0</v>
      </c>
      <c r="X148" s="486">
        <v>0</v>
      </c>
      <c r="Y148" s="486">
        <f t="shared" si="263"/>
        <v>0</v>
      </c>
      <c r="Z148" s="486">
        <f t="shared" si="264"/>
        <v>0</v>
      </c>
      <c r="AA148" s="319">
        <f t="shared" si="265"/>
        <v>0</v>
      </c>
      <c r="AB148" s="178">
        <f t="shared" si="266"/>
        <v>0</v>
      </c>
      <c r="AC148" s="486">
        <v>0</v>
      </c>
      <c r="AD148" s="486">
        <v>0</v>
      </c>
      <c r="AE148" s="486">
        <f t="shared" si="267"/>
        <v>0</v>
      </c>
      <c r="AF148" s="486">
        <f t="shared" si="268"/>
        <v>0</v>
      </c>
      <c r="AG148" s="501">
        <v>0</v>
      </c>
      <c r="AH148" s="501">
        <v>0</v>
      </c>
      <c r="AI148" s="501">
        <v>0</v>
      </c>
      <c r="AJ148" s="501">
        <v>0</v>
      </c>
      <c r="AK148" s="501">
        <v>0</v>
      </c>
      <c r="AL148" s="501">
        <f t="shared" si="269"/>
        <v>0</v>
      </c>
      <c r="AM148" s="501">
        <f t="shared" si="270"/>
        <v>0</v>
      </c>
      <c r="AN148" s="529">
        <f t="shared" si="271"/>
        <v>0</v>
      </c>
      <c r="AO148" s="530">
        <f t="shared" si="272"/>
        <v>2635553</v>
      </c>
      <c r="AP148" s="486">
        <f t="shared" si="273"/>
        <v>1865933</v>
      </c>
      <c r="AQ148" s="480">
        <f t="shared" si="274"/>
        <v>23516</v>
      </c>
      <c r="AR148" s="480">
        <f t="shared" si="275"/>
        <v>2516</v>
      </c>
      <c r="AS148" s="486">
        <f t="shared" si="276"/>
        <v>637784</v>
      </c>
      <c r="AT148" s="486">
        <f t="shared" si="276"/>
        <v>37319</v>
      </c>
      <c r="AU148" s="486">
        <f t="shared" si="277"/>
        <v>71001</v>
      </c>
      <c r="AV148" s="501">
        <f t="shared" si="278"/>
        <v>3.5393000000000003</v>
      </c>
      <c r="AW148" s="501">
        <f t="shared" si="279"/>
        <v>2.4736000000000002</v>
      </c>
      <c r="AX148" s="502">
        <f t="shared" si="279"/>
        <v>1.0656999999999999</v>
      </c>
    </row>
    <row r="149" spans="1:50" ht="12.95" customHeight="1" x14ac:dyDescent="0.25">
      <c r="A149" s="154">
        <v>28</v>
      </c>
      <c r="B149" s="526">
        <v>5428</v>
      </c>
      <c r="C149" s="527">
        <v>600099059</v>
      </c>
      <c r="D149" s="83">
        <v>70985740</v>
      </c>
      <c r="E149" s="528" t="s">
        <v>430</v>
      </c>
      <c r="F149" s="83">
        <v>3117</v>
      </c>
      <c r="G149" s="528" t="s">
        <v>325</v>
      </c>
      <c r="H149" s="493" t="s">
        <v>284</v>
      </c>
      <c r="I149" s="495">
        <v>2567</v>
      </c>
      <c r="J149" s="496">
        <v>1890</v>
      </c>
      <c r="K149" s="496">
        <v>0</v>
      </c>
      <c r="L149" s="496">
        <v>0</v>
      </c>
      <c r="M149" s="411">
        <v>639</v>
      </c>
      <c r="N149" s="411">
        <v>38</v>
      </c>
      <c r="O149" s="496">
        <v>0</v>
      </c>
      <c r="P149" s="497">
        <v>0</v>
      </c>
      <c r="Q149" s="412">
        <v>0</v>
      </c>
      <c r="R149" s="498">
        <v>0</v>
      </c>
      <c r="S149" s="479">
        <f t="shared" si="261"/>
        <v>0</v>
      </c>
      <c r="T149" s="486">
        <v>0</v>
      </c>
      <c r="U149" s="486"/>
      <c r="V149" s="486">
        <f t="shared" si="262"/>
        <v>0</v>
      </c>
      <c r="W149" s="486">
        <v>0</v>
      </c>
      <c r="X149" s="486">
        <v>0</v>
      </c>
      <c r="Y149" s="486">
        <f t="shared" si="263"/>
        <v>0</v>
      </c>
      <c r="Z149" s="486">
        <f t="shared" si="264"/>
        <v>0</v>
      </c>
      <c r="AA149" s="319">
        <f t="shared" si="265"/>
        <v>0</v>
      </c>
      <c r="AB149" s="178">
        <f t="shared" si="266"/>
        <v>0</v>
      </c>
      <c r="AC149" s="486">
        <v>0</v>
      </c>
      <c r="AD149" s="486">
        <v>0</v>
      </c>
      <c r="AE149" s="486">
        <f t="shared" si="267"/>
        <v>0</v>
      </c>
      <c r="AF149" s="486">
        <f t="shared" si="268"/>
        <v>0</v>
      </c>
      <c r="AG149" s="501">
        <v>0</v>
      </c>
      <c r="AH149" s="501">
        <v>0</v>
      </c>
      <c r="AI149" s="501">
        <v>0</v>
      </c>
      <c r="AJ149" s="501">
        <v>0</v>
      </c>
      <c r="AK149" s="501">
        <v>0</v>
      </c>
      <c r="AL149" s="501">
        <f t="shared" si="269"/>
        <v>0</v>
      </c>
      <c r="AM149" s="501">
        <f t="shared" si="270"/>
        <v>0</v>
      </c>
      <c r="AN149" s="529">
        <f t="shared" si="271"/>
        <v>0</v>
      </c>
      <c r="AO149" s="530">
        <f t="shared" si="272"/>
        <v>2567</v>
      </c>
      <c r="AP149" s="486">
        <f t="shared" si="273"/>
        <v>1890</v>
      </c>
      <c r="AQ149" s="480">
        <f t="shared" si="274"/>
        <v>0</v>
      </c>
      <c r="AR149" s="480">
        <f t="shared" si="275"/>
        <v>0</v>
      </c>
      <c r="AS149" s="486">
        <f t="shared" si="276"/>
        <v>639</v>
      </c>
      <c r="AT149" s="486">
        <f t="shared" si="276"/>
        <v>38</v>
      </c>
      <c r="AU149" s="486">
        <f t="shared" si="277"/>
        <v>0</v>
      </c>
      <c r="AV149" s="501">
        <f t="shared" si="278"/>
        <v>0</v>
      </c>
      <c r="AW149" s="501">
        <f t="shared" si="279"/>
        <v>0</v>
      </c>
      <c r="AX149" s="502">
        <f t="shared" si="279"/>
        <v>0</v>
      </c>
    </row>
    <row r="150" spans="1:50" ht="12.95" customHeight="1" x14ac:dyDescent="0.25">
      <c r="A150" s="154">
        <v>28</v>
      </c>
      <c r="B150" s="526">
        <v>5428</v>
      </c>
      <c r="C150" s="527">
        <v>600099059</v>
      </c>
      <c r="D150" s="83">
        <v>70985740</v>
      </c>
      <c r="E150" s="528" t="s">
        <v>430</v>
      </c>
      <c r="F150" s="83">
        <v>3141</v>
      </c>
      <c r="G150" s="528" t="s">
        <v>321</v>
      </c>
      <c r="H150" s="493" t="s">
        <v>284</v>
      </c>
      <c r="I150" s="495">
        <v>524453</v>
      </c>
      <c r="J150" s="496">
        <v>345118</v>
      </c>
      <c r="K150" s="496">
        <v>40000</v>
      </c>
      <c r="L150" s="496">
        <v>0</v>
      </c>
      <c r="M150" s="411">
        <v>130170</v>
      </c>
      <c r="N150" s="411">
        <v>6903</v>
      </c>
      <c r="O150" s="496">
        <v>2262</v>
      </c>
      <c r="P150" s="497">
        <v>1.17</v>
      </c>
      <c r="Q150" s="412">
        <v>0</v>
      </c>
      <c r="R150" s="498">
        <v>1.17</v>
      </c>
      <c r="S150" s="479">
        <f t="shared" si="261"/>
        <v>0</v>
      </c>
      <c r="T150" s="486">
        <v>0</v>
      </c>
      <c r="U150" s="486">
        <v>0</v>
      </c>
      <c r="V150" s="486">
        <f t="shared" si="262"/>
        <v>0</v>
      </c>
      <c r="W150" s="486">
        <v>0</v>
      </c>
      <c r="X150" s="486">
        <v>0</v>
      </c>
      <c r="Y150" s="486">
        <f t="shared" si="263"/>
        <v>0</v>
      </c>
      <c r="Z150" s="486">
        <f t="shared" si="264"/>
        <v>0</v>
      </c>
      <c r="AA150" s="319">
        <f t="shared" si="265"/>
        <v>0</v>
      </c>
      <c r="AB150" s="178">
        <f t="shared" si="266"/>
        <v>0</v>
      </c>
      <c r="AC150" s="486">
        <v>0</v>
      </c>
      <c r="AD150" s="486">
        <v>0</v>
      </c>
      <c r="AE150" s="486">
        <f t="shared" si="267"/>
        <v>0</v>
      </c>
      <c r="AF150" s="486">
        <f t="shared" si="268"/>
        <v>0</v>
      </c>
      <c r="AG150" s="501">
        <v>0</v>
      </c>
      <c r="AH150" s="501">
        <v>0</v>
      </c>
      <c r="AI150" s="501">
        <v>0</v>
      </c>
      <c r="AJ150" s="501">
        <v>0</v>
      </c>
      <c r="AK150" s="501">
        <v>0</v>
      </c>
      <c r="AL150" s="501">
        <f t="shared" si="269"/>
        <v>0</v>
      </c>
      <c r="AM150" s="501">
        <f t="shared" si="270"/>
        <v>0</v>
      </c>
      <c r="AN150" s="529">
        <f t="shared" si="271"/>
        <v>0</v>
      </c>
      <c r="AO150" s="530">
        <f t="shared" si="272"/>
        <v>524453</v>
      </c>
      <c r="AP150" s="486">
        <f t="shared" si="273"/>
        <v>345118</v>
      </c>
      <c r="AQ150" s="480">
        <f t="shared" si="274"/>
        <v>40000</v>
      </c>
      <c r="AR150" s="480">
        <f t="shared" si="275"/>
        <v>0</v>
      </c>
      <c r="AS150" s="486">
        <f t="shared" si="276"/>
        <v>130170</v>
      </c>
      <c r="AT150" s="486">
        <f t="shared" si="276"/>
        <v>6903</v>
      </c>
      <c r="AU150" s="486">
        <f t="shared" si="277"/>
        <v>2262</v>
      </c>
      <c r="AV150" s="501">
        <f t="shared" si="278"/>
        <v>1.17</v>
      </c>
      <c r="AW150" s="501">
        <f t="shared" si="279"/>
        <v>0</v>
      </c>
      <c r="AX150" s="502">
        <f t="shared" si="279"/>
        <v>1.17</v>
      </c>
    </row>
    <row r="151" spans="1:50" ht="12.95" customHeight="1" x14ac:dyDescent="0.25">
      <c r="A151" s="154">
        <v>28</v>
      </c>
      <c r="B151" s="526">
        <v>5428</v>
      </c>
      <c r="C151" s="527">
        <v>600099059</v>
      </c>
      <c r="D151" s="83">
        <v>70985740</v>
      </c>
      <c r="E151" s="528" t="s">
        <v>430</v>
      </c>
      <c r="F151" s="83">
        <v>3143</v>
      </c>
      <c r="G151" s="528" t="s">
        <v>634</v>
      </c>
      <c r="H151" s="493" t="s">
        <v>283</v>
      </c>
      <c r="I151" s="495">
        <v>532136</v>
      </c>
      <c r="J151" s="496">
        <v>372147</v>
      </c>
      <c r="K151" s="496">
        <v>20000</v>
      </c>
      <c r="L151" s="496">
        <v>0</v>
      </c>
      <c r="M151" s="411">
        <v>132546</v>
      </c>
      <c r="N151" s="411">
        <v>7443</v>
      </c>
      <c r="O151" s="496">
        <v>0</v>
      </c>
      <c r="P151" s="497">
        <v>0.77170000000000005</v>
      </c>
      <c r="Q151" s="412">
        <v>0.83169999999999999</v>
      </c>
      <c r="R151" s="498">
        <v>-0.06</v>
      </c>
      <c r="S151" s="479">
        <f t="shared" si="261"/>
        <v>0</v>
      </c>
      <c r="T151" s="486">
        <v>0</v>
      </c>
      <c r="U151" s="486">
        <v>0</v>
      </c>
      <c r="V151" s="486">
        <f t="shared" si="262"/>
        <v>0</v>
      </c>
      <c r="W151" s="486">
        <v>0</v>
      </c>
      <c r="X151" s="486">
        <v>0</v>
      </c>
      <c r="Y151" s="486">
        <f t="shared" si="263"/>
        <v>0</v>
      </c>
      <c r="Z151" s="486">
        <f t="shared" si="264"/>
        <v>0</v>
      </c>
      <c r="AA151" s="319">
        <f t="shared" si="265"/>
        <v>0</v>
      </c>
      <c r="AB151" s="178">
        <f t="shared" si="266"/>
        <v>0</v>
      </c>
      <c r="AC151" s="486">
        <v>0</v>
      </c>
      <c r="AD151" s="486">
        <v>0</v>
      </c>
      <c r="AE151" s="486">
        <f t="shared" si="267"/>
        <v>0</v>
      </c>
      <c r="AF151" s="486">
        <f t="shared" si="268"/>
        <v>0</v>
      </c>
      <c r="AG151" s="501">
        <v>0</v>
      </c>
      <c r="AH151" s="501">
        <v>0</v>
      </c>
      <c r="AI151" s="501">
        <v>0</v>
      </c>
      <c r="AJ151" s="501">
        <v>0</v>
      </c>
      <c r="AK151" s="501">
        <v>0</v>
      </c>
      <c r="AL151" s="501">
        <f t="shared" si="269"/>
        <v>0</v>
      </c>
      <c r="AM151" s="501">
        <f t="shared" si="270"/>
        <v>0</v>
      </c>
      <c r="AN151" s="529">
        <f t="shared" si="271"/>
        <v>0</v>
      </c>
      <c r="AO151" s="530">
        <f t="shared" si="272"/>
        <v>532136</v>
      </c>
      <c r="AP151" s="486">
        <f t="shared" si="273"/>
        <v>372147</v>
      </c>
      <c r="AQ151" s="480">
        <f t="shared" si="274"/>
        <v>20000</v>
      </c>
      <c r="AR151" s="480">
        <f t="shared" si="275"/>
        <v>0</v>
      </c>
      <c r="AS151" s="486">
        <f t="shared" si="276"/>
        <v>132546</v>
      </c>
      <c r="AT151" s="486">
        <f t="shared" si="276"/>
        <v>7443</v>
      </c>
      <c r="AU151" s="486">
        <f t="shared" si="277"/>
        <v>0</v>
      </c>
      <c r="AV151" s="501">
        <f t="shared" si="278"/>
        <v>0.77170000000000005</v>
      </c>
      <c r="AW151" s="501">
        <f t="shared" si="279"/>
        <v>0.83169999999999999</v>
      </c>
      <c r="AX151" s="502">
        <f t="shared" si="279"/>
        <v>-0.06</v>
      </c>
    </row>
    <row r="152" spans="1:50" ht="12.95" customHeight="1" x14ac:dyDescent="0.25">
      <c r="A152" s="154">
        <v>28</v>
      </c>
      <c r="B152" s="526">
        <v>5428</v>
      </c>
      <c r="C152" s="527">
        <v>600099059</v>
      </c>
      <c r="D152" s="83">
        <v>70985740</v>
      </c>
      <c r="E152" s="528" t="s">
        <v>430</v>
      </c>
      <c r="F152" s="83">
        <v>3143</v>
      </c>
      <c r="G152" s="528" t="s">
        <v>635</v>
      </c>
      <c r="H152" s="493" t="s">
        <v>284</v>
      </c>
      <c r="I152" s="495">
        <v>10534</v>
      </c>
      <c r="J152" s="496">
        <v>7425</v>
      </c>
      <c r="K152" s="496">
        <v>0</v>
      </c>
      <c r="L152" s="496">
        <v>0</v>
      </c>
      <c r="M152" s="411">
        <v>2510</v>
      </c>
      <c r="N152" s="411">
        <v>149</v>
      </c>
      <c r="O152" s="496">
        <v>450</v>
      </c>
      <c r="P152" s="497">
        <v>0.03</v>
      </c>
      <c r="Q152" s="412">
        <v>0</v>
      </c>
      <c r="R152" s="498">
        <v>0.03</v>
      </c>
      <c r="S152" s="479">
        <f t="shared" si="261"/>
        <v>0</v>
      </c>
      <c r="T152" s="486">
        <v>0</v>
      </c>
      <c r="U152" s="486">
        <v>0</v>
      </c>
      <c r="V152" s="486">
        <f t="shared" si="262"/>
        <v>0</v>
      </c>
      <c r="W152" s="486">
        <v>0</v>
      </c>
      <c r="X152" s="486">
        <v>0</v>
      </c>
      <c r="Y152" s="486">
        <f t="shared" si="263"/>
        <v>0</v>
      </c>
      <c r="Z152" s="486">
        <f t="shared" si="264"/>
        <v>0</v>
      </c>
      <c r="AA152" s="319">
        <f t="shared" si="265"/>
        <v>0</v>
      </c>
      <c r="AB152" s="178">
        <f t="shared" si="266"/>
        <v>0</v>
      </c>
      <c r="AC152" s="486">
        <v>0</v>
      </c>
      <c r="AD152" s="486">
        <v>0</v>
      </c>
      <c r="AE152" s="486">
        <f t="shared" si="267"/>
        <v>0</v>
      </c>
      <c r="AF152" s="486">
        <f t="shared" si="268"/>
        <v>0</v>
      </c>
      <c r="AG152" s="501">
        <v>0</v>
      </c>
      <c r="AH152" s="501">
        <v>0</v>
      </c>
      <c r="AI152" s="501">
        <v>0</v>
      </c>
      <c r="AJ152" s="501">
        <v>0</v>
      </c>
      <c r="AK152" s="501">
        <v>0</v>
      </c>
      <c r="AL152" s="501">
        <f t="shared" si="269"/>
        <v>0</v>
      </c>
      <c r="AM152" s="501">
        <f t="shared" si="270"/>
        <v>0</v>
      </c>
      <c r="AN152" s="529">
        <f t="shared" si="271"/>
        <v>0</v>
      </c>
      <c r="AO152" s="530">
        <f t="shared" si="272"/>
        <v>10534</v>
      </c>
      <c r="AP152" s="486">
        <f t="shared" si="273"/>
        <v>7425</v>
      </c>
      <c r="AQ152" s="480">
        <f t="shared" si="274"/>
        <v>0</v>
      </c>
      <c r="AR152" s="480">
        <f t="shared" si="275"/>
        <v>0</v>
      </c>
      <c r="AS152" s="486">
        <f t="shared" si="276"/>
        <v>2510</v>
      </c>
      <c r="AT152" s="486">
        <f t="shared" si="276"/>
        <v>149</v>
      </c>
      <c r="AU152" s="486">
        <f t="shared" si="277"/>
        <v>450</v>
      </c>
      <c r="AV152" s="501">
        <f t="shared" si="278"/>
        <v>0.03</v>
      </c>
      <c r="AW152" s="501">
        <f t="shared" si="279"/>
        <v>0</v>
      </c>
      <c r="AX152" s="502">
        <f t="shared" si="279"/>
        <v>0.03</v>
      </c>
    </row>
    <row r="153" spans="1:50" ht="12.95" customHeight="1" x14ac:dyDescent="0.25">
      <c r="A153" s="156">
        <v>28</v>
      </c>
      <c r="B153" s="104">
        <v>5428</v>
      </c>
      <c r="C153" s="105">
        <v>600099059</v>
      </c>
      <c r="D153" s="104">
        <v>70985740</v>
      </c>
      <c r="E153" s="298" t="s">
        <v>431</v>
      </c>
      <c r="F153" s="92"/>
      <c r="G153" s="299"/>
      <c r="H153" s="93"/>
      <c r="I153" s="294">
        <v>4892018</v>
      </c>
      <c r="J153" s="106">
        <v>3435382</v>
      </c>
      <c r="K153" s="106">
        <v>103516</v>
      </c>
      <c r="L153" s="106">
        <v>2516</v>
      </c>
      <c r="M153" s="106">
        <v>1195298</v>
      </c>
      <c r="N153" s="106">
        <v>68709</v>
      </c>
      <c r="O153" s="106">
        <v>89113</v>
      </c>
      <c r="P153" s="157">
        <v>7.5225000000000009</v>
      </c>
      <c r="Q153" s="157">
        <v>4.8758999999999997</v>
      </c>
      <c r="R153" s="296">
        <v>2.6465999999999994</v>
      </c>
      <c r="S153" s="149">
        <f t="shared" ref="S153:AN153" si="280">SUM(S147:S152)</f>
        <v>0</v>
      </c>
      <c r="T153" s="106">
        <f t="shared" si="280"/>
        <v>0</v>
      </c>
      <c r="U153" s="106">
        <f t="shared" si="280"/>
        <v>0</v>
      </c>
      <c r="V153" s="106">
        <f t="shared" si="280"/>
        <v>0</v>
      </c>
      <c r="W153" s="106">
        <f t="shared" si="280"/>
        <v>0</v>
      </c>
      <c r="X153" s="106">
        <f t="shared" si="280"/>
        <v>0</v>
      </c>
      <c r="Y153" s="106">
        <f t="shared" si="280"/>
        <v>0</v>
      </c>
      <c r="Z153" s="106">
        <f t="shared" si="280"/>
        <v>0</v>
      </c>
      <c r="AA153" s="106">
        <f t="shared" si="280"/>
        <v>0</v>
      </c>
      <c r="AB153" s="106">
        <f t="shared" si="280"/>
        <v>0</v>
      </c>
      <c r="AC153" s="106">
        <f t="shared" si="280"/>
        <v>0</v>
      </c>
      <c r="AD153" s="106">
        <f t="shared" si="280"/>
        <v>0</v>
      </c>
      <c r="AE153" s="106">
        <f t="shared" si="280"/>
        <v>0</v>
      </c>
      <c r="AF153" s="106">
        <f t="shared" si="280"/>
        <v>0</v>
      </c>
      <c r="AG153" s="157">
        <f t="shared" si="280"/>
        <v>0</v>
      </c>
      <c r="AH153" s="157">
        <f t="shared" si="280"/>
        <v>0</v>
      </c>
      <c r="AI153" s="157">
        <f t="shared" si="280"/>
        <v>0</v>
      </c>
      <c r="AJ153" s="157">
        <f t="shared" si="280"/>
        <v>0</v>
      </c>
      <c r="AK153" s="157">
        <f t="shared" si="280"/>
        <v>0</v>
      </c>
      <c r="AL153" s="157">
        <f t="shared" si="280"/>
        <v>0</v>
      </c>
      <c r="AM153" s="157">
        <f t="shared" si="280"/>
        <v>0</v>
      </c>
      <c r="AN153" s="409">
        <f t="shared" si="280"/>
        <v>0</v>
      </c>
      <c r="AO153" s="294">
        <f t="shared" ref="AO153:AX153" si="281">SUM(AO147:AO152)</f>
        <v>4892018</v>
      </c>
      <c r="AP153" s="106">
        <f t="shared" si="281"/>
        <v>3435382</v>
      </c>
      <c r="AQ153" s="106">
        <f t="shared" si="281"/>
        <v>103516</v>
      </c>
      <c r="AR153" s="106">
        <f t="shared" si="281"/>
        <v>2516</v>
      </c>
      <c r="AS153" s="106">
        <f t="shared" si="281"/>
        <v>1195298</v>
      </c>
      <c r="AT153" s="106">
        <f t="shared" si="281"/>
        <v>68709</v>
      </c>
      <c r="AU153" s="106">
        <f t="shared" si="281"/>
        <v>89113</v>
      </c>
      <c r="AV153" s="157">
        <f t="shared" si="281"/>
        <v>7.5225000000000009</v>
      </c>
      <c r="AW153" s="157">
        <f t="shared" si="281"/>
        <v>4.8758999999999997</v>
      </c>
      <c r="AX153" s="296">
        <f t="shared" si="281"/>
        <v>2.6465999999999994</v>
      </c>
    </row>
    <row r="154" spans="1:50" ht="12.95" customHeight="1" x14ac:dyDescent="0.25">
      <c r="A154" s="154">
        <v>29</v>
      </c>
      <c r="B154" s="526">
        <v>5472</v>
      </c>
      <c r="C154" s="527">
        <v>600098672</v>
      </c>
      <c r="D154" s="83">
        <v>72743565</v>
      </c>
      <c r="E154" s="528" t="s">
        <v>432</v>
      </c>
      <c r="F154" s="83">
        <v>3111</v>
      </c>
      <c r="G154" s="528" t="s">
        <v>331</v>
      </c>
      <c r="H154" s="493" t="s">
        <v>283</v>
      </c>
      <c r="I154" s="495">
        <v>3359809</v>
      </c>
      <c r="J154" s="496">
        <v>2446251</v>
      </c>
      <c r="K154" s="496">
        <v>0</v>
      </c>
      <c r="L154" s="496">
        <v>0</v>
      </c>
      <c r="M154" s="411">
        <v>826833</v>
      </c>
      <c r="N154" s="411">
        <v>48925</v>
      </c>
      <c r="O154" s="496">
        <v>37800</v>
      </c>
      <c r="P154" s="497">
        <v>5.4897999999999998</v>
      </c>
      <c r="Q154" s="412">
        <v>4</v>
      </c>
      <c r="R154" s="498">
        <v>1.4898</v>
      </c>
      <c r="S154" s="479">
        <f t="shared" ref="S154:S155" si="282">W154*-1</f>
        <v>0</v>
      </c>
      <c r="T154" s="486">
        <v>0</v>
      </c>
      <c r="U154" s="486">
        <v>0</v>
      </c>
      <c r="V154" s="486">
        <f>SUM(S154:U154)</f>
        <v>0</v>
      </c>
      <c r="W154" s="486">
        <v>0</v>
      </c>
      <c r="X154" s="486">
        <v>0</v>
      </c>
      <c r="Y154" s="486">
        <f>SUM(W154:X154)</f>
        <v>0</v>
      </c>
      <c r="Z154" s="486">
        <f>V154+Y154</f>
        <v>0</v>
      </c>
      <c r="AA154" s="319">
        <f>ROUND((V154+W154)*33.8%,0)</f>
        <v>0</v>
      </c>
      <c r="AB154" s="178">
        <f>ROUND(V154*2%,0)</f>
        <v>0</v>
      </c>
      <c r="AC154" s="486">
        <v>0</v>
      </c>
      <c r="AD154" s="486">
        <v>0</v>
      </c>
      <c r="AE154" s="486">
        <f t="shared" si="267"/>
        <v>0</v>
      </c>
      <c r="AF154" s="486">
        <f t="shared" si="268"/>
        <v>0</v>
      </c>
      <c r="AG154" s="501">
        <v>0</v>
      </c>
      <c r="AH154" s="501">
        <v>0</v>
      </c>
      <c r="AI154" s="501">
        <v>0</v>
      </c>
      <c r="AJ154" s="501">
        <v>0</v>
      </c>
      <c r="AK154" s="501">
        <v>0</v>
      </c>
      <c r="AL154" s="501">
        <f t="shared" ref="AL154:AL155" si="283">AG154+AI154+AJ154</f>
        <v>0</v>
      </c>
      <c r="AM154" s="501">
        <f t="shared" ref="AM154:AM155" si="284">AH154+AK154</f>
        <v>0</v>
      </c>
      <c r="AN154" s="529">
        <f t="shared" si="271"/>
        <v>0</v>
      </c>
      <c r="AO154" s="530">
        <f>I154+AF154</f>
        <v>3359809</v>
      </c>
      <c r="AP154" s="486">
        <f>J154+V154</f>
        <v>2446251</v>
      </c>
      <c r="AQ154" s="480">
        <f>K154+Y154</f>
        <v>0</v>
      </c>
      <c r="AR154" s="480">
        <f>L154</f>
        <v>0</v>
      </c>
      <c r="AS154" s="486">
        <f>M154+AA154</f>
        <v>826833</v>
      </c>
      <c r="AT154" s="486">
        <f>N154+AB154</f>
        <v>48925</v>
      </c>
      <c r="AU154" s="486">
        <f>O154+AE154</f>
        <v>37800</v>
      </c>
      <c r="AV154" s="501">
        <f>P154+AN154</f>
        <v>5.4897999999999998</v>
      </c>
      <c r="AW154" s="501">
        <f>Q154+AL154</f>
        <v>4</v>
      </c>
      <c r="AX154" s="502">
        <f>R154+AM154</f>
        <v>1.4898</v>
      </c>
    </row>
    <row r="155" spans="1:50" ht="12.95" customHeight="1" x14ac:dyDescent="0.25">
      <c r="A155" s="154">
        <v>29</v>
      </c>
      <c r="B155" s="526">
        <v>5472</v>
      </c>
      <c r="C155" s="527">
        <v>600098672</v>
      </c>
      <c r="D155" s="83">
        <v>72743565</v>
      </c>
      <c r="E155" s="528" t="s">
        <v>432</v>
      </c>
      <c r="F155" s="83">
        <v>3141</v>
      </c>
      <c r="G155" s="528" t="s">
        <v>321</v>
      </c>
      <c r="H155" s="493" t="s">
        <v>284</v>
      </c>
      <c r="I155" s="495">
        <v>665634</v>
      </c>
      <c r="J155" s="496">
        <v>487851</v>
      </c>
      <c r="K155" s="496">
        <v>0</v>
      </c>
      <c r="L155" s="496">
        <v>0</v>
      </c>
      <c r="M155" s="411">
        <v>164894</v>
      </c>
      <c r="N155" s="411">
        <v>9757</v>
      </c>
      <c r="O155" s="496">
        <v>3132</v>
      </c>
      <c r="P155" s="497">
        <v>1.65</v>
      </c>
      <c r="Q155" s="412">
        <v>0</v>
      </c>
      <c r="R155" s="498">
        <v>1.65</v>
      </c>
      <c r="S155" s="479">
        <f t="shared" si="282"/>
        <v>0</v>
      </c>
      <c r="T155" s="486">
        <v>0</v>
      </c>
      <c r="U155" s="486">
        <v>0</v>
      </c>
      <c r="V155" s="486">
        <f>SUM(S155:U155)</f>
        <v>0</v>
      </c>
      <c r="W155" s="486">
        <v>0</v>
      </c>
      <c r="X155" s="486">
        <v>0</v>
      </c>
      <c r="Y155" s="486">
        <f>SUM(W155:X155)</f>
        <v>0</v>
      </c>
      <c r="Z155" s="486">
        <f>V155+Y155</f>
        <v>0</v>
      </c>
      <c r="AA155" s="319">
        <f>ROUND((V155+W155)*33.8%,0)</f>
        <v>0</v>
      </c>
      <c r="AB155" s="178">
        <f>ROUND(V155*2%,0)</f>
        <v>0</v>
      </c>
      <c r="AC155" s="486">
        <v>0</v>
      </c>
      <c r="AD155" s="486">
        <v>0</v>
      </c>
      <c r="AE155" s="486">
        <f t="shared" si="267"/>
        <v>0</v>
      </c>
      <c r="AF155" s="486">
        <f t="shared" si="268"/>
        <v>0</v>
      </c>
      <c r="AG155" s="501">
        <v>0</v>
      </c>
      <c r="AH155" s="501">
        <v>0</v>
      </c>
      <c r="AI155" s="501">
        <v>0</v>
      </c>
      <c r="AJ155" s="501">
        <v>0</v>
      </c>
      <c r="AK155" s="501">
        <v>0</v>
      </c>
      <c r="AL155" s="501">
        <f t="shared" si="283"/>
        <v>0</v>
      </c>
      <c r="AM155" s="501">
        <f t="shared" si="284"/>
        <v>0</v>
      </c>
      <c r="AN155" s="529">
        <f t="shared" si="271"/>
        <v>0</v>
      </c>
      <c r="AO155" s="530">
        <f>I155+AF155</f>
        <v>665634</v>
      </c>
      <c r="AP155" s="486">
        <f>J155+V155</f>
        <v>487851</v>
      </c>
      <c r="AQ155" s="480">
        <f>K155+Y155</f>
        <v>0</v>
      </c>
      <c r="AR155" s="480">
        <f>L155</f>
        <v>0</v>
      </c>
      <c r="AS155" s="486">
        <f>M155+AA155</f>
        <v>164894</v>
      </c>
      <c r="AT155" s="486">
        <f>N155+AB155</f>
        <v>9757</v>
      </c>
      <c r="AU155" s="486">
        <f>O155+AE155</f>
        <v>3132</v>
      </c>
      <c r="AV155" s="501">
        <f>P155+AN155</f>
        <v>1.65</v>
      </c>
      <c r="AW155" s="501">
        <f>Q155+AL155</f>
        <v>0</v>
      </c>
      <c r="AX155" s="502">
        <f>R155+AM155</f>
        <v>1.65</v>
      </c>
    </row>
    <row r="156" spans="1:50" ht="12.95" customHeight="1" x14ac:dyDescent="0.25">
      <c r="A156" s="156">
        <v>29</v>
      </c>
      <c r="B156" s="104">
        <v>5472</v>
      </c>
      <c r="C156" s="105">
        <v>600098672</v>
      </c>
      <c r="D156" s="104">
        <v>72743565</v>
      </c>
      <c r="E156" s="298" t="s">
        <v>433</v>
      </c>
      <c r="F156" s="92"/>
      <c r="G156" s="299"/>
      <c r="H156" s="93"/>
      <c r="I156" s="147">
        <v>4025443</v>
      </c>
      <c r="J156" s="91">
        <v>2934102</v>
      </c>
      <c r="K156" s="91">
        <v>0</v>
      </c>
      <c r="L156" s="91">
        <v>0</v>
      </c>
      <c r="M156" s="91">
        <v>991727</v>
      </c>
      <c r="N156" s="91">
        <v>58682</v>
      </c>
      <c r="O156" s="91">
        <v>40932</v>
      </c>
      <c r="P156" s="94">
        <v>7.1397999999999993</v>
      </c>
      <c r="Q156" s="94">
        <v>4</v>
      </c>
      <c r="R156" s="275">
        <v>3.1398000000000001</v>
      </c>
      <c r="S156" s="142">
        <f t="shared" ref="S156:AN156" si="285">SUM(S154:S155)</f>
        <v>0</v>
      </c>
      <c r="T156" s="91">
        <f t="shared" si="285"/>
        <v>0</v>
      </c>
      <c r="U156" s="91">
        <f t="shared" si="285"/>
        <v>0</v>
      </c>
      <c r="V156" s="91">
        <f t="shared" si="285"/>
        <v>0</v>
      </c>
      <c r="W156" s="91">
        <f t="shared" si="285"/>
        <v>0</v>
      </c>
      <c r="X156" s="91">
        <f t="shared" si="285"/>
        <v>0</v>
      </c>
      <c r="Y156" s="91">
        <f t="shared" si="285"/>
        <v>0</v>
      </c>
      <c r="Z156" s="91">
        <f t="shared" si="285"/>
        <v>0</v>
      </c>
      <c r="AA156" s="91">
        <f t="shared" si="285"/>
        <v>0</v>
      </c>
      <c r="AB156" s="91">
        <f t="shared" si="285"/>
        <v>0</v>
      </c>
      <c r="AC156" s="91">
        <f t="shared" si="285"/>
        <v>0</v>
      </c>
      <c r="AD156" s="91">
        <f t="shared" si="285"/>
        <v>0</v>
      </c>
      <c r="AE156" s="91">
        <f t="shared" si="285"/>
        <v>0</v>
      </c>
      <c r="AF156" s="91">
        <f t="shared" si="285"/>
        <v>0</v>
      </c>
      <c r="AG156" s="94">
        <f t="shared" si="285"/>
        <v>0</v>
      </c>
      <c r="AH156" s="94">
        <f t="shared" si="285"/>
        <v>0</v>
      </c>
      <c r="AI156" s="94">
        <f t="shared" si="285"/>
        <v>0</v>
      </c>
      <c r="AJ156" s="94">
        <f t="shared" si="285"/>
        <v>0</v>
      </c>
      <c r="AK156" s="94">
        <f t="shared" si="285"/>
        <v>0</v>
      </c>
      <c r="AL156" s="94">
        <f t="shared" si="285"/>
        <v>0</v>
      </c>
      <c r="AM156" s="94">
        <f t="shared" si="285"/>
        <v>0</v>
      </c>
      <c r="AN156" s="405">
        <f t="shared" si="285"/>
        <v>0</v>
      </c>
      <c r="AO156" s="147">
        <f t="shared" ref="AO156:AX156" si="286">SUM(AO154:AO155)</f>
        <v>4025443</v>
      </c>
      <c r="AP156" s="91">
        <f t="shared" si="286"/>
        <v>2934102</v>
      </c>
      <c r="AQ156" s="91">
        <f t="shared" si="286"/>
        <v>0</v>
      </c>
      <c r="AR156" s="91">
        <f t="shared" si="286"/>
        <v>0</v>
      </c>
      <c r="AS156" s="91">
        <f t="shared" si="286"/>
        <v>991727</v>
      </c>
      <c r="AT156" s="91">
        <f t="shared" si="286"/>
        <v>58682</v>
      </c>
      <c r="AU156" s="91">
        <f t="shared" si="286"/>
        <v>40932</v>
      </c>
      <c r="AV156" s="94">
        <f t="shared" si="286"/>
        <v>7.1397999999999993</v>
      </c>
      <c r="AW156" s="94">
        <f t="shared" si="286"/>
        <v>4</v>
      </c>
      <c r="AX156" s="275">
        <f t="shared" si="286"/>
        <v>3.1398000000000001</v>
      </c>
    </row>
    <row r="157" spans="1:50" ht="12.95" customHeight="1" x14ac:dyDescent="0.25">
      <c r="A157" s="154">
        <v>30</v>
      </c>
      <c r="B157" s="526">
        <v>5471</v>
      </c>
      <c r="C157" s="527">
        <v>600099229</v>
      </c>
      <c r="D157" s="83">
        <v>72743646</v>
      </c>
      <c r="E157" s="528" t="s">
        <v>434</v>
      </c>
      <c r="F157" s="83">
        <v>3113</v>
      </c>
      <c r="G157" s="528" t="s">
        <v>335</v>
      </c>
      <c r="H157" s="493" t="s">
        <v>283</v>
      </c>
      <c r="I157" s="495">
        <v>12698143</v>
      </c>
      <c r="J157" s="496">
        <v>9010348</v>
      </c>
      <c r="K157" s="496">
        <v>79539</v>
      </c>
      <c r="L157" s="496">
        <v>75539</v>
      </c>
      <c r="M157" s="411">
        <v>3046850</v>
      </c>
      <c r="N157" s="411">
        <v>180206</v>
      </c>
      <c r="O157" s="496">
        <v>381200</v>
      </c>
      <c r="P157" s="497">
        <v>17.644500000000001</v>
      </c>
      <c r="Q157" s="412">
        <v>13.09</v>
      </c>
      <c r="R157" s="498">
        <v>4.5545</v>
      </c>
      <c r="S157" s="479">
        <f t="shared" ref="S157:S161" si="287">W157*-1</f>
        <v>0</v>
      </c>
      <c r="T157" s="486">
        <v>0</v>
      </c>
      <c r="U157" s="486">
        <v>0</v>
      </c>
      <c r="V157" s="486">
        <f>SUM(S157:U157)</f>
        <v>0</v>
      </c>
      <c r="W157" s="486">
        <v>0</v>
      </c>
      <c r="X157" s="486">
        <v>0</v>
      </c>
      <c r="Y157" s="486">
        <f>SUM(W157:X157)</f>
        <v>0</v>
      </c>
      <c r="Z157" s="486">
        <f>V157+Y157</f>
        <v>0</v>
      </c>
      <c r="AA157" s="319">
        <f>ROUND((V157+W157)*33.8%,0)</f>
        <v>0</v>
      </c>
      <c r="AB157" s="178">
        <f>ROUND(V157*2%,0)</f>
        <v>0</v>
      </c>
      <c r="AC157" s="486">
        <v>0</v>
      </c>
      <c r="AD157" s="486">
        <v>0</v>
      </c>
      <c r="AE157" s="486">
        <f t="shared" si="267"/>
        <v>0</v>
      </c>
      <c r="AF157" s="486">
        <f t="shared" si="268"/>
        <v>0</v>
      </c>
      <c r="AG157" s="501">
        <v>0</v>
      </c>
      <c r="AH157" s="501">
        <v>0</v>
      </c>
      <c r="AI157" s="501">
        <v>0</v>
      </c>
      <c r="AJ157" s="501">
        <v>0</v>
      </c>
      <c r="AK157" s="501">
        <v>0</v>
      </c>
      <c r="AL157" s="501">
        <f t="shared" ref="AL157:AL161" si="288">AG157+AI157+AJ157</f>
        <v>0</v>
      </c>
      <c r="AM157" s="501">
        <f t="shared" ref="AM157:AM161" si="289">AH157+AK157</f>
        <v>0</v>
      </c>
      <c r="AN157" s="529">
        <f t="shared" si="271"/>
        <v>0</v>
      </c>
      <c r="AO157" s="530">
        <f>I157+AF157</f>
        <v>12698143</v>
      </c>
      <c r="AP157" s="486">
        <f>J157+V157</f>
        <v>9010348</v>
      </c>
      <c r="AQ157" s="480">
        <f>K157+Y157</f>
        <v>79539</v>
      </c>
      <c r="AR157" s="480">
        <f>L157</f>
        <v>75539</v>
      </c>
      <c r="AS157" s="486">
        <f t="shared" ref="AS157:AT161" si="290">M157+AA157</f>
        <v>3046850</v>
      </c>
      <c r="AT157" s="486">
        <f t="shared" si="290"/>
        <v>180206</v>
      </c>
      <c r="AU157" s="486">
        <f>O157+AE157</f>
        <v>381200</v>
      </c>
      <c r="AV157" s="501">
        <f>P157+AN157</f>
        <v>17.644500000000001</v>
      </c>
      <c r="AW157" s="501">
        <f t="shared" ref="AW157:AX161" si="291">Q157+AL157</f>
        <v>13.09</v>
      </c>
      <c r="AX157" s="502">
        <f t="shared" si="291"/>
        <v>4.5545</v>
      </c>
    </row>
    <row r="158" spans="1:50" ht="12.95" customHeight="1" x14ac:dyDescent="0.25">
      <c r="A158" s="154">
        <v>30</v>
      </c>
      <c r="B158" s="526">
        <v>5471</v>
      </c>
      <c r="C158" s="527">
        <v>600099229</v>
      </c>
      <c r="D158" s="83">
        <v>72743646</v>
      </c>
      <c r="E158" s="528" t="s">
        <v>434</v>
      </c>
      <c r="F158" s="83">
        <v>3113</v>
      </c>
      <c r="G158" s="528" t="s">
        <v>325</v>
      </c>
      <c r="H158" s="493" t="s">
        <v>284</v>
      </c>
      <c r="I158" s="495">
        <v>866086</v>
      </c>
      <c r="J158" s="496">
        <v>637766</v>
      </c>
      <c r="K158" s="496">
        <v>0</v>
      </c>
      <c r="L158" s="496">
        <v>0</v>
      </c>
      <c r="M158" s="411">
        <v>215565</v>
      </c>
      <c r="N158" s="411">
        <v>12755</v>
      </c>
      <c r="O158" s="496">
        <v>0</v>
      </c>
      <c r="P158" s="497">
        <v>1.86</v>
      </c>
      <c r="Q158" s="412">
        <v>1.86</v>
      </c>
      <c r="R158" s="498">
        <v>0</v>
      </c>
      <c r="S158" s="479">
        <f t="shared" si="287"/>
        <v>0</v>
      </c>
      <c r="T158" s="486"/>
      <c r="U158" s="486">
        <v>0</v>
      </c>
      <c r="V158" s="486">
        <f>SUM(S158:U158)</f>
        <v>0</v>
      </c>
      <c r="W158" s="486">
        <v>0</v>
      </c>
      <c r="X158" s="486">
        <v>0</v>
      </c>
      <c r="Y158" s="486">
        <f>SUM(W158:X158)</f>
        <v>0</v>
      </c>
      <c r="Z158" s="486">
        <f>V158+Y158</f>
        <v>0</v>
      </c>
      <c r="AA158" s="319">
        <f>ROUND((V158+W158)*33.8%,0)</f>
        <v>0</v>
      </c>
      <c r="AB158" s="178">
        <f>ROUND(V158*2%,0)</f>
        <v>0</v>
      </c>
      <c r="AC158" s="486">
        <v>0</v>
      </c>
      <c r="AD158" s="486">
        <v>0</v>
      </c>
      <c r="AE158" s="486">
        <f t="shared" si="267"/>
        <v>0</v>
      </c>
      <c r="AF158" s="486">
        <f t="shared" si="268"/>
        <v>0</v>
      </c>
      <c r="AG158" s="501">
        <v>0</v>
      </c>
      <c r="AH158" s="501">
        <v>0</v>
      </c>
      <c r="AI158" s="501">
        <v>0</v>
      </c>
      <c r="AJ158" s="501">
        <v>0</v>
      </c>
      <c r="AK158" s="501">
        <v>0</v>
      </c>
      <c r="AL158" s="501">
        <f t="shared" si="288"/>
        <v>0</v>
      </c>
      <c r="AM158" s="501">
        <f t="shared" si="289"/>
        <v>0</v>
      </c>
      <c r="AN158" s="529">
        <f t="shared" si="271"/>
        <v>0</v>
      </c>
      <c r="AO158" s="530">
        <f>I158+AF158</f>
        <v>866086</v>
      </c>
      <c r="AP158" s="486">
        <f>J158+V158</f>
        <v>637766</v>
      </c>
      <c r="AQ158" s="480">
        <f>K158+Y158</f>
        <v>0</v>
      </c>
      <c r="AR158" s="480">
        <f>L158</f>
        <v>0</v>
      </c>
      <c r="AS158" s="486">
        <f t="shared" si="290"/>
        <v>215565</v>
      </c>
      <c r="AT158" s="486">
        <f t="shared" si="290"/>
        <v>12755</v>
      </c>
      <c r="AU158" s="486">
        <f>O158+AE158</f>
        <v>0</v>
      </c>
      <c r="AV158" s="501">
        <f>P158+AN158</f>
        <v>1.86</v>
      </c>
      <c r="AW158" s="501">
        <f t="shared" si="291"/>
        <v>1.86</v>
      </c>
      <c r="AX158" s="502">
        <f t="shared" si="291"/>
        <v>0</v>
      </c>
    </row>
    <row r="159" spans="1:50" ht="12.95" customHeight="1" x14ac:dyDescent="0.25">
      <c r="A159" s="154">
        <v>30</v>
      </c>
      <c r="B159" s="526">
        <v>5471</v>
      </c>
      <c r="C159" s="527">
        <v>600099229</v>
      </c>
      <c r="D159" s="83">
        <v>72743646</v>
      </c>
      <c r="E159" s="528" t="s">
        <v>434</v>
      </c>
      <c r="F159" s="83">
        <v>3141</v>
      </c>
      <c r="G159" s="528" t="s">
        <v>321</v>
      </c>
      <c r="H159" s="493" t="s">
        <v>284</v>
      </c>
      <c r="I159" s="495">
        <v>1213768</v>
      </c>
      <c r="J159" s="496">
        <v>886701</v>
      </c>
      <c r="K159" s="496">
        <v>0</v>
      </c>
      <c r="L159" s="496">
        <v>0</v>
      </c>
      <c r="M159" s="411">
        <v>299705</v>
      </c>
      <c r="N159" s="411">
        <v>17734</v>
      </c>
      <c r="O159" s="496">
        <v>9628</v>
      </c>
      <c r="P159" s="497">
        <v>3.0199999999999996</v>
      </c>
      <c r="Q159" s="412">
        <v>0</v>
      </c>
      <c r="R159" s="498">
        <v>3.0199999999999996</v>
      </c>
      <c r="S159" s="479">
        <f t="shared" si="287"/>
        <v>0</v>
      </c>
      <c r="T159" s="486">
        <v>0</v>
      </c>
      <c r="U159" s="486">
        <v>0</v>
      </c>
      <c r="V159" s="486">
        <f>SUM(S159:U159)</f>
        <v>0</v>
      </c>
      <c r="W159" s="486">
        <v>0</v>
      </c>
      <c r="X159" s="486">
        <v>0</v>
      </c>
      <c r="Y159" s="486">
        <f>SUM(W159:X159)</f>
        <v>0</v>
      </c>
      <c r="Z159" s="486">
        <f>V159+Y159</f>
        <v>0</v>
      </c>
      <c r="AA159" s="319">
        <f>ROUND((V159+W159)*33.8%,0)</f>
        <v>0</v>
      </c>
      <c r="AB159" s="178">
        <f>ROUND(V159*2%,0)</f>
        <v>0</v>
      </c>
      <c r="AC159" s="486">
        <v>0</v>
      </c>
      <c r="AD159" s="486">
        <v>0</v>
      </c>
      <c r="AE159" s="486">
        <f t="shared" si="267"/>
        <v>0</v>
      </c>
      <c r="AF159" s="486">
        <f t="shared" si="268"/>
        <v>0</v>
      </c>
      <c r="AG159" s="501">
        <v>0</v>
      </c>
      <c r="AH159" s="501">
        <v>0</v>
      </c>
      <c r="AI159" s="501">
        <v>0</v>
      </c>
      <c r="AJ159" s="501">
        <v>0</v>
      </c>
      <c r="AK159" s="501">
        <v>0</v>
      </c>
      <c r="AL159" s="501">
        <f t="shared" si="288"/>
        <v>0</v>
      </c>
      <c r="AM159" s="501">
        <f t="shared" si="289"/>
        <v>0</v>
      </c>
      <c r="AN159" s="529">
        <f t="shared" si="271"/>
        <v>0</v>
      </c>
      <c r="AO159" s="530">
        <f>I159+AF159</f>
        <v>1213768</v>
      </c>
      <c r="AP159" s="486">
        <f>J159+V159</f>
        <v>886701</v>
      </c>
      <c r="AQ159" s="480">
        <f>K159+Y159</f>
        <v>0</v>
      </c>
      <c r="AR159" s="480">
        <f>L159</f>
        <v>0</v>
      </c>
      <c r="AS159" s="486">
        <f t="shared" si="290"/>
        <v>299705</v>
      </c>
      <c r="AT159" s="486">
        <f t="shared" si="290"/>
        <v>17734</v>
      </c>
      <c r="AU159" s="486">
        <f>O159+AE159</f>
        <v>9628</v>
      </c>
      <c r="AV159" s="501">
        <f>P159+AN159</f>
        <v>3.0199999999999996</v>
      </c>
      <c r="AW159" s="501">
        <f t="shared" si="291"/>
        <v>0</v>
      </c>
      <c r="AX159" s="502">
        <f t="shared" si="291"/>
        <v>3.0199999999999996</v>
      </c>
    </row>
    <row r="160" spans="1:50" ht="12.95" customHeight="1" x14ac:dyDescent="0.25">
      <c r="A160" s="154">
        <v>30</v>
      </c>
      <c r="B160" s="526">
        <v>5471</v>
      </c>
      <c r="C160" s="527">
        <v>600099229</v>
      </c>
      <c r="D160" s="83">
        <v>72743646</v>
      </c>
      <c r="E160" s="528" t="s">
        <v>434</v>
      </c>
      <c r="F160" s="83">
        <v>3143</v>
      </c>
      <c r="G160" s="528" t="s">
        <v>634</v>
      </c>
      <c r="H160" s="493" t="s">
        <v>283</v>
      </c>
      <c r="I160" s="495">
        <v>580021</v>
      </c>
      <c r="J160" s="496">
        <v>393083</v>
      </c>
      <c r="K160" s="496">
        <v>34540</v>
      </c>
      <c r="L160" s="496">
        <v>0</v>
      </c>
      <c r="M160" s="411">
        <v>144537</v>
      </c>
      <c r="N160" s="411">
        <v>7861</v>
      </c>
      <c r="O160" s="496">
        <v>0</v>
      </c>
      <c r="P160" s="497">
        <v>0.92500000000000004</v>
      </c>
      <c r="Q160" s="412">
        <v>0.92500000000000004</v>
      </c>
      <c r="R160" s="498">
        <v>0</v>
      </c>
      <c r="S160" s="479">
        <f t="shared" si="287"/>
        <v>0</v>
      </c>
      <c r="T160" s="486">
        <v>0</v>
      </c>
      <c r="U160" s="486">
        <v>0</v>
      </c>
      <c r="V160" s="486">
        <f>SUM(S160:U160)</f>
        <v>0</v>
      </c>
      <c r="W160" s="486">
        <v>0</v>
      </c>
      <c r="X160" s="486">
        <v>0</v>
      </c>
      <c r="Y160" s="486">
        <f>SUM(W160:X160)</f>
        <v>0</v>
      </c>
      <c r="Z160" s="486">
        <f>V160+Y160</f>
        <v>0</v>
      </c>
      <c r="AA160" s="319">
        <f>ROUND((V160+W160)*33.8%,0)</f>
        <v>0</v>
      </c>
      <c r="AB160" s="178">
        <f>ROUND(V160*2%,0)</f>
        <v>0</v>
      </c>
      <c r="AC160" s="486">
        <v>0</v>
      </c>
      <c r="AD160" s="486">
        <v>0</v>
      </c>
      <c r="AE160" s="486">
        <f t="shared" si="267"/>
        <v>0</v>
      </c>
      <c r="AF160" s="486">
        <f t="shared" si="268"/>
        <v>0</v>
      </c>
      <c r="AG160" s="501">
        <v>0</v>
      </c>
      <c r="AH160" s="501">
        <v>0</v>
      </c>
      <c r="AI160" s="501">
        <v>0</v>
      </c>
      <c r="AJ160" s="501">
        <v>0</v>
      </c>
      <c r="AK160" s="501">
        <v>0</v>
      </c>
      <c r="AL160" s="501">
        <f t="shared" si="288"/>
        <v>0</v>
      </c>
      <c r="AM160" s="501">
        <f t="shared" si="289"/>
        <v>0</v>
      </c>
      <c r="AN160" s="529">
        <f t="shared" si="271"/>
        <v>0</v>
      </c>
      <c r="AO160" s="530">
        <f>I160+AF160</f>
        <v>580021</v>
      </c>
      <c r="AP160" s="486">
        <f>J160+V160</f>
        <v>393083</v>
      </c>
      <c r="AQ160" s="480">
        <f>K160+Y160</f>
        <v>34540</v>
      </c>
      <c r="AR160" s="480">
        <f>L160</f>
        <v>0</v>
      </c>
      <c r="AS160" s="486">
        <f t="shared" si="290"/>
        <v>144537</v>
      </c>
      <c r="AT160" s="486">
        <f t="shared" si="290"/>
        <v>7861</v>
      </c>
      <c r="AU160" s="486">
        <f>O160+AE160</f>
        <v>0</v>
      </c>
      <c r="AV160" s="501">
        <f>P160+AN160</f>
        <v>0.92500000000000004</v>
      </c>
      <c r="AW160" s="501">
        <f t="shared" si="291"/>
        <v>0.92500000000000004</v>
      </c>
      <c r="AX160" s="502">
        <f t="shared" si="291"/>
        <v>0</v>
      </c>
    </row>
    <row r="161" spans="1:50" ht="12.95" customHeight="1" x14ac:dyDescent="0.25">
      <c r="A161" s="154">
        <v>30</v>
      </c>
      <c r="B161" s="526">
        <v>5471</v>
      </c>
      <c r="C161" s="527">
        <v>600099229</v>
      </c>
      <c r="D161" s="83">
        <v>72743646</v>
      </c>
      <c r="E161" s="528" t="s">
        <v>434</v>
      </c>
      <c r="F161" s="83">
        <v>3143</v>
      </c>
      <c r="G161" s="528" t="s">
        <v>635</v>
      </c>
      <c r="H161" s="493" t="s">
        <v>284</v>
      </c>
      <c r="I161" s="495">
        <v>23173</v>
      </c>
      <c r="J161" s="496">
        <v>16335</v>
      </c>
      <c r="K161" s="496">
        <v>0</v>
      </c>
      <c r="L161" s="496">
        <v>0</v>
      </c>
      <c r="M161" s="411">
        <v>5521</v>
      </c>
      <c r="N161" s="411">
        <v>327</v>
      </c>
      <c r="O161" s="496">
        <v>990</v>
      </c>
      <c r="P161" s="497">
        <v>7.0000000000000007E-2</v>
      </c>
      <c r="Q161" s="412">
        <v>0</v>
      </c>
      <c r="R161" s="498">
        <v>7.0000000000000007E-2</v>
      </c>
      <c r="S161" s="479">
        <f t="shared" si="287"/>
        <v>0</v>
      </c>
      <c r="T161" s="486">
        <v>0</v>
      </c>
      <c r="U161" s="486">
        <v>0</v>
      </c>
      <c r="V161" s="486">
        <f>SUM(S161:U161)</f>
        <v>0</v>
      </c>
      <c r="W161" s="486">
        <v>0</v>
      </c>
      <c r="X161" s="486">
        <v>0</v>
      </c>
      <c r="Y161" s="486">
        <f>SUM(W161:X161)</f>
        <v>0</v>
      </c>
      <c r="Z161" s="486">
        <f>V161+Y161</f>
        <v>0</v>
      </c>
      <c r="AA161" s="319">
        <f>ROUND((V161+W161)*33.8%,0)</f>
        <v>0</v>
      </c>
      <c r="AB161" s="178">
        <f>ROUND(V161*2%,0)</f>
        <v>0</v>
      </c>
      <c r="AC161" s="486">
        <v>0</v>
      </c>
      <c r="AD161" s="486">
        <v>0</v>
      </c>
      <c r="AE161" s="486">
        <f t="shared" si="267"/>
        <v>0</v>
      </c>
      <c r="AF161" s="486">
        <f t="shared" si="268"/>
        <v>0</v>
      </c>
      <c r="AG161" s="501">
        <v>0</v>
      </c>
      <c r="AH161" s="501">
        <v>0</v>
      </c>
      <c r="AI161" s="501">
        <v>0</v>
      </c>
      <c r="AJ161" s="501">
        <v>0</v>
      </c>
      <c r="AK161" s="501">
        <v>0</v>
      </c>
      <c r="AL161" s="501">
        <f t="shared" si="288"/>
        <v>0</v>
      </c>
      <c r="AM161" s="501">
        <f t="shared" si="289"/>
        <v>0</v>
      </c>
      <c r="AN161" s="529">
        <f t="shared" si="271"/>
        <v>0</v>
      </c>
      <c r="AO161" s="530">
        <f>I161+AF161</f>
        <v>23173</v>
      </c>
      <c r="AP161" s="486">
        <f>J161+V161</f>
        <v>16335</v>
      </c>
      <c r="AQ161" s="480">
        <f>K161+Y161</f>
        <v>0</v>
      </c>
      <c r="AR161" s="480">
        <f>L161</f>
        <v>0</v>
      </c>
      <c r="AS161" s="486">
        <f t="shared" si="290"/>
        <v>5521</v>
      </c>
      <c r="AT161" s="486">
        <f t="shared" si="290"/>
        <v>327</v>
      </c>
      <c r="AU161" s="486">
        <f>O161+AE161</f>
        <v>990</v>
      </c>
      <c r="AV161" s="501">
        <f>P161+AN161</f>
        <v>7.0000000000000007E-2</v>
      </c>
      <c r="AW161" s="501">
        <f t="shared" si="291"/>
        <v>0</v>
      </c>
      <c r="AX161" s="502">
        <f t="shared" si="291"/>
        <v>7.0000000000000007E-2</v>
      </c>
    </row>
    <row r="162" spans="1:50" ht="12.95" customHeight="1" x14ac:dyDescent="0.25">
      <c r="A162" s="156">
        <v>30</v>
      </c>
      <c r="B162" s="104">
        <v>5471</v>
      </c>
      <c r="C162" s="105">
        <v>600099229</v>
      </c>
      <c r="D162" s="104">
        <v>72743646</v>
      </c>
      <c r="E162" s="298" t="s">
        <v>435</v>
      </c>
      <c r="F162" s="92"/>
      <c r="G162" s="299"/>
      <c r="H162" s="93"/>
      <c r="I162" s="147">
        <v>15381191</v>
      </c>
      <c r="J162" s="91">
        <v>10944233</v>
      </c>
      <c r="K162" s="91">
        <v>114079</v>
      </c>
      <c r="L162" s="91">
        <v>75539</v>
      </c>
      <c r="M162" s="91">
        <v>3712178</v>
      </c>
      <c r="N162" s="91">
        <v>218883</v>
      </c>
      <c r="O162" s="91">
        <v>391818</v>
      </c>
      <c r="P162" s="94">
        <v>23.519500000000001</v>
      </c>
      <c r="Q162" s="94">
        <v>15.875</v>
      </c>
      <c r="R162" s="275">
        <v>7.6444999999999999</v>
      </c>
      <c r="S162" s="142">
        <f t="shared" ref="S162:AN162" si="292">SUM(S157:S161)</f>
        <v>0</v>
      </c>
      <c r="T162" s="91">
        <f t="shared" si="292"/>
        <v>0</v>
      </c>
      <c r="U162" s="91">
        <f t="shared" si="292"/>
        <v>0</v>
      </c>
      <c r="V162" s="91">
        <f t="shared" si="292"/>
        <v>0</v>
      </c>
      <c r="W162" s="91">
        <f t="shared" si="292"/>
        <v>0</v>
      </c>
      <c r="X162" s="91">
        <f t="shared" si="292"/>
        <v>0</v>
      </c>
      <c r="Y162" s="91">
        <f t="shared" si="292"/>
        <v>0</v>
      </c>
      <c r="Z162" s="91">
        <f t="shared" si="292"/>
        <v>0</v>
      </c>
      <c r="AA162" s="91">
        <f t="shared" si="292"/>
        <v>0</v>
      </c>
      <c r="AB162" s="91">
        <f t="shared" si="292"/>
        <v>0</v>
      </c>
      <c r="AC162" s="91">
        <f t="shared" si="292"/>
        <v>0</v>
      </c>
      <c r="AD162" s="91">
        <f t="shared" si="292"/>
        <v>0</v>
      </c>
      <c r="AE162" s="91">
        <f t="shared" si="292"/>
        <v>0</v>
      </c>
      <c r="AF162" s="91">
        <f t="shared" si="292"/>
        <v>0</v>
      </c>
      <c r="AG162" s="94">
        <f t="shared" si="292"/>
        <v>0</v>
      </c>
      <c r="AH162" s="94">
        <f t="shared" si="292"/>
        <v>0</v>
      </c>
      <c r="AI162" s="94">
        <f t="shared" si="292"/>
        <v>0</v>
      </c>
      <c r="AJ162" s="94">
        <f t="shared" si="292"/>
        <v>0</v>
      </c>
      <c r="AK162" s="94">
        <f t="shared" si="292"/>
        <v>0</v>
      </c>
      <c r="AL162" s="94">
        <f t="shared" si="292"/>
        <v>0</v>
      </c>
      <c r="AM162" s="94">
        <f t="shared" si="292"/>
        <v>0</v>
      </c>
      <c r="AN162" s="405">
        <f t="shared" si="292"/>
        <v>0</v>
      </c>
      <c r="AO162" s="147">
        <f t="shared" ref="AO162:AX162" si="293">SUM(AO157:AO161)</f>
        <v>15381191</v>
      </c>
      <c r="AP162" s="91">
        <f t="shared" si="293"/>
        <v>10944233</v>
      </c>
      <c r="AQ162" s="91">
        <f t="shared" si="293"/>
        <v>114079</v>
      </c>
      <c r="AR162" s="91">
        <f t="shared" si="293"/>
        <v>75539</v>
      </c>
      <c r="AS162" s="91">
        <f t="shared" si="293"/>
        <v>3712178</v>
      </c>
      <c r="AT162" s="91">
        <f t="shared" si="293"/>
        <v>218883</v>
      </c>
      <c r="AU162" s="91">
        <f t="shared" si="293"/>
        <v>391818</v>
      </c>
      <c r="AV162" s="94">
        <f t="shared" si="293"/>
        <v>23.519500000000001</v>
      </c>
      <c r="AW162" s="94">
        <f t="shared" si="293"/>
        <v>15.875</v>
      </c>
      <c r="AX162" s="275">
        <f t="shared" si="293"/>
        <v>7.6444999999999999</v>
      </c>
    </row>
    <row r="163" spans="1:50" ht="13.5" customHeight="1" x14ac:dyDescent="0.25">
      <c r="A163" s="154">
        <v>31</v>
      </c>
      <c r="B163" s="526">
        <v>5473</v>
      </c>
      <c r="C163" s="527">
        <v>600098583</v>
      </c>
      <c r="D163" s="83">
        <v>75016320</v>
      </c>
      <c r="E163" s="528" t="s">
        <v>436</v>
      </c>
      <c r="F163" s="83">
        <v>3111</v>
      </c>
      <c r="G163" s="528" t="s">
        <v>331</v>
      </c>
      <c r="H163" s="493" t="s">
        <v>283</v>
      </c>
      <c r="I163" s="495">
        <v>2045287</v>
      </c>
      <c r="J163" s="496">
        <v>1494762</v>
      </c>
      <c r="K163" s="496">
        <v>0</v>
      </c>
      <c r="L163" s="496">
        <v>0</v>
      </c>
      <c r="M163" s="411">
        <v>505230</v>
      </c>
      <c r="N163" s="411">
        <v>29895</v>
      </c>
      <c r="O163" s="496">
        <v>15400</v>
      </c>
      <c r="P163" s="497">
        <v>3.1897000000000002</v>
      </c>
      <c r="Q163" s="412">
        <v>2.3548</v>
      </c>
      <c r="R163" s="498">
        <v>0.83489999999999998</v>
      </c>
      <c r="S163" s="479">
        <f t="shared" ref="S163:S165" si="294">W163*-1</f>
        <v>0</v>
      </c>
      <c r="T163" s="486">
        <v>0</v>
      </c>
      <c r="U163" s="486">
        <v>0</v>
      </c>
      <c r="V163" s="486">
        <f>SUM(S163:U163)</f>
        <v>0</v>
      </c>
      <c r="W163" s="486">
        <v>0</v>
      </c>
      <c r="X163" s="486">
        <v>0</v>
      </c>
      <c r="Y163" s="486">
        <f>SUM(W163:X163)</f>
        <v>0</v>
      </c>
      <c r="Z163" s="486">
        <f>V163+Y163</f>
        <v>0</v>
      </c>
      <c r="AA163" s="319">
        <f>ROUND((V163+W163)*33.8%,0)</f>
        <v>0</v>
      </c>
      <c r="AB163" s="178">
        <f>ROUND(V163*2%,0)</f>
        <v>0</v>
      </c>
      <c r="AC163" s="486">
        <v>0</v>
      </c>
      <c r="AD163" s="486">
        <v>0</v>
      </c>
      <c r="AE163" s="486">
        <f t="shared" si="267"/>
        <v>0</v>
      </c>
      <c r="AF163" s="486">
        <f t="shared" si="268"/>
        <v>0</v>
      </c>
      <c r="AG163" s="501">
        <v>0</v>
      </c>
      <c r="AH163" s="501">
        <v>0</v>
      </c>
      <c r="AI163" s="501">
        <v>0</v>
      </c>
      <c r="AJ163" s="501">
        <v>0</v>
      </c>
      <c r="AK163" s="501">
        <v>0</v>
      </c>
      <c r="AL163" s="501">
        <f t="shared" ref="AL163:AL165" si="295">AG163+AI163+AJ163</f>
        <v>0</v>
      </c>
      <c r="AM163" s="501">
        <f t="shared" ref="AM163:AM165" si="296">AH163+AK163</f>
        <v>0</v>
      </c>
      <c r="AN163" s="529">
        <f t="shared" si="271"/>
        <v>0</v>
      </c>
      <c r="AO163" s="530">
        <f>I163+AF163</f>
        <v>2045287</v>
      </c>
      <c r="AP163" s="486">
        <f>J163+V163</f>
        <v>1494762</v>
      </c>
      <c r="AQ163" s="480">
        <f>K163+Y163</f>
        <v>0</v>
      </c>
      <c r="AR163" s="480">
        <f>L163</f>
        <v>0</v>
      </c>
      <c r="AS163" s="486">
        <f t="shared" ref="AS163:AT165" si="297">M163+AA163</f>
        <v>505230</v>
      </c>
      <c r="AT163" s="486">
        <f t="shared" si="297"/>
        <v>29895</v>
      </c>
      <c r="AU163" s="486">
        <f>O163+AE163</f>
        <v>15400</v>
      </c>
      <c r="AV163" s="501">
        <f>P163+AN163</f>
        <v>3.1897000000000002</v>
      </c>
      <c r="AW163" s="501">
        <f t="shared" ref="AW163:AX165" si="298">Q163+AL163</f>
        <v>2.3548</v>
      </c>
      <c r="AX163" s="502">
        <f t="shared" si="298"/>
        <v>0.83489999999999998</v>
      </c>
    </row>
    <row r="164" spans="1:50" ht="12.75" customHeight="1" x14ac:dyDescent="0.25">
      <c r="A164" s="154">
        <v>31</v>
      </c>
      <c r="B164" s="526">
        <v>5473</v>
      </c>
      <c r="C164" s="527">
        <v>600098583</v>
      </c>
      <c r="D164" s="83">
        <v>75016320</v>
      </c>
      <c r="E164" s="528" t="s">
        <v>436</v>
      </c>
      <c r="F164" s="83">
        <v>3111</v>
      </c>
      <c r="G164" s="528" t="s">
        <v>325</v>
      </c>
      <c r="H164" s="493" t="s">
        <v>284</v>
      </c>
      <c r="I164" s="495">
        <v>0</v>
      </c>
      <c r="J164" s="496">
        <v>0</v>
      </c>
      <c r="K164" s="496">
        <v>0</v>
      </c>
      <c r="L164" s="496">
        <v>0</v>
      </c>
      <c r="M164" s="411">
        <v>0</v>
      </c>
      <c r="N164" s="411">
        <v>0</v>
      </c>
      <c r="O164" s="496">
        <v>0</v>
      </c>
      <c r="P164" s="497">
        <v>0</v>
      </c>
      <c r="Q164" s="412">
        <v>0</v>
      </c>
      <c r="R164" s="498">
        <v>0</v>
      </c>
      <c r="S164" s="479">
        <f t="shared" si="294"/>
        <v>0</v>
      </c>
      <c r="T164" s="486">
        <v>0</v>
      </c>
      <c r="U164" s="486">
        <v>0</v>
      </c>
      <c r="V164" s="486">
        <f>SUM(S164:U164)</f>
        <v>0</v>
      </c>
      <c r="W164" s="486">
        <v>0</v>
      </c>
      <c r="X164" s="486">
        <v>0</v>
      </c>
      <c r="Y164" s="486">
        <f>SUM(W164:X164)</f>
        <v>0</v>
      </c>
      <c r="Z164" s="486">
        <f>V164+Y164</f>
        <v>0</v>
      </c>
      <c r="AA164" s="319">
        <f>ROUND((V164+W164)*33.8%,0)</f>
        <v>0</v>
      </c>
      <c r="AB164" s="178">
        <f>ROUND(V164*2%,0)</f>
        <v>0</v>
      </c>
      <c r="AC164" s="486">
        <v>0</v>
      </c>
      <c r="AD164" s="486">
        <v>0</v>
      </c>
      <c r="AE164" s="486">
        <f t="shared" si="267"/>
        <v>0</v>
      </c>
      <c r="AF164" s="486">
        <f t="shared" si="268"/>
        <v>0</v>
      </c>
      <c r="AG164" s="501">
        <v>0</v>
      </c>
      <c r="AH164" s="501">
        <v>0</v>
      </c>
      <c r="AI164" s="501">
        <v>0</v>
      </c>
      <c r="AJ164" s="501">
        <v>0</v>
      </c>
      <c r="AK164" s="501">
        <v>0</v>
      </c>
      <c r="AL164" s="501">
        <f t="shared" si="295"/>
        <v>0</v>
      </c>
      <c r="AM164" s="501">
        <f t="shared" si="296"/>
        <v>0</v>
      </c>
      <c r="AN164" s="529">
        <f t="shared" si="271"/>
        <v>0</v>
      </c>
      <c r="AO164" s="530">
        <f>I164+AF164</f>
        <v>0</v>
      </c>
      <c r="AP164" s="486">
        <f>J164+V164</f>
        <v>0</v>
      </c>
      <c r="AQ164" s="480">
        <f>K164+Y164</f>
        <v>0</v>
      </c>
      <c r="AR164" s="480">
        <f>L164</f>
        <v>0</v>
      </c>
      <c r="AS164" s="486">
        <f t="shared" si="297"/>
        <v>0</v>
      </c>
      <c r="AT164" s="486">
        <f t="shared" si="297"/>
        <v>0</v>
      </c>
      <c r="AU164" s="486">
        <f>O164+AE164</f>
        <v>0</v>
      </c>
      <c r="AV164" s="501">
        <f>P164+AN164</f>
        <v>0</v>
      </c>
      <c r="AW164" s="501">
        <f t="shared" si="298"/>
        <v>0</v>
      </c>
      <c r="AX164" s="502">
        <f t="shared" si="298"/>
        <v>0</v>
      </c>
    </row>
    <row r="165" spans="1:50" ht="12.75" customHeight="1" x14ac:dyDescent="0.25">
      <c r="A165" s="154">
        <v>31</v>
      </c>
      <c r="B165" s="526">
        <v>5473</v>
      </c>
      <c r="C165" s="527">
        <v>600098583</v>
      </c>
      <c r="D165" s="83">
        <v>75016320</v>
      </c>
      <c r="E165" s="528" t="s">
        <v>436</v>
      </c>
      <c r="F165" s="83">
        <v>3141</v>
      </c>
      <c r="G165" s="528" t="s">
        <v>321</v>
      </c>
      <c r="H165" s="493" t="s">
        <v>284</v>
      </c>
      <c r="I165" s="495">
        <v>382200</v>
      </c>
      <c r="J165" s="496">
        <v>280461</v>
      </c>
      <c r="K165" s="496">
        <v>0</v>
      </c>
      <c r="L165" s="496">
        <v>0</v>
      </c>
      <c r="M165" s="411">
        <v>94796</v>
      </c>
      <c r="N165" s="411">
        <v>5609</v>
      </c>
      <c r="O165" s="496">
        <v>1334</v>
      </c>
      <c r="P165" s="497">
        <v>0.96000000000000008</v>
      </c>
      <c r="Q165" s="412">
        <v>0</v>
      </c>
      <c r="R165" s="498">
        <v>0.96000000000000008</v>
      </c>
      <c r="S165" s="479">
        <f t="shared" si="294"/>
        <v>0</v>
      </c>
      <c r="T165" s="486">
        <v>0</v>
      </c>
      <c r="U165" s="486">
        <v>0</v>
      </c>
      <c r="V165" s="486">
        <f>SUM(S165:U165)</f>
        <v>0</v>
      </c>
      <c r="W165" s="486">
        <v>0</v>
      </c>
      <c r="X165" s="486">
        <v>0</v>
      </c>
      <c r="Y165" s="486">
        <f>SUM(W165:X165)</f>
        <v>0</v>
      </c>
      <c r="Z165" s="486">
        <f>V165+Y165</f>
        <v>0</v>
      </c>
      <c r="AA165" s="319">
        <f>ROUND((V165+W165)*33.8%,0)</f>
        <v>0</v>
      </c>
      <c r="AB165" s="178">
        <f>ROUND(V165*2%,0)</f>
        <v>0</v>
      </c>
      <c r="AC165" s="486">
        <v>0</v>
      </c>
      <c r="AD165" s="486">
        <v>0</v>
      </c>
      <c r="AE165" s="486">
        <f t="shared" si="267"/>
        <v>0</v>
      </c>
      <c r="AF165" s="486">
        <f t="shared" si="268"/>
        <v>0</v>
      </c>
      <c r="AG165" s="501">
        <v>0</v>
      </c>
      <c r="AH165" s="501">
        <v>0</v>
      </c>
      <c r="AI165" s="501">
        <v>0</v>
      </c>
      <c r="AJ165" s="501">
        <v>0</v>
      </c>
      <c r="AK165" s="501">
        <v>0</v>
      </c>
      <c r="AL165" s="501">
        <f t="shared" si="295"/>
        <v>0</v>
      </c>
      <c r="AM165" s="501">
        <f t="shared" si="296"/>
        <v>0</v>
      </c>
      <c r="AN165" s="529">
        <f t="shared" si="271"/>
        <v>0</v>
      </c>
      <c r="AO165" s="530">
        <f>I165+AF165</f>
        <v>382200</v>
      </c>
      <c r="AP165" s="486">
        <f>J165+V165</f>
        <v>280461</v>
      </c>
      <c r="AQ165" s="480">
        <f>K165+Y165</f>
        <v>0</v>
      </c>
      <c r="AR165" s="480">
        <f>L165</f>
        <v>0</v>
      </c>
      <c r="AS165" s="486">
        <f t="shared" si="297"/>
        <v>94796</v>
      </c>
      <c r="AT165" s="486">
        <f t="shared" si="297"/>
        <v>5609</v>
      </c>
      <c r="AU165" s="486">
        <f>O165+AE165</f>
        <v>1334</v>
      </c>
      <c r="AV165" s="501">
        <f>P165+AN165</f>
        <v>0.96000000000000008</v>
      </c>
      <c r="AW165" s="501">
        <f t="shared" si="298"/>
        <v>0</v>
      </c>
      <c r="AX165" s="502">
        <f t="shared" si="298"/>
        <v>0.96000000000000008</v>
      </c>
    </row>
    <row r="166" spans="1:50" ht="12.75" customHeight="1" thickBot="1" x14ac:dyDescent="0.3">
      <c r="A166" s="162">
        <v>31</v>
      </c>
      <c r="B166" s="109">
        <v>5473</v>
      </c>
      <c r="C166" s="159">
        <v>600098583</v>
      </c>
      <c r="D166" s="109">
        <v>75016320</v>
      </c>
      <c r="E166" s="300" t="s">
        <v>437</v>
      </c>
      <c r="F166" s="96"/>
      <c r="G166" s="301"/>
      <c r="H166" s="97"/>
      <c r="I166" s="406">
        <v>2427487</v>
      </c>
      <c r="J166" s="144">
        <v>1775223</v>
      </c>
      <c r="K166" s="144">
        <v>0</v>
      </c>
      <c r="L166" s="144">
        <v>0</v>
      </c>
      <c r="M166" s="144">
        <v>600026</v>
      </c>
      <c r="N166" s="144">
        <v>35504</v>
      </c>
      <c r="O166" s="144">
        <v>16734</v>
      </c>
      <c r="P166" s="151">
        <v>4.1497000000000002</v>
      </c>
      <c r="Q166" s="151">
        <v>2.3548</v>
      </c>
      <c r="R166" s="276">
        <v>1.7949000000000002</v>
      </c>
      <c r="S166" s="143">
        <f t="shared" ref="S166:AN166" si="299">SUM(S163:S165)</f>
        <v>0</v>
      </c>
      <c r="T166" s="144">
        <f t="shared" si="299"/>
        <v>0</v>
      </c>
      <c r="U166" s="144">
        <f t="shared" si="299"/>
        <v>0</v>
      </c>
      <c r="V166" s="144">
        <f t="shared" si="299"/>
        <v>0</v>
      </c>
      <c r="W166" s="144">
        <f t="shared" si="299"/>
        <v>0</v>
      </c>
      <c r="X166" s="144">
        <f t="shared" si="299"/>
        <v>0</v>
      </c>
      <c r="Y166" s="144">
        <f t="shared" si="299"/>
        <v>0</v>
      </c>
      <c r="Z166" s="144">
        <f t="shared" si="299"/>
        <v>0</v>
      </c>
      <c r="AA166" s="144">
        <f t="shared" si="299"/>
        <v>0</v>
      </c>
      <c r="AB166" s="144">
        <f t="shared" si="299"/>
        <v>0</v>
      </c>
      <c r="AC166" s="144">
        <f t="shared" si="299"/>
        <v>0</v>
      </c>
      <c r="AD166" s="144">
        <f t="shared" si="299"/>
        <v>0</v>
      </c>
      <c r="AE166" s="144">
        <f t="shared" si="299"/>
        <v>0</v>
      </c>
      <c r="AF166" s="144">
        <f t="shared" si="299"/>
        <v>0</v>
      </c>
      <c r="AG166" s="151">
        <f t="shared" si="299"/>
        <v>0</v>
      </c>
      <c r="AH166" s="151">
        <f t="shared" si="299"/>
        <v>0</v>
      </c>
      <c r="AI166" s="151">
        <f t="shared" si="299"/>
        <v>0</v>
      </c>
      <c r="AJ166" s="151">
        <f t="shared" si="299"/>
        <v>0</v>
      </c>
      <c r="AK166" s="151">
        <f t="shared" si="299"/>
        <v>0</v>
      </c>
      <c r="AL166" s="151">
        <f t="shared" si="299"/>
        <v>0</v>
      </c>
      <c r="AM166" s="151">
        <f t="shared" si="299"/>
        <v>0</v>
      </c>
      <c r="AN166" s="407">
        <f t="shared" si="299"/>
        <v>0</v>
      </c>
      <c r="AO166" s="406">
        <f t="shared" ref="AO166:AX166" si="300">SUM(AO163:AO165)</f>
        <v>2427487</v>
      </c>
      <c r="AP166" s="144">
        <f t="shared" si="300"/>
        <v>1775223</v>
      </c>
      <c r="AQ166" s="144">
        <f t="shared" si="300"/>
        <v>0</v>
      </c>
      <c r="AR166" s="144">
        <f t="shared" si="300"/>
        <v>0</v>
      </c>
      <c r="AS166" s="144">
        <f t="shared" si="300"/>
        <v>600026</v>
      </c>
      <c r="AT166" s="144">
        <f t="shared" si="300"/>
        <v>35504</v>
      </c>
      <c r="AU166" s="144">
        <f t="shared" si="300"/>
        <v>16734</v>
      </c>
      <c r="AV166" s="151">
        <f t="shared" si="300"/>
        <v>4.1497000000000002</v>
      </c>
      <c r="AW166" s="151">
        <f t="shared" si="300"/>
        <v>2.3548</v>
      </c>
      <c r="AX166" s="276">
        <f t="shared" si="300"/>
        <v>1.7949000000000002</v>
      </c>
    </row>
    <row r="167" spans="1:50" ht="12.75" customHeight="1" thickBot="1" x14ac:dyDescent="0.3">
      <c r="A167" s="163"/>
      <c r="B167" s="110"/>
      <c r="C167" s="164"/>
      <c r="D167" s="110"/>
      <c r="E167" s="189" t="s">
        <v>801</v>
      </c>
      <c r="F167" s="110"/>
      <c r="G167" s="110"/>
      <c r="H167" s="99"/>
      <c r="I167" s="145">
        <f>I166+I162+I156+I153+I146+I139+I132+I129+I126+I120+I116+I111+I109+I103+I99+I93+I90+I83+I76+I69+I62+I56+I54+I47+I41+I35+I28+I26+I23+I19+I15</f>
        <v>326453409</v>
      </c>
      <c r="J167" s="146">
        <f t="shared" ref="J167:AX167" si="301">J166+J162+J156+J153+J146+J139+J132+J129+J126+J120+J116+J111+J109+J103+J99+J93+J90+J83+J76+J69+J62+J56+J54+J47+J41+J35+J28+J26+J23+J19+J15</f>
        <v>233889883</v>
      </c>
      <c r="K167" s="146">
        <f t="shared" si="301"/>
        <v>1724764</v>
      </c>
      <c r="L167" s="146">
        <f t="shared" si="301"/>
        <v>606874</v>
      </c>
      <c r="M167" s="146">
        <f t="shared" si="301"/>
        <v>79432628</v>
      </c>
      <c r="N167" s="146">
        <f t="shared" si="301"/>
        <v>4677800</v>
      </c>
      <c r="O167" s="146">
        <f t="shared" si="301"/>
        <v>6728334</v>
      </c>
      <c r="P167" s="152">
        <f t="shared" si="301"/>
        <v>509.81470000000002</v>
      </c>
      <c r="Q167" s="152">
        <f t="shared" si="301"/>
        <v>349.42219999999986</v>
      </c>
      <c r="R167" s="153">
        <f t="shared" si="301"/>
        <v>160.39249999999998</v>
      </c>
      <c r="S167" s="273">
        <f t="shared" si="301"/>
        <v>-30000</v>
      </c>
      <c r="T167" s="146">
        <f t="shared" si="301"/>
        <v>3931</v>
      </c>
      <c r="U167" s="146">
        <f t="shared" si="301"/>
        <v>-16200</v>
      </c>
      <c r="V167" s="146">
        <f t="shared" si="301"/>
        <v>-42269</v>
      </c>
      <c r="W167" s="146">
        <f t="shared" si="301"/>
        <v>30000</v>
      </c>
      <c r="X167" s="146">
        <f t="shared" si="301"/>
        <v>0</v>
      </c>
      <c r="Y167" s="146">
        <f t="shared" si="301"/>
        <v>30000</v>
      </c>
      <c r="Z167" s="146">
        <f t="shared" si="301"/>
        <v>-12269</v>
      </c>
      <c r="AA167" s="146">
        <f t="shared" si="301"/>
        <v>-4147</v>
      </c>
      <c r="AB167" s="146">
        <f t="shared" si="301"/>
        <v>-845</v>
      </c>
      <c r="AC167" s="146">
        <f>AC166+AC162+AC156+AC153+AC146+AC139+AC132+AC129+AC126+AC120+AC116+AC111+AC109+AC103+AC99+AC93+AC90+AC83+AC76+AC69+AC62+AC56+AC54+AC47+AC41+AC35+AC28+AC26+AC23+AC19+AC15</f>
        <v>3950</v>
      </c>
      <c r="AD167" s="146">
        <f t="shared" si="301"/>
        <v>21999</v>
      </c>
      <c r="AE167" s="146">
        <f t="shared" si="301"/>
        <v>25949</v>
      </c>
      <c r="AF167" s="146">
        <f t="shared" si="301"/>
        <v>8688</v>
      </c>
      <c r="AG167" s="152">
        <f t="shared" si="301"/>
        <v>0</v>
      </c>
      <c r="AH167" s="152">
        <f t="shared" si="301"/>
        <v>0</v>
      </c>
      <c r="AI167" s="152">
        <f t="shared" si="301"/>
        <v>0.01</v>
      </c>
      <c r="AJ167" s="152">
        <f t="shared" si="301"/>
        <v>0</v>
      </c>
      <c r="AK167" s="152">
        <f t="shared" si="301"/>
        <v>0</v>
      </c>
      <c r="AL167" s="152">
        <f t="shared" si="301"/>
        <v>0.01</v>
      </c>
      <c r="AM167" s="152">
        <f t="shared" si="301"/>
        <v>0</v>
      </c>
      <c r="AN167" s="408">
        <f t="shared" si="301"/>
        <v>0.01</v>
      </c>
      <c r="AO167" s="145">
        <f t="shared" si="301"/>
        <v>326462097</v>
      </c>
      <c r="AP167" s="146">
        <f t="shared" si="301"/>
        <v>233847614</v>
      </c>
      <c r="AQ167" s="146">
        <f t="shared" si="301"/>
        <v>1754764</v>
      </c>
      <c r="AR167" s="146">
        <f t="shared" si="301"/>
        <v>606874</v>
      </c>
      <c r="AS167" s="146">
        <f t="shared" si="301"/>
        <v>79428481</v>
      </c>
      <c r="AT167" s="146">
        <f t="shared" si="301"/>
        <v>4676955</v>
      </c>
      <c r="AU167" s="146">
        <f t="shared" si="301"/>
        <v>6754283</v>
      </c>
      <c r="AV167" s="152">
        <f t="shared" si="301"/>
        <v>509.82470000000006</v>
      </c>
      <c r="AW167" s="152">
        <f t="shared" si="301"/>
        <v>349.43219999999991</v>
      </c>
      <c r="AX167" s="153">
        <f t="shared" si="301"/>
        <v>160.39249999999998</v>
      </c>
    </row>
    <row r="168" spans="1:50" ht="12.75" customHeight="1" x14ac:dyDescent="0.25">
      <c r="B168" s="80"/>
      <c r="D168" s="80"/>
      <c r="E168" s="100"/>
      <c r="F168" s="80"/>
      <c r="I168" s="509">
        <f>J167+K167+M167+N167+O167</f>
        <v>326453409</v>
      </c>
      <c r="J168" s="509"/>
      <c r="K168" s="509"/>
      <c r="L168" s="509"/>
      <c r="M168" s="509"/>
      <c r="N168" s="509"/>
      <c r="O168" s="509"/>
      <c r="P168" s="510">
        <f>SUM(Q167:R167)</f>
        <v>509.81469999999985</v>
      </c>
      <c r="Q168" s="510"/>
      <c r="R168" s="510"/>
      <c r="S168" s="509">
        <f>W167</f>
        <v>30000</v>
      </c>
      <c r="T168" s="510"/>
      <c r="U168" s="510"/>
      <c r="V168" s="739">
        <f>SUM(S167:U167)</f>
        <v>-42269</v>
      </c>
      <c r="W168" s="607"/>
      <c r="X168" s="607"/>
      <c r="Y168" s="606">
        <f>SUM(W167:X167)</f>
        <v>30000</v>
      </c>
      <c r="Z168" s="739">
        <f>V167+Y167</f>
        <v>-12269</v>
      </c>
      <c r="AA168" s="741"/>
      <c r="AB168" s="741"/>
      <c r="AC168" s="740"/>
      <c r="AD168" s="740"/>
      <c r="AE168" s="739">
        <f>SUM(AC167:AD167)</f>
        <v>25949</v>
      </c>
      <c r="AF168" s="739">
        <f>Z167+AA167+AB167+AE167</f>
        <v>8688</v>
      </c>
      <c r="AG168" s="742"/>
      <c r="AH168" s="742"/>
      <c r="AI168" s="742"/>
      <c r="AJ168" s="742"/>
      <c r="AK168" s="742"/>
      <c r="AL168" s="743">
        <f>AG167+AI167+AJ167</f>
        <v>0.01</v>
      </c>
      <c r="AM168" s="743">
        <f>AH167+AK167</f>
        <v>0</v>
      </c>
      <c r="AN168" s="743">
        <f>SUM(AL167:AM167)</f>
        <v>0.01</v>
      </c>
      <c r="AO168" s="509">
        <f>AP167+AQ167+AS167+AT167+AU167</f>
        <v>326462097</v>
      </c>
      <c r="AP168" s="177"/>
      <c r="AQ168" s="177"/>
      <c r="AR168" s="509"/>
      <c r="AS168" s="177"/>
      <c r="AT168" s="177"/>
      <c r="AU168" s="177"/>
      <c r="AV168" s="510">
        <f>SUM(AW167:AX167)</f>
        <v>509.82469999999989</v>
      </c>
      <c r="AW168" s="177"/>
      <c r="AX168" s="177"/>
    </row>
    <row r="169" spans="1:50" ht="12.75" customHeight="1" thickBot="1" x14ac:dyDescent="0.3">
      <c r="B169" s="80"/>
      <c r="D169" s="80"/>
      <c r="F169" s="80"/>
      <c r="I169" s="192">
        <f ca="1">J170+K170+M170+N170+O170</f>
        <v>326453409</v>
      </c>
      <c r="J169" s="193"/>
      <c r="K169" s="193"/>
      <c r="L169" s="193"/>
      <c r="M169" s="193"/>
      <c r="N169" s="193"/>
      <c r="O169" s="193"/>
      <c r="P169" s="194">
        <f ca="1">SUM(Q170:R170)</f>
        <v>509.81470000000002</v>
      </c>
      <c r="Q169" s="339"/>
      <c r="R169" s="339"/>
      <c r="S169" s="355"/>
      <c r="T169" s="355"/>
      <c r="U169" s="355"/>
      <c r="V169" s="511">
        <f ca="1">SUM(S170:U170)</f>
        <v>-42269</v>
      </c>
      <c r="W169" s="512"/>
      <c r="X169" s="512"/>
      <c r="Y169" s="511">
        <f ca="1">SUM(W170:X170)</f>
        <v>30000</v>
      </c>
      <c r="Z169" s="511">
        <f ca="1">V170+Y170</f>
        <v>-12269</v>
      </c>
      <c r="AA169" s="354"/>
      <c r="AB169" s="354"/>
      <c r="AC169" s="512"/>
      <c r="AD169" s="512"/>
      <c r="AE169" s="511">
        <f ca="1">SUM(AC170:AD170)</f>
        <v>25949</v>
      </c>
      <c r="AF169" s="511">
        <f ca="1">Z170+AA170+AB170+AE170</f>
        <v>8688</v>
      </c>
      <c r="AG169" s="513"/>
      <c r="AH169" s="513"/>
      <c r="AI169" s="513"/>
      <c r="AJ169" s="513"/>
      <c r="AK169" s="513"/>
      <c r="AL169" s="514">
        <f ca="1">AG170+AI170+AJ170</f>
        <v>0.01</v>
      </c>
      <c r="AM169" s="514">
        <f ca="1">AH170+AK170</f>
        <v>0</v>
      </c>
      <c r="AN169" s="514">
        <f ca="1">SUM(AL170:AM170)</f>
        <v>0.01</v>
      </c>
      <c r="AO169" s="362">
        <f ca="1">AP170+AQ170+AS170+AT170+AU170</f>
        <v>326462097</v>
      </c>
      <c r="AP169" s="363"/>
      <c r="AQ169" s="363"/>
      <c r="AR169" s="683"/>
      <c r="AS169" s="363"/>
      <c r="AT169" s="363"/>
      <c r="AU169" s="363"/>
      <c r="AV169" s="355">
        <f ca="1">SUM(AW170:AX170)</f>
        <v>509.82470000000001</v>
      </c>
      <c r="AW169" s="363"/>
      <c r="AX169" s="363"/>
    </row>
    <row r="170" spans="1:50" s="738" customFormat="1" ht="12.75" customHeight="1" thickBot="1" x14ac:dyDescent="0.25">
      <c r="D170" s="16"/>
      <c r="E170" s="12"/>
      <c r="F170" s="16"/>
      <c r="G170" s="36"/>
      <c r="H170" s="39" t="s">
        <v>0</v>
      </c>
      <c r="I170" s="255">
        <f t="shared" ref="I170:AX170" ca="1" si="302">SUM(I171:I180)</f>
        <v>326453409</v>
      </c>
      <c r="J170" s="46">
        <f t="shared" ca="1" si="302"/>
        <v>233889883</v>
      </c>
      <c r="K170" s="46">
        <f t="shared" ca="1" si="302"/>
        <v>1724764</v>
      </c>
      <c r="L170" s="46">
        <f t="shared" ca="1" si="302"/>
        <v>606874</v>
      </c>
      <c r="M170" s="46">
        <f t="shared" ca="1" si="302"/>
        <v>79432628</v>
      </c>
      <c r="N170" s="46">
        <f t="shared" ca="1" si="302"/>
        <v>4677800</v>
      </c>
      <c r="O170" s="46">
        <f t="shared" ca="1" si="302"/>
        <v>6728334</v>
      </c>
      <c r="P170" s="47">
        <f t="shared" ca="1" si="302"/>
        <v>509.81469999999996</v>
      </c>
      <c r="Q170" s="47">
        <f t="shared" ca="1" si="302"/>
        <v>349.42220000000003</v>
      </c>
      <c r="R170" s="263">
        <f t="shared" ca="1" si="302"/>
        <v>160.39250000000001</v>
      </c>
      <c r="S170" s="255">
        <f t="shared" ca="1" si="302"/>
        <v>-30000</v>
      </c>
      <c r="T170" s="46">
        <f t="shared" ca="1" si="302"/>
        <v>3931</v>
      </c>
      <c r="U170" s="46">
        <f t="shared" ca="1" si="302"/>
        <v>-16200</v>
      </c>
      <c r="V170" s="46">
        <f t="shared" ca="1" si="302"/>
        <v>-42269</v>
      </c>
      <c r="W170" s="46">
        <f t="shared" ca="1" si="302"/>
        <v>30000</v>
      </c>
      <c r="X170" s="46">
        <f t="shared" ca="1" si="302"/>
        <v>0</v>
      </c>
      <c r="Y170" s="46">
        <f t="shared" ca="1" si="302"/>
        <v>30000</v>
      </c>
      <c r="Z170" s="46">
        <f t="shared" ca="1" si="302"/>
        <v>-12269</v>
      </c>
      <c r="AA170" s="46">
        <f t="shared" ca="1" si="302"/>
        <v>-4147</v>
      </c>
      <c r="AB170" s="46">
        <f t="shared" ca="1" si="302"/>
        <v>-845</v>
      </c>
      <c r="AC170" s="46">
        <f t="shared" ca="1" si="302"/>
        <v>3950</v>
      </c>
      <c r="AD170" s="46">
        <f t="shared" ca="1" si="302"/>
        <v>21999</v>
      </c>
      <c r="AE170" s="46">
        <f t="shared" ca="1" si="302"/>
        <v>25949</v>
      </c>
      <c r="AF170" s="46">
        <f t="shared" ca="1" si="302"/>
        <v>8688</v>
      </c>
      <c r="AG170" s="47">
        <f t="shared" ca="1" si="302"/>
        <v>0</v>
      </c>
      <c r="AH170" s="47">
        <f t="shared" ca="1" si="302"/>
        <v>0</v>
      </c>
      <c r="AI170" s="47">
        <f t="shared" ca="1" si="302"/>
        <v>0.01</v>
      </c>
      <c r="AJ170" s="47">
        <f t="shared" ca="1" si="302"/>
        <v>0</v>
      </c>
      <c r="AK170" s="47">
        <f t="shared" ca="1" si="302"/>
        <v>0</v>
      </c>
      <c r="AL170" s="47">
        <f t="shared" ca="1" si="302"/>
        <v>0.01</v>
      </c>
      <c r="AM170" s="47">
        <f t="shared" ca="1" si="302"/>
        <v>0</v>
      </c>
      <c r="AN170" s="48">
        <f t="shared" ca="1" si="302"/>
        <v>0.01</v>
      </c>
      <c r="AO170" s="264">
        <f t="shared" ca="1" si="302"/>
        <v>326462097</v>
      </c>
      <c r="AP170" s="46">
        <f t="shared" ca="1" si="302"/>
        <v>233847614</v>
      </c>
      <c r="AQ170" s="46">
        <f t="shared" ca="1" si="302"/>
        <v>1754764</v>
      </c>
      <c r="AR170" s="46">
        <f t="shared" ca="1" si="302"/>
        <v>606874</v>
      </c>
      <c r="AS170" s="46">
        <f t="shared" ca="1" si="302"/>
        <v>79428481</v>
      </c>
      <c r="AT170" s="46">
        <f t="shared" ca="1" si="302"/>
        <v>4676955</v>
      </c>
      <c r="AU170" s="46">
        <f t="shared" ca="1" si="302"/>
        <v>6754283</v>
      </c>
      <c r="AV170" s="47">
        <f t="shared" ca="1" si="302"/>
        <v>509.82469999999995</v>
      </c>
      <c r="AW170" s="47">
        <f t="shared" ca="1" si="302"/>
        <v>349.43220000000002</v>
      </c>
      <c r="AX170" s="48">
        <f t="shared" ca="1" si="302"/>
        <v>160.39250000000001</v>
      </c>
    </row>
    <row r="171" spans="1:50" s="738" customFormat="1" ht="12.75" customHeight="1" x14ac:dyDescent="0.2">
      <c r="D171" s="16"/>
      <c r="E171" s="12"/>
      <c r="F171" s="16"/>
      <c r="G171" s="36"/>
      <c r="H171" s="1">
        <v>3111</v>
      </c>
      <c r="I171" s="321">
        <f t="shared" ref="I171:AX171" ca="1" si="303">SUMIF($F$12:$F$433,"=3111",I$12:I$389)</f>
        <v>61777688</v>
      </c>
      <c r="J171" s="322">
        <f t="shared" ca="1" si="303"/>
        <v>44699184</v>
      </c>
      <c r="K171" s="322">
        <f t="shared" ca="1" si="303"/>
        <v>189500</v>
      </c>
      <c r="L171" s="322">
        <f t="shared" ca="1" si="303"/>
        <v>0</v>
      </c>
      <c r="M171" s="322">
        <f t="shared" ca="1" si="303"/>
        <v>15172371</v>
      </c>
      <c r="N171" s="322">
        <f t="shared" ca="1" si="303"/>
        <v>893983</v>
      </c>
      <c r="O171" s="322">
        <f t="shared" ca="1" si="303"/>
        <v>822650</v>
      </c>
      <c r="P171" s="323">
        <f t="shared" ca="1" si="303"/>
        <v>104.20820000000002</v>
      </c>
      <c r="Q171" s="323">
        <f t="shared" ca="1" si="303"/>
        <v>77.981999999999985</v>
      </c>
      <c r="R171" s="326">
        <f t="shared" ca="1" si="303"/>
        <v>26.226199999999999</v>
      </c>
      <c r="S171" s="321">
        <f t="shared" ca="1" si="303"/>
        <v>0</v>
      </c>
      <c r="T171" s="322">
        <f t="shared" ca="1" si="303"/>
        <v>0</v>
      </c>
      <c r="U171" s="322">
        <f t="shared" ca="1" si="303"/>
        <v>-16936</v>
      </c>
      <c r="V171" s="322">
        <f t="shared" ca="1" si="303"/>
        <v>-16936</v>
      </c>
      <c r="W171" s="322">
        <f t="shared" ca="1" si="303"/>
        <v>0</v>
      </c>
      <c r="X171" s="322">
        <f t="shared" ca="1" si="303"/>
        <v>0</v>
      </c>
      <c r="Y171" s="322">
        <f t="shared" ca="1" si="303"/>
        <v>0</v>
      </c>
      <c r="Z171" s="322">
        <f t="shared" ca="1" si="303"/>
        <v>-16936</v>
      </c>
      <c r="AA171" s="322">
        <f t="shared" ca="1" si="303"/>
        <v>-5724</v>
      </c>
      <c r="AB171" s="322">
        <f t="shared" ca="1" si="303"/>
        <v>-339</v>
      </c>
      <c r="AC171" s="322">
        <f t="shared" ca="1" si="303"/>
        <v>0</v>
      </c>
      <c r="AD171" s="322">
        <f t="shared" ca="1" si="303"/>
        <v>22999</v>
      </c>
      <c r="AE171" s="322">
        <f t="shared" ca="1" si="303"/>
        <v>22999</v>
      </c>
      <c r="AF171" s="322">
        <f t="shared" ca="1" si="303"/>
        <v>0</v>
      </c>
      <c r="AG171" s="323">
        <f t="shared" ca="1" si="303"/>
        <v>0</v>
      </c>
      <c r="AH171" s="323">
        <f t="shared" ca="1" si="303"/>
        <v>0</v>
      </c>
      <c r="AI171" s="323">
        <f t="shared" ca="1" si="303"/>
        <v>0</v>
      </c>
      <c r="AJ171" s="323">
        <f t="shared" ca="1" si="303"/>
        <v>0</v>
      </c>
      <c r="AK171" s="323">
        <f t="shared" ca="1" si="303"/>
        <v>0</v>
      </c>
      <c r="AL171" s="323">
        <f t="shared" ca="1" si="303"/>
        <v>0</v>
      </c>
      <c r="AM171" s="323">
        <f t="shared" ca="1" si="303"/>
        <v>0</v>
      </c>
      <c r="AN171" s="324">
        <f t="shared" ca="1" si="303"/>
        <v>0</v>
      </c>
      <c r="AO171" s="325">
        <f t="shared" ca="1" si="303"/>
        <v>61777688</v>
      </c>
      <c r="AP171" s="322">
        <f t="shared" ca="1" si="303"/>
        <v>44682248</v>
      </c>
      <c r="AQ171" s="322">
        <f t="shared" ca="1" si="303"/>
        <v>189500</v>
      </c>
      <c r="AR171" s="322">
        <f t="shared" ca="1" si="303"/>
        <v>0</v>
      </c>
      <c r="AS171" s="322">
        <f t="shared" ca="1" si="303"/>
        <v>15166647</v>
      </c>
      <c r="AT171" s="322">
        <f t="shared" ca="1" si="303"/>
        <v>893644</v>
      </c>
      <c r="AU171" s="322">
        <f t="shared" ca="1" si="303"/>
        <v>845649</v>
      </c>
      <c r="AV171" s="323">
        <f t="shared" ca="1" si="303"/>
        <v>104.20820000000002</v>
      </c>
      <c r="AW171" s="323">
        <f t="shared" ca="1" si="303"/>
        <v>77.981999999999985</v>
      </c>
      <c r="AX171" s="324">
        <f t="shared" ca="1" si="303"/>
        <v>26.226199999999999</v>
      </c>
    </row>
    <row r="172" spans="1:50" s="738" customFormat="1" ht="12.75" customHeight="1" x14ac:dyDescent="0.2">
      <c r="D172" s="16"/>
      <c r="E172" s="12"/>
      <c r="F172" s="16"/>
      <c r="G172" s="36"/>
      <c r="H172" s="2">
        <v>3113</v>
      </c>
      <c r="I172" s="327">
        <f t="shared" ref="I172:AX172" si="304">SUMIF($F$12:$F$433,"=3113",I$12:I$433)</f>
        <v>141703262</v>
      </c>
      <c r="J172" s="328">
        <f t="shared" si="304"/>
        <v>100358644</v>
      </c>
      <c r="K172" s="328">
        <f t="shared" si="304"/>
        <v>826710</v>
      </c>
      <c r="L172" s="328">
        <f t="shared" si="304"/>
        <v>558182</v>
      </c>
      <c r="M172" s="328">
        <f t="shared" si="304"/>
        <v>34011985</v>
      </c>
      <c r="N172" s="328">
        <f t="shared" si="304"/>
        <v>2007173</v>
      </c>
      <c r="O172" s="328">
        <f t="shared" si="304"/>
        <v>4498750</v>
      </c>
      <c r="P172" s="329">
        <f t="shared" si="304"/>
        <v>198.94280000000001</v>
      </c>
      <c r="Q172" s="329">
        <f t="shared" si="304"/>
        <v>153.71610000000001</v>
      </c>
      <c r="R172" s="332">
        <f t="shared" si="304"/>
        <v>45.226700000000001</v>
      </c>
      <c r="S172" s="327">
        <f t="shared" si="304"/>
        <v>-30000</v>
      </c>
      <c r="T172" s="328">
        <f t="shared" si="304"/>
        <v>-3144</v>
      </c>
      <c r="U172" s="328">
        <f t="shared" si="304"/>
        <v>14727</v>
      </c>
      <c r="V172" s="328">
        <f t="shared" si="304"/>
        <v>-18417</v>
      </c>
      <c r="W172" s="328">
        <f t="shared" si="304"/>
        <v>30000</v>
      </c>
      <c r="X172" s="328">
        <f t="shared" si="304"/>
        <v>0</v>
      </c>
      <c r="Y172" s="328">
        <f t="shared" si="304"/>
        <v>30000</v>
      </c>
      <c r="Z172" s="328">
        <f t="shared" si="304"/>
        <v>11583</v>
      </c>
      <c r="AA172" s="328">
        <f t="shared" si="304"/>
        <v>3915</v>
      </c>
      <c r="AB172" s="328">
        <f t="shared" si="304"/>
        <v>-368</v>
      </c>
      <c r="AC172" s="328">
        <f t="shared" si="304"/>
        <v>1950</v>
      </c>
      <c r="AD172" s="328">
        <f t="shared" si="304"/>
        <v>-20000</v>
      </c>
      <c r="AE172" s="328">
        <f t="shared" si="304"/>
        <v>-18050</v>
      </c>
      <c r="AF172" s="328">
        <f t="shared" si="304"/>
        <v>-2920</v>
      </c>
      <c r="AG172" s="329">
        <f t="shared" si="304"/>
        <v>0</v>
      </c>
      <c r="AH172" s="329">
        <f t="shared" si="304"/>
        <v>0</v>
      </c>
      <c r="AI172" s="329">
        <f t="shared" si="304"/>
        <v>-0.01</v>
      </c>
      <c r="AJ172" s="329">
        <f t="shared" si="304"/>
        <v>0</v>
      </c>
      <c r="AK172" s="329">
        <f t="shared" si="304"/>
        <v>0</v>
      </c>
      <c r="AL172" s="329">
        <f t="shared" si="304"/>
        <v>-0.01</v>
      </c>
      <c r="AM172" s="329">
        <f t="shared" si="304"/>
        <v>0</v>
      </c>
      <c r="AN172" s="330">
        <f t="shared" si="304"/>
        <v>-0.01</v>
      </c>
      <c r="AO172" s="331">
        <f t="shared" si="304"/>
        <v>141700342</v>
      </c>
      <c r="AP172" s="328">
        <f t="shared" si="304"/>
        <v>100340227</v>
      </c>
      <c r="AQ172" s="328">
        <f t="shared" si="304"/>
        <v>856710</v>
      </c>
      <c r="AR172" s="328">
        <f t="shared" si="304"/>
        <v>558182</v>
      </c>
      <c r="AS172" s="328">
        <f t="shared" si="304"/>
        <v>34015900</v>
      </c>
      <c r="AT172" s="328">
        <f t="shared" si="304"/>
        <v>2006805</v>
      </c>
      <c r="AU172" s="328">
        <f t="shared" si="304"/>
        <v>4480700</v>
      </c>
      <c r="AV172" s="329">
        <f t="shared" si="304"/>
        <v>198.93280000000001</v>
      </c>
      <c r="AW172" s="329">
        <f t="shared" si="304"/>
        <v>153.70610000000002</v>
      </c>
      <c r="AX172" s="330">
        <f t="shared" si="304"/>
        <v>45.226700000000001</v>
      </c>
    </row>
    <row r="173" spans="1:50" s="738" customFormat="1" ht="12.75" customHeight="1" x14ac:dyDescent="0.2">
      <c r="D173" s="16"/>
      <c r="E173" s="12"/>
      <c r="F173" s="16"/>
      <c r="G173" s="36"/>
      <c r="H173" s="2">
        <v>3114</v>
      </c>
      <c r="I173" s="327">
        <f t="shared" ref="I173:AX173" si="305">SUMIF($F$12:$F$433,"=3114",I$12:I$433)</f>
        <v>13135259</v>
      </c>
      <c r="J173" s="328">
        <f t="shared" si="305"/>
        <v>9475185</v>
      </c>
      <c r="K173" s="328">
        <f t="shared" si="305"/>
        <v>92496</v>
      </c>
      <c r="L173" s="328">
        <f t="shared" si="305"/>
        <v>7696</v>
      </c>
      <c r="M173" s="328">
        <f t="shared" si="305"/>
        <v>3231274</v>
      </c>
      <c r="N173" s="328">
        <f t="shared" si="305"/>
        <v>189504</v>
      </c>
      <c r="O173" s="328">
        <f t="shared" si="305"/>
        <v>146800</v>
      </c>
      <c r="P173" s="329">
        <f t="shared" si="305"/>
        <v>17.664899999999999</v>
      </c>
      <c r="Q173" s="329">
        <f t="shared" si="305"/>
        <v>13.265599999999999</v>
      </c>
      <c r="R173" s="332">
        <f t="shared" si="305"/>
        <v>4.3993000000000002</v>
      </c>
      <c r="S173" s="327">
        <f t="shared" si="305"/>
        <v>0</v>
      </c>
      <c r="T173" s="328">
        <f t="shared" si="305"/>
        <v>0</v>
      </c>
      <c r="U173" s="328">
        <f t="shared" si="305"/>
        <v>-13991</v>
      </c>
      <c r="V173" s="328">
        <f t="shared" si="305"/>
        <v>-13991</v>
      </c>
      <c r="W173" s="328">
        <f t="shared" si="305"/>
        <v>0</v>
      </c>
      <c r="X173" s="328">
        <f t="shared" si="305"/>
        <v>0</v>
      </c>
      <c r="Y173" s="328">
        <f t="shared" si="305"/>
        <v>0</v>
      </c>
      <c r="Z173" s="328">
        <f t="shared" si="305"/>
        <v>-13991</v>
      </c>
      <c r="AA173" s="328">
        <f t="shared" si="305"/>
        <v>-4729</v>
      </c>
      <c r="AB173" s="328">
        <f t="shared" si="305"/>
        <v>-280</v>
      </c>
      <c r="AC173" s="328">
        <f t="shared" si="305"/>
        <v>0</v>
      </c>
      <c r="AD173" s="328">
        <f t="shared" si="305"/>
        <v>19000</v>
      </c>
      <c r="AE173" s="328">
        <f t="shared" si="305"/>
        <v>19000</v>
      </c>
      <c r="AF173" s="328">
        <f t="shared" si="305"/>
        <v>0</v>
      </c>
      <c r="AG173" s="329">
        <f t="shared" si="305"/>
        <v>0</v>
      </c>
      <c r="AH173" s="329">
        <f t="shared" si="305"/>
        <v>0</v>
      </c>
      <c r="AI173" s="329">
        <f t="shared" si="305"/>
        <v>0</v>
      </c>
      <c r="AJ173" s="329">
        <f t="shared" si="305"/>
        <v>0</v>
      </c>
      <c r="AK173" s="329">
        <f t="shared" si="305"/>
        <v>0</v>
      </c>
      <c r="AL173" s="329">
        <f t="shared" si="305"/>
        <v>0</v>
      </c>
      <c r="AM173" s="329">
        <f t="shared" si="305"/>
        <v>0</v>
      </c>
      <c r="AN173" s="330">
        <f t="shared" si="305"/>
        <v>0</v>
      </c>
      <c r="AO173" s="331">
        <f t="shared" si="305"/>
        <v>13135259</v>
      </c>
      <c r="AP173" s="328">
        <f t="shared" si="305"/>
        <v>9461194</v>
      </c>
      <c r="AQ173" s="328">
        <f t="shared" si="305"/>
        <v>92496</v>
      </c>
      <c r="AR173" s="328">
        <f t="shared" si="305"/>
        <v>7696</v>
      </c>
      <c r="AS173" s="328">
        <f t="shared" si="305"/>
        <v>3226545</v>
      </c>
      <c r="AT173" s="328">
        <f t="shared" si="305"/>
        <v>189224</v>
      </c>
      <c r="AU173" s="328">
        <f t="shared" si="305"/>
        <v>165800</v>
      </c>
      <c r="AV173" s="329">
        <f t="shared" si="305"/>
        <v>17.664899999999999</v>
      </c>
      <c r="AW173" s="329">
        <f t="shared" si="305"/>
        <v>13.265599999999999</v>
      </c>
      <c r="AX173" s="330">
        <f t="shared" si="305"/>
        <v>4.3993000000000002</v>
      </c>
    </row>
    <row r="174" spans="1:50" s="738" customFormat="1" ht="12.75" x14ac:dyDescent="0.2">
      <c r="D174" s="16"/>
      <c r="E174" s="12"/>
      <c r="F174" s="16"/>
      <c r="G174" s="36"/>
      <c r="H174" s="2">
        <v>3117</v>
      </c>
      <c r="I174" s="327">
        <f t="shared" ref="I174:AX174" si="306">SUMIF($F$12:$F$433,"=3117",I$12:I$433)</f>
        <v>27519032</v>
      </c>
      <c r="J174" s="328">
        <f t="shared" si="306"/>
        <v>19578834</v>
      </c>
      <c r="K174" s="328">
        <f t="shared" si="306"/>
        <v>129356</v>
      </c>
      <c r="L174" s="328">
        <f t="shared" si="306"/>
        <v>36556</v>
      </c>
      <c r="M174" s="328">
        <f t="shared" si="306"/>
        <v>6649014</v>
      </c>
      <c r="N174" s="328">
        <f t="shared" si="306"/>
        <v>391577</v>
      </c>
      <c r="O174" s="328">
        <f t="shared" si="306"/>
        <v>770251</v>
      </c>
      <c r="P174" s="329">
        <f t="shared" si="306"/>
        <v>41.002899999999997</v>
      </c>
      <c r="Q174" s="329">
        <f t="shared" si="306"/>
        <v>28.800700000000003</v>
      </c>
      <c r="R174" s="332">
        <f t="shared" si="306"/>
        <v>12.202199999999999</v>
      </c>
      <c r="S174" s="327">
        <f t="shared" si="306"/>
        <v>0</v>
      </c>
      <c r="T174" s="328">
        <f t="shared" si="306"/>
        <v>0</v>
      </c>
      <c r="U174" s="328">
        <f t="shared" si="306"/>
        <v>0</v>
      </c>
      <c r="V174" s="328">
        <f t="shared" si="306"/>
        <v>0</v>
      </c>
      <c r="W174" s="328">
        <f t="shared" si="306"/>
        <v>0</v>
      </c>
      <c r="X174" s="328">
        <f t="shared" si="306"/>
        <v>0</v>
      </c>
      <c r="Y174" s="328">
        <f t="shared" si="306"/>
        <v>0</v>
      </c>
      <c r="Z174" s="328">
        <f t="shared" si="306"/>
        <v>0</v>
      </c>
      <c r="AA174" s="328">
        <f t="shared" si="306"/>
        <v>0</v>
      </c>
      <c r="AB174" s="328">
        <f t="shared" si="306"/>
        <v>0</v>
      </c>
      <c r="AC174" s="328">
        <f t="shared" si="306"/>
        <v>2000</v>
      </c>
      <c r="AD174" s="328">
        <f t="shared" si="306"/>
        <v>0</v>
      </c>
      <c r="AE174" s="328">
        <f t="shared" si="306"/>
        <v>2000</v>
      </c>
      <c r="AF174" s="328">
        <f t="shared" si="306"/>
        <v>2000</v>
      </c>
      <c r="AG174" s="329">
        <f t="shared" si="306"/>
        <v>0</v>
      </c>
      <c r="AH174" s="329">
        <f t="shared" si="306"/>
        <v>0</v>
      </c>
      <c r="AI174" s="329">
        <f t="shared" si="306"/>
        <v>0</v>
      </c>
      <c r="AJ174" s="329">
        <f t="shared" si="306"/>
        <v>0</v>
      </c>
      <c r="AK174" s="329">
        <f t="shared" si="306"/>
        <v>0</v>
      </c>
      <c r="AL174" s="329">
        <f t="shared" si="306"/>
        <v>0</v>
      </c>
      <c r="AM174" s="329">
        <f t="shared" si="306"/>
        <v>0</v>
      </c>
      <c r="AN174" s="330">
        <f t="shared" si="306"/>
        <v>0</v>
      </c>
      <c r="AO174" s="331">
        <f t="shared" si="306"/>
        <v>27521032</v>
      </c>
      <c r="AP174" s="328">
        <f t="shared" si="306"/>
        <v>19578834</v>
      </c>
      <c r="AQ174" s="328">
        <f t="shared" si="306"/>
        <v>129356</v>
      </c>
      <c r="AR174" s="328">
        <f t="shared" si="306"/>
        <v>36556</v>
      </c>
      <c r="AS174" s="328">
        <f t="shared" si="306"/>
        <v>6649014</v>
      </c>
      <c r="AT174" s="328">
        <f t="shared" si="306"/>
        <v>391577</v>
      </c>
      <c r="AU174" s="328">
        <f t="shared" si="306"/>
        <v>772251</v>
      </c>
      <c r="AV174" s="329">
        <f t="shared" si="306"/>
        <v>41.002899999999997</v>
      </c>
      <c r="AW174" s="329">
        <f t="shared" si="306"/>
        <v>28.800700000000003</v>
      </c>
      <c r="AX174" s="330">
        <f t="shared" si="306"/>
        <v>12.202199999999999</v>
      </c>
    </row>
    <row r="175" spans="1:50" s="738" customFormat="1" ht="12.95" customHeight="1" x14ac:dyDescent="0.2">
      <c r="D175" s="16"/>
      <c r="E175" s="12"/>
      <c r="F175" s="16"/>
      <c r="G175" s="36"/>
      <c r="H175" s="2">
        <v>3122</v>
      </c>
      <c r="I175" s="327">
        <f t="shared" ref="I175:AX175" si="307">SUMIF($F$12:$F$389,"=3122",I$12:I$389)</f>
        <v>7654533</v>
      </c>
      <c r="J175" s="328">
        <f t="shared" si="307"/>
        <v>5460552</v>
      </c>
      <c r="K175" s="328">
        <f t="shared" si="307"/>
        <v>77992</v>
      </c>
      <c r="L175" s="328">
        <f t="shared" si="307"/>
        <v>4440</v>
      </c>
      <c r="M175" s="328">
        <f t="shared" si="307"/>
        <v>1870528</v>
      </c>
      <c r="N175" s="328">
        <f t="shared" si="307"/>
        <v>109211</v>
      </c>
      <c r="O175" s="328">
        <f t="shared" si="307"/>
        <v>136250</v>
      </c>
      <c r="P175" s="329">
        <f t="shared" si="307"/>
        <v>9.9675000000000011</v>
      </c>
      <c r="Q175" s="329">
        <f t="shared" si="307"/>
        <v>8.6447000000000003</v>
      </c>
      <c r="R175" s="332">
        <f t="shared" si="307"/>
        <v>1.3228</v>
      </c>
      <c r="S175" s="327">
        <f t="shared" si="307"/>
        <v>0</v>
      </c>
      <c r="T175" s="328">
        <f t="shared" si="307"/>
        <v>0</v>
      </c>
      <c r="U175" s="328">
        <f t="shared" si="307"/>
        <v>0</v>
      </c>
      <c r="V175" s="328">
        <f t="shared" si="307"/>
        <v>0</v>
      </c>
      <c r="W175" s="328">
        <f t="shared" si="307"/>
        <v>0</v>
      </c>
      <c r="X175" s="328">
        <f t="shared" si="307"/>
        <v>0</v>
      </c>
      <c r="Y175" s="328">
        <f t="shared" si="307"/>
        <v>0</v>
      </c>
      <c r="Z175" s="328">
        <f t="shared" si="307"/>
        <v>0</v>
      </c>
      <c r="AA175" s="328">
        <f t="shared" si="307"/>
        <v>0</v>
      </c>
      <c r="AB175" s="328">
        <f t="shared" si="307"/>
        <v>0</v>
      </c>
      <c r="AC175" s="328">
        <f t="shared" si="307"/>
        <v>0</v>
      </c>
      <c r="AD175" s="328">
        <f t="shared" si="307"/>
        <v>0</v>
      </c>
      <c r="AE175" s="328">
        <f t="shared" si="307"/>
        <v>0</v>
      </c>
      <c r="AF175" s="328">
        <f t="shared" si="307"/>
        <v>0</v>
      </c>
      <c r="AG175" s="329">
        <f t="shared" si="307"/>
        <v>0</v>
      </c>
      <c r="AH175" s="329">
        <f t="shared" si="307"/>
        <v>0</v>
      </c>
      <c r="AI175" s="329">
        <f t="shared" si="307"/>
        <v>0</v>
      </c>
      <c r="AJ175" s="329">
        <f t="shared" si="307"/>
        <v>0</v>
      </c>
      <c r="AK175" s="329">
        <f t="shared" si="307"/>
        <v>0</v>
      </c>
      <c r="AL175" s="329">
        <f t="shared" si="307"/>
        <v>0</v>
      </c>
      <c r="AM175" s="329">
        <f t="shared" si="307"/>
        <v>0</v>
      </c>
      <c r="AN175" s="330">
        <f t="shared" si="307"/>
        <v>0</v>
      </c>
      <c r="AO175" s="331">
        <f t="shared" si="307"/>
        <v>7654533</v>
      </c>
      <c r="AP175" s="328">
        <f t="shared" si="307"/>
        <v>5460552</v>
      </c>
      <c r="AQ175" s="328">
        <f t="shared" si="307"/>
        <v>77992</v>
      </c>
      <c r="AR175" s="328">
        <f t="shared" si="307"/>
        <v>4440</v>
      </c>
      <c r="AS175" s="328">
        <f t="shared" si="307"/>
        <v>1870528</v>
      </c>
      <c r="AT175" s="328">
        <f t="shared" si="307"/>
        <v>109211</v>
      </c>
      <c r="AU175" s="328">
        <f t="shared" si="307"/>
        <v>136250</v>
      </c>
      <c r="AV175" s="329">
        <f t="shared" si="307"/>
        <v>9.9675000000000011</v>
      </c>
      <c r="AW175" s="329">
        <f t="shared" si="307"/>
        <v>8.6447000000000003</v>
      </c>
      <c r="AX175" s="330">
        <f t="shared" si="307"/>
        <v>1.3228</v>
      </c>
    </row>
    <row r="176" spans="1:50" s="738" customFormat="1" ht="12.75" x14ac:dyDescent="0.2">
      <c r="D176" s="16"/>
      <c r="E176" s="12"/>
      <c r="F176" s="16"/>
      <c r="G176" s="36"/>
      <c r="H176" s="2">
        <v>3124</v>
      </c>
      <c r="I176" s="327">
        <f t="shared" ref="I176:AX176" si="308">SUMIF($F$12:$F$389,"=3124",I$12:I$389)</f>
        <v>0</v>
      </c>
      <c r="J176" s="328">
        <f t="shared" si="308"/>
        <v>0</v>
      </c>
      <c r="K176" s="328">
        <f t="shared" si="308"/>
        <v>0</v>
      </c>
      <c r="L176" s="328">
        <f t="shared" si="308"/>
        <v>0</v>
      </c>
      <c r="M176" s="328">
        <f t="shared" si="308"/>
        <v>0</v>
      </c>
      <c r="N176" s="328">
        <f t="shared" si="308"/>
        <v>0</v>
      </c>
      <c r="O176" s="328">
        <f t="shared" si="308"/>
        <v>0</v>
      </c>
      <c r="P176" s="329">
        <f t="shared" si="308"/>
        <v>0</v>
      </c>
      <c r="Q176" s="329">
        <f t="shared" si="308"/>
        <v>0</v>
      </c>
      <c r="R176" s="332">
        <f t="shared" si="308"/>
        <v>0</v>
      </c>
      <c r="S176" s="327">
        <f t="shared" si="308"/>
        <v>0</v>
      </c>
      <c r="T176" s="328">
        <f t="shared" si="308"/>
        <v>0</v>
      </c>
      <c r="U176" s="328">
        <f t="shared" si="308"/>
        <v>0</v>
      </c>
      <c r="V176" s="328">
        <f t="shared" si="308"/>
        <v>0</v>
      </c>
      <c r="W176" s="328">
        <f t="shared" si="308"/>
        <v>0</v>
      </c>
      <c r="X176" s="328">
        <f t="shared" si="308"/>
        <v>0</v>
      </c>
      <c r="Y176" s="328">
        <f t="shared" si="308"/>
        <v>0</v>
      </c>
      <c r="Z176" s="328">
        <f t="shared" si="308"/>
        <v>0</v>
      </c>
      <c r="AA176" s="328">
        <f t="shared" si="308"/>
        <v>0</v>
      </c>
      <c r="AB176" s="328">
        <f t="shared" si="308"/>
        <v>0</v>
      </c>
      <c r="AC176" s="328">
        <f t="shared" si="308"/>
        <v>0</v>
      </c>
      <c r="AD176" s="328">
        <f t="shared" si="308"/>
        <v>0</v>
      </c>
      <c r="AE176" s="328">
        <f t="shared" si="308"/>
        <v>0</v>
      </c>
      <c r="AF176" s="328">
        <f t="shared" si="308"/>
        <v>0</v>
      </c>
      <c r="AG176" s="329">
        <f t="shared" si="308"/>
        <v>0</v>
      </c>
      <c r="AH176" s="329">
        <f t="shared" si="308"/>
        <v>0</v>
      </c>
      <c r="AI176" s="329">
        <f t="shared" si="308"/>
        <v>0</v>
      </c>
      <c r="AJ176" s="329">
        <f t="shared" si="308"/>
        <v>0</v>
      </c>
      <c r="AK176" s="329">
        <f t="shared" si="308"/>
        <v>0</v>
      </c>
      <c r="AL176" s="329">
        <f t="shared" si="308"/>
        <v>0</v>
      </c>
      <c r="AM176" s="329">
        <f t="shared" si="308"/>
        <v>0</v>
      </c>
      <c r="AN176" s="330">
        <f t="shared" si="308"/>
        <v>0</v>
      </c>
      <c r="AO176" s="331">
        <f t="shared" si="308"/>
        <v>0</v>
      </c>
      <c r="AP176" s="328">
        <f t="shared" si="308"/>
        <v>0</v>
      </c>
      <c r="AQ176" s="328">
        <f t="shared" si="308"/>
        <v>0</v>
      </c>
      <c r="AR176" s="328">
        <f t="shared" si="308"/>
        <v>0</v>
      </c>
      <c r="AS176" s="328">
        <f t="shared" si="308"/>
        <v>0</v>
      </c>
      <c r="AT176" s="328">
        <f t="shared" si="308"/>
        <v>0</v>
      </c>
      <c r="AU176" s="328">
        <f t="shared" si="308"/>
        <v>0</v>
      </c>
      <c r="AV176" s="329">
        <f t="shared" si="308"/>
        <v>0</v>
      </c>
      <c r="AW176" s="329">
        <f t="shared" si="308"/>
        <v>0</v>
      </c>
      <c r="AX176" s="330">
        <f t="shared" si="308"/>
        <v>0</v>
      </c>
    </row>
    <row r="177" spans="1:50" s="738" customFormat="1" ht="12.75" x14ac:dyDescent="0.2">
      <c r="D177" s="16"/>
      <c r="E177" s="12"/>
      <c r="F177" s="16"/>
      <c r="G177" s="36"/>
      <c r="H177" s="2">
        <v>3141</v>
      </c>
      <c r="I177" s="327">
        <f t="shared" ref="I177:AX177" si="309">SUMIF($F$12:$F$433,"=3141",I$12:I$433)</f>
        <v>25059047</v>
      </c>
      <c r="J177" s="328">
        <f t="shared" si="309"/>
        <v>18191813</v>
      </c>
      <c r="K177" s="328">
        <f t="shared" si="309"/>
        <v>134250</v>
      </c>
      <c r="L177" s="328">
        <f t="shared" si="309"/>
        <v>0</v>
      </c>
      <c r="M177" s="328">
        <f t="shared" si="309"/>
        <v>6194209</v>
      </c>
      <c r="N177" s="328">
        <f t="shared" si="309"/>
        <v>363837</v>
      </c>
      <c r="O177" s="328">
        <f t="shared" si="309"/>
        <v>174938</v>
      </c>
      <c r="P177" s="329">
        <f t="shared" si="309"/>
        <v>62.000000000000007</v>
      </c>
      <c r="Q177" s="329">
        <f t="shared" si="309"/>
        <v>0</v>
      </c>
      <c r="R177" s="332">
        <f t="shared" si="309"/>
        <v>62.000000000000007</v>
      </c>
      <c r="S177" s="327">
        <f t="shared" si="309"/>
        <v>0</v>
      </c>
      <c r="T177" s="328">
        <f t="shared" si="309"/>
        <v>0</v>
      </c>
      <c r="U177" s="328">
        <f t="shared" si="309"/>
        <v>0</v>
      </c>
      <c r="V177" s="328">
        <f t="shared" si="309"/>
        <v>0</v>
      </c>
      <c r="W177" s="328">
        <f t="shared" si="309"/>
        <v>0</v>
      </c>
      <c r="X177" s="328">
        <f t="shared" si="309"/>
        <v>0</v>
      </c>
      <c r="Y177" s="328">
        <f t="shared" si="309"/>
        <v>0</v>
      </c>
      <c r="Z177" s="328">
        <f t="shared" si="309"/>
        <v>0</v>
      </c>
      <c r="AA177" s="328">
        <f t="shared" si="309"/>
        <v>0</v>
      </c>
      <c r="AB177" s="328">
        <f t="shared" si="309"/>
        <v>0</v>
      </c>
      <c r="AC177" s="328">
        <f t="shared" si="309"/>
        <v>0</v>
      </c>
      <c r="AD177" s="328">
        <f t="shared" si="309"/>
        <v>0</v>
      </c>
      <c r="AE177" s="328">
        <f t="shared" si="309"/>
        <v>0</v>
      </c>
      <c r="AF177" s="328">
        <f t="shared" si="309"/>
        <v>0</v>
      </c>
      <c r="AG177" s="329">
        <f t="shared" si="309"/>
        <v>0</v>
      </c>
      <c r="AH177" s="329">
        <f t="shared" si="309"/>
        <v>0</v>
      </c>
      <c r="AI177" s="329">
        <f t="shared" si="309"/>
        <v>0</v>
      </c>
      <c r="AJ177" s="329">
        <f t="shared" si="309"/>
        <v>0</v>
      </c>
      <c r="AK177" s="329">
        <f t="shared" si="309"/>
        <v>0</v>
      </c>
      <c r="AL177" s="329">
        <f t="shared" si="309"/>
        <v>0</v>
      </c>
      <c r="AM177" s="329">
        <f t="shared" si="309"/>
        <v>0</v>
      </c>
      <c r="AN177" s="330">
        <f t="shared" si="309"/>
        <v>0</v>
      </c>
      <c r="AO177" s="331">
        <f t="shared" si="309"/>
        <v>25059047</v>
      </c>
      <c r="AP177" s="328">
        <f t="shared" si="309"/>
        <v>18191813</v>
      </c>
      <c r="AQ177" s="328">
        <f t="shared" si="309"/>
        <v>134250</v>
      </c>
      <c r="AR177" s="328">
        <f t="shared" si="309"/>
        <v>0</v>
      </c>
      <c r="AS177" s="328">
        <f t="shared" si="309"/>
        <v>6194209</v>
      </c>
      <c r="AT177" s="328">
        <f t="shared" si="309"/>
        <v>363837</v>
      </c>
      <c r="AU177" s="328">
        <f t="shared" si="309"/>
        <v>174938</v>
      </c>
      <c r="AV177" s="329">
        <f t="shared" si="309"/>
        <v>62.000000000000007</v>
      </c>
      <c r="AW177" s="329">
        <f t="shared" si="309"/>
        <v>0</v>
      </c>
      <c r="AX177" s="330">
        <f t="shared" si="309"/>
        <v>62.000000000000007</v>
      </c>
    </row>
    <row r="178" spans="1:50" s="738" customFormat="1" ht="12.75" x14ac:dyDescent="0.2">
      <c r="D178" s="16"/>
      <c r="E178" s="12"/>
      <c r="F178" s="16"/>
      <c r="G178" s="36"/>
      <c r="H178" s="2">
        <v>3143</v>
      </c>
      <c r="I178" s="327">
        <f t="shared" ref="I178:AX178" si="310">SUMIF($F$12:$F$433,"=3143",I$12:I$433)</f>
        <v>13457386</v>
      </c>
      <c r="J178" s="328">
        <f t="shared" si="310"/>
        <v>9713846</v>
      </c>
      <c r="K178" s="328">
        <f t="shared" si="310"/>
        <v>184820</v>
      </c>
      <c r="L178" s="328">
        <f t="shared" si="310"/>
        <v>0</v>
      </c>
      <c r="M178" s="328">
        <f t="shared" si="310"/>
        <v>3345752</v>
      </c>
      <c r="N178" s="328">
        <f t="shared" si="310"/>
        <v>194278</v>
      </c>
      <c r="O178" s="328">
        <f t="shared" si="310"/>
        <v>18690</v>
      </c>
      <c r="P178" s="329">
        <f t="shared" si="310"/>
        <v>22.804600000000001</v>
      </c>
      <c r="Q178" s="329">
        <f t="shared" si="310"/>
        <v>21.564600000000002</v>
      </c>
      <c r="R178" s="332">
        <f t="shared" si="310"/>
        <v>1.2400000000000004</v>
      </c>
      <c r="S178" s="327">
        <f t="shared" si="310"/>
        <v>0</v>
      </c>
      <c r="T178" s="328">
        <f t="shared" si="310"/>
        <v>0</v>
      </c>
      <c r="U178" s="328">
        <f t="shared" si="310"/>
        <v>0</v>
      </c>
      <c r="V178" s="328">
        <f t="shared" si="310"/>
        <v>0</v>
      </c>
      <c r="W178" s="328">
        <f t="shared" si="310"/>
        <v>0</v>
      </c>
      <c r="X178" s="328">
        <f t="shared" si="310"/>
        <v>0</v>
      </c>
      <c r="Y178" s="328">
        <f t="shared" si="310"/>
        <v>0</v>
      </c>
      <c r="Z178" s="328">
        <f t="shared" si="310"/>
        <v>0</v>
      </c>
      <c r="AA178" s="328">
        <f t="shared" si="310"/>
        <v>0</v>
      </c>
      <c r="AB178" s="328">
        <f t="shared" si="310"/>
        <v>0</v>
      </c>
      <c r="AC178" s="328">
        <f t="shared" si="310"/>
        <v>0</v>
      </c>
      <c r="AD178" s="328">
        <f t="shared" si="310"/>
        <v>0</v>
      </c>
      <c r="AE178" s="328">
        <f t="shared" si="310"/>
        <v>0</v>
      </c>
      <c r="AF178" s="328">
        <f t="shared" si="310"/>
        <v>0</v>
      </c>
      <c r="AG178" s="329">
        <f t="shared" si="310"/>
        <v>0</v>
      </c>
      <c r="AH178" s="329">
        <f t="shared" si="310"/>
        <v>0</v>
      </c>
      <c r="AI178" s="329">
        <f t="shared" si="310"/>
        <v>0</v>
      </c>
      <c r="AJ178" s="329">
        <f t="shared" si="310"/>
        <v>0</v>
      </c>
      <c r="AK178" s="329">
        <f t="shared" si="310"/>
        <v>0</v>
      </c>
      <c r="AL178" s="329">
        <f t="shared" si="310"/>
        <v>0</v>
      </c>
      <c r="AM178" s="329">
        <f t="shared" si="310"/>
        <v>0</v>
      </c>
      <c r="AN178" s="330">
        <f t="shared" si="310"/>
        <v>0</v>
      </c>
      <c r="AO178" s="331">
        <f t="shared" si="310"/>
        <v>13457386</v>
      </c>
      <c r="AP178" s="328">
        <f t="shared" si="310"/>
        <v>9713846</v>
      </c>
      <c r="AQ178" s="328">
        <f t="shared" si="310"/>
        <v>184820</v>
      </c>
      <c r="AR178" s="328">
        <f t="shared" si="310"/>
        <v>0</v>
      </c>
      <c r="AS178" s="328">
        <f t="shared" si="310"/>
        <v>3345752</v>
      </c>
      <c r="AT178" s="328">
        <f t="shared" si="310"/>
        <v>194278</v>
      </c>
      <c r="AU178" s="328">
        <f t="shared" si="310"/>
        <v>18690</v>
      </c>
      <c r="AV178" s="329">
        <f t="shared" si="310"/>
        <v>22.804600000000001</v>
      </c>
      <c r="AW178" s="329">
        <f t="shared" si="310"/>
        <v>21.564600000000002</v>
      </c>
      <c r="AX178" s="330">
        <f t="shared" si="310"/>
        <v>1.2400000000000004</v>
      </c>
    </row>
    <row r="179" spans="1:50" s="738" customFormat="1" ht="12.75" x14ac:dyDescent="0.2">
      <c r="D179" s="16"/>
      <c r="E179" s="12"/>
      <c r="F179" s="16"/>
      <c r="G179" s="36"/>
      <c r="H179" s="2">
        <v>3231</v>
      </c>
      <c r="I179" s="327">
        <f t="shared" ref="I179:AX179" si="311">SUMIF($F$12:$F$433,"=3231",I$12:I$433)</f>
        <v>30553248</v>
      </c>
      <c r="J179" s="328">
        <f t="shared" si="311"/>
        <v>22358825</v>
      </c>
      <c r="K179" s="328">
        <f t="shared" si="311"/>
        <v>59640</v>
      </c>
      <c r="L179" s="328">
        <f t="shared" si="311"/>
        <v>0</v>
      </c>
      <c r="M179" s="328">
        <f t="shared" si="311"/>
        <v>7577441</v>
      </c>
      <c r="N179" s="328">
        <f t="shared" si="311"/>
        <v>447177</v>
      </c>
      <c r="O179" s="328">
        <f t="shared" si="311"/>
        <v>110165</v>
      </c>
      <c r="P179" s="329">
        <f t="shared" si="311"/>
        <v>44.013800000000003</v>
      </c>
      <c r="Q179" s="329">
        <f t="shared" si="311"/>
        <v>38.968499999999999</v>
      </c>
      <c r="R179" s="332">
        <f t="shared" si="311"/>
        <v>5.0453000000000001</v>
      </c>
      <c r="S179" s="327">
        <f t="shared" si="311"/>
        <v>0</v>
      </c>
      <c r="T179" s="328">
        <f t="shared" si="311"/>
        <v>7075</v>
      </c>
      <c r="U179" s="328">
        <f t="shared" si="311"/>
        <v>0</v>
      </c>
      <c r="V179" s="328">
        <f t="shared" si="311"/>
        <v>7075</v>
      </c>
      <c r="W179" s="328">
        <f t="shared" si="311"/>
        <v>0</v>
      </c>
      <c r="X179" s="328">
        <f t="shared" si="311"/>
        <v>0</v>
      </c>
      <c r="Y179" s="328">
        <f t="shared" si="311"/>
        <v>0</v>
      </c>
      <c r="Z179" s="328">
        <f t="shared" si="311"/>
        <v>7075</v>
      </c>
      <c r="AA179" s="328">
        <f t="shared" si="311"/>
        <v>2391</v>
      </c>
      <c r="AB179" s="328">
        <f t="shared" si="311"/>
        <v>142</v>
      </c>
      <c r="AC179" s="328">
        <f t="shared" si="311"/>
        <v>0</v>
      </c>
      <c r="AD179" s="328">
        <f t="shared" si="311"/>
        <v>0</v>
      </c>
      <c r="AE179" s="328">
        <f t="shared" si="311"/>
        <v>0</v>
      </c>
      <c r="AF179" s="328">
        <f t="shared" si="311"/>
        <v>9608</v>
      </c>
      <c r="AG179" s="329">
        <f t="shared" si="311"/>
        <v>0</v>
      </c>
      <c r="AH179" s="329">
        <f t="shared" si="311"/>
        <v>0</v>
      </c>
      <c r="AI179" s="329">
        <f t="shared" si="311"/>
        <v>0.02</v>
      </c>
      <c r="AJ179" s="329">
        <f t="shared" si="311"/>
        <v>0</v>
      </c>
      <c r="AK179" s="329">
        <f t="shared" si="311"/>
        <v>0</v>
      </c>
      <c r="AL179" s="329">
        <f t="shared" si="311"/>
        <v>0.02</v>
      </c>
      <c r="AM179" s="329">
        <f t="shared" si="311"/>
        <v>0</v>
      </c>
      <c r="AN179" s="330">
        <f t="shared" si="311"/>
        <v>0.02</v>
      </c>
      <c r="AO179" s="331">
        <f t="shared" si="311"/>
        <v>30562856</v>
      </c>
      <c r="AP179" s="328">
        <f t="shared" si="311"/>
        <v>22365900</v>
      </c>
      <c r="AQ179" s="328">
        <f t="shared" si="311"/>
        <v>59640</v>
      </c>
      <c r="AR179" s="328">
        <f t="shared" si="311"/>
        <v>0</v>
      </c>
      <c r="AS179" s="328">
        <f t="shared" si="311"/>
        <v>7579832</v>
      </c>
      <c r="AT179" s="328">
        <f t="shared" si="311"/>
        <v>447319</v>
      </c>
      <c r="AU179" s="328">
        <f t="shared" si="311"/>
        <v>110165</v>
      </c>
      <c r="AV179" s="329">
        <f t="shared" si="311"/>
        <v>44.033800000000006</v>
      </c>
      <c r="AW179" s="329">
        <f t="shared" si="311"/>
        <v>38.988500000000002</v>
      </c>
      <c r="AX179" s="330">
        <f t="shared" si="311"/>
        <v>5.0453000000000001</v>
      </c>
    </row>
    <row r="180" spans="1:50" s="738" customFormat="1" ht="13.5" thickBot="1" x14ac:dyDescent="0.25">
      <c r="D180" s="16"/>
      <c r="E180" s="12"/>
      <c r="F180" s="16"/>
      <c r="G180" s="36"/>
      <c r="H180" s="265">
        <v>3233</v>
      </c>
      <c r="I180" s="333">
        <f t="shared" ref="I180:AX180" si="312">SUMIF($F$12:$F$433,"=3233",I$12:I$433)</f>
        <v>5593954</v>
      </c>
      <c r="J180" s="334">
        <f t="shared" si="312"/>
        <v>4053000</v>
      </c>
      <c r="K180" s="334">
        <f t="shared" si="312"/>
        <v>30000</v>
      </c>
      <c r="L180" s="334">
        <f t="shared" si="312"/>
        <v>0</v>
      </c>
      <c r="M180" s="334">
        <f t="shared" si="312"/>
        <v>1380054</v>
      </c>
      <c r="N180" s="334">
        <f t="shared" si="312"/>
        <v>81060</v>
      </c>
      <c r="O180" s="334">
        <f t="shared" si="312"/>
        <v>49840</v>
      </c>
      <c r="P180" s="335">
        <f t="shared" si="312"/>
        <v>9.2100000000000009</v>
      </c>
      <c r="Q180" s="335">
        <f t="shared" si="312"/>
        <v>6.48</v>
      </c>
      <c r="R180" s="338">
        <f t="shared" si="312"/>
        <v>2.73</v>
      </c>
      <c r="S180" s="333">
        <f t="shared" si="312"/>
        <v>0</v>
      </c>
      <c r="T180" s="334">
        <f t="shared" si="312"/>
        <v>0</v>
      </c>
      <c r="U180" s="334">
        <f t="shared" si="312"/>
        <v>0</v>
      </c>
      <c r="V180" s="334">
        <f t="shared" si="312"/>
        <v>0</v>
      </c>
      <c r="W180" s="334">
        <f t="shared" si="312"/>
        <v>0</v>
      </c>
      <c r="X180" s="334">
        <f t="shared" si="312"/>
        <v>0</v>
      </c>
      <c r="Y180" s="334">
        <f t="shared" si="312"/>
        <v>0</v>
      </c>
      <c r="Z180" s="334">
        <f t="shared" si="312"/>
        <v>0</v>
      </c>
      <c r="AA180" s="334">
        <f t="shared" si="312"/>
        <v>0</v>
      </c>
      <c r="AB180" s="334">
        <f t="shared" si="312"/>
        <v>0</v>
      </c>
      <c r="AC180" s="334">
        <f t="shared" si="312"/>
        <v>0</v>
      </c>
      <c r="AD180" s="334">
        <f t="shared" si="312"/>
        <v>0</v>
      </c>
      <c r="AE180" s="334">
        <f t="shared" si="312"/>
        <v>0</v>
      </c>
      <c r="AF180" s="334">
        <f t="shared" si="312"/>
        <v>0</v>
      </c>
      <c r="AG180" s="335">
        <f t="shared" si="312"/>
        <v>0</v>
      </c>
      <c r="AH180" s="335">
        <f t="shared" si="312"/>
        <v>0</v>
      </c>
      <c r="AI180" s="335">
        <f t="shared" si="312"/>
        <v>0</v>
      </c>
      <c r="AJ180" s="335">
        <f t="shared" si="312"/>
        <v>0</v>
      </c>
      <c r="AK180" s="335">
        <f t="shared" si="312"/>
        <v>0</v>
      </c>
      <c r="AL180" s="335">
        <f t="shared" si="312"/>
        <v>0</v>
      </c>
      <c r="AM180" s="335">
        <f t="shared" si="312"/>
        <v>0</v>
      </c>
      <c r="AN180" s="336">
        <f t="shared" si="312"/>
        <v>0</v>
      </c>
      <c r="AO180" s="337">
        <f t="shared" si="312"/>
        <v>5593954</v>
      </c>
      <c r="AP180" s="334">
        <f t="shared" si="312"/>
        <v>4053000</v>
      </c>
      <c r="AQ180" s="334">
        <f t="shared" si="312"/>
        <v>30000</v>
      </c>
      <c r="AR180" s="334">
        <f t="shared" si="312"/>
        <v>0</v>
      </c>
      <c r="AS180" s="334">
        <f t="shared" si="312"/>
        <v>1380054</v>
      </c>
      <c r="AT180" s="334">
        <f t="shared" si="312"/>
        <v>81060</v>
      </c>
      <c r="AU180" s="334">
        <f t="shared" si="312"/>
        <v>49840</v>
      </c>
      <c r="AV180" s="335">
        <f t="shared" si="312"/>
        <v>9.2100000000000009</v>
      </c>
      <c r="AW180" s="335">
        <f t="shared" si="312"/>
        <v>6.48</v>
      </c>
      <c r="AX180" s="336">
        <f t="shared" si="312"/>
        <v>2.73</v>
      </c>
    </row>
    <row r="182" spans="1:50" s="81" customFormat="1" x14ac:dyDescent="0.25">
      <c r="A182" s="140"/>
      <c r="B182" s="82"/>
      <c r="C182" s="111"/>
      <c r="D182" s="82"/>
      <c r="E182" s="82"/>
      <c r="F182" s="82"/>
      <c r="G182" s="82"/>
      <c r="H182" s="82"/>
      <c r="J182" s="82"/>
      <c r="K182" s="82"/>
      <c r="L182" s="82"/>
      <c r="M182" s="82"/>
      <c r="N182" s="82"/>
      <c r="O182" s="82"/>
      <c r="P182" s="112"/>
      <c r="Q182" s="112"/>
      <c r="R182" s="112"/>
      <c r="AG182" s="112"/>
      <c r="AH182" s="112"/>
      <c r="AI182" s="112"/>
      <c r="AJ182" s="112"/>
      <c r="AK182" s="112"/>
      <c r="AL182" s="112"/>
      <c r="AM182" s="112"/>
      <c r="AN182" s="112"/>
      <c r="AV182" s="112"/>
      <c r="AW182" s="112"/>
      <c r="AX182" s="112"/>
    </row>
    <row r="184" spans="1:50" x14ac:dyDescent="0.25">
      <c r="P184" s="82"/>
      <c r="Q184" s="82"/>
      <c r="R184" s="82"/>
    </row>
    <row r="186" spans="1:50" x14ac:dyDescent="0.25">
      <c r="P186" s="82"/>
      <c r="Q186" s="82"/>
      <c r="R186" s="82"/>
    </row>
  </sheetData>
  <mergeCells count="24"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  <mergeCell ref="A3:E3"/>
    <mergeCell ref="AA7:AA10"/>
    <mergeCell ref="I8:I10"/>
    <mergeCell ref="AB7:AB10"/>
    <mergeCell ref="I6:R7"/>
    <mergeCell ref="S7:V9"/>
    <mergeCell ref="J8:O9"/>
    <mergeCell ref="P8:P10"/>
    <mergeCell ref="Q8:R9"/>
    <mergeCell ref="S6:AN6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163"/>
  <sheetViews>
    <sheetView workbookViewId="0">
      <pane xSplit="8" ySplit="11" topLeftCell="AI21" activePane="bottomRight" state="frozen"/>
      <selection activeCell="AQ157" sqref="AQ157"/>
      <selection pane="topRight" activeCell="AQ157" sqref="AQ157"/>
      <selection pane="bottomLeft" activeCell="AQ157" sqref="AQ157"/>
      <selection pane="bottomRight" activeCell="AO6" sqref="AO6:AX7"/>
    </sheetView>
  </sheetViews>
  <sheetFormatPr defaultColWidth="9.140625" defaultRowHeight="15" x14ac:dyDescent="0.25"/>
  <cols>
    <col min="1" max="1" width="5" style="140" customWidth="1"/>
    <col min="2" max="2" width="6.140625" style="82" bestFit="1" customWidth="1"/>
    <col min="3" max="3" width="8.7109375" style="126" bestFit="1" customWidth="1"/>
    <col min="4" max="4" width="7.85546875" style="82" bestFit="1" customWidth="1"/>
    <col min="5" max="5" width="27.85546875" style="82" customWidth="1"/>
    <col min="6" max="6" width="4.85546875" style="82" customWidth="1"/>
    <col min="7" max="7" width="10.28515625" style="82" bestFit="1" customWidth="1"/>
    <col min="8" max="8" width="8" style="82" bestFit="1" customWidth="1"/>
    <col min="9" max="9" width="11.7109375" style="82" customWidth="1"/>
    <col min="10" max="10" width="11.5703125" style="82" customWidth="1"/>
    <col min="11" max="11" width="10.7109375" style="82" customWidth="1"/>
    <col min="12" max="12" width="10.5703125" style="82" customWidth="1"/>
    <col min="13" max="13" width="12" style="82" customWidth="1"/>
    <col min="14" max="14" width="10.5703125" style="82" customWidth="1"/>
    <col min="15" max="15" width="10.42578125" style="82" customWidth="1"/>
    <col min="16" max="16" width="11.5703125" style="112" customWidth="1"/>
    <col min="17" max="17" width="9.7109375" style="112" customWidth="1"/>
    <col min="18" max="18" width="8.28515625" style="112" customWidth="1"/>
    <col min="19" max="19" width="9.7109375" style="81" customWidth="1"/>
    <col min="20" max="21" width="10.42578125" style="82" customWidth="1"/>
    <col min="22" max="25" width="9.140625" style="82" customWidth="1"/>
    <col min="26" max="26" width="10" style="82" customWidth="1"/>
    <col min="27" max="32" width="9.140625" style="82" customWidth="1"/>
    <col min="33" max="40" width="9.140625" style="112" customWidth="1"/>
    <col min="41" max="41" width="11.140625" style="82" customWidth="1"/>
    <col min="42" max="42" width="11.28515625" style="82" customWidth="1"/>
    <col min="43" max="43" width="9.140625" style="82" customWidth="1"/>
    <col min="44" max="44" width="10.7109375" style="82" customWidth="1"/>
    <col min="45" max="47" width="9.140625" style="82" customWidth="1"/>
    <col min="48" max="48" width="12" style="112" customWidth="1"/>
    <col min="49" max="50" width="9.140625" style="112" customWidth="1"/>
    <col min="51" max="51" width="9.140625" style="82" customWidth="1"/>
    <col min="52" max="16384" width="9.140625" style="82"/>
  </cols>
  <sheetData>
    <row r="1" spans="1:50" ht="12" customHeight="1" x14ac:dyDescent="0.25">
      <c r="A1" s="771" t="s">
        <v>2</v>
      </c>
      <c r="B1" s="771"/>
      <c r="C1" s="78"/>
      <c r="D1" s="771"/>
      <c r="E1" s="771"/>
      <c r="F1" s="200"/>
      <c r="G1" s="200"/>
      <c r="H1" s="200"/>
      <c r="I1" s="772"/>
      <c r="J1" s="201"/>
      <c r="K1" s="201"/>
      <c r="L1" s="201"/>
      <c r="M1" s="201"/>
      <c r="N1" s="201"/>
      <c r="O1" s="201"/>
      <c r="P1" s="773"/>
      <c r="Q1" s="202"/>
      <c r="R1" s="202"/>
      <c r="S1" s="202"/>
      <c r="T1" s="175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50"/>
      <c r="AH1" s="450"/>
      <c r="AI1" s="450"/>
      <c r="AJ1" s="176"/>
      <c r="AK1" s="176"/>
      <c r="AL1" s="176"/>
      <c r="AM1" s="176"/>
      <c r="AN1" s="176"/>
      <c r="AO1" s="175"/>
      <c r="AP1" s="175"/>
      <c r="AQ1" s="175"/>
      <c r="AR1" s="175"/>
      <c r="AS1" s="175"/>
      <c r="AT1" s="175"/>
      <c r="AU1" s="176"/>
      <c r="AV1" s="176"/>
      <c r="AW1" s="176"/>
      <c r="AX1" s="176"/>
    </row>
    <row r="2" spans="1:50" ht="12" customHeight="1" x14ac:dyDescent="0.25">
      <c r="A2" s="771" t="s">
        <v>3</v>
      </c>
      <c r="B2" s="771"/>
      <c r="C2" s="78"/>
      <c r="D2" s="771"/>
      <c r="E2" s="771"/>
      <c r="F2" s="200"/>
      <c r="G2" s="200"/>
      <c r="H2" s="200"/>
      <c r="I2" s="451"/>
      <c r="J2" s="451"/>
      <c r="K2" s="451"/>
      <c r="L2" s="451"/>
      <c r="M2" s="451"/>
      <c r="N2" s="451"/>
      <c r="O2" s="451"/>
      <c r="P2" s="452"/>
      <c r="Q2" s="452"/>
      <c r="R2" s="452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2"/>
      <c r="AG2" s="452"/>
      <c r="AH2" s="452"/>
      <c r="AI2" s="452"/>
      <c r="AJ2" s="452"/>
      <c r="AK2" s="452"/>
      <c r="AL2" s="452"/>
      <c r="AM2" s="452"/>
      <c r="AN2" s="452"/>
      <c r="AO2" s="451"/>
      <c r="AP2" s="451"/>
      <c r="AQ2" s="451"/>
      <c r="AR2" s="451"/>
      <c r="AS2" s="451"/>
      <c r="AT2" s="451"/>
      <c r="AU2" s="452"/>
      <c r="AV2" s="452"/>
      <c r="AW2" s="452"/>
      <c r="AX2" s="176"/>
    </row>
    <row r="3" spans="1:50" ht="12" customHeight="1" x14ac:dyDescent="0.25">
      <c r="A3" s="873" t="s">
        <v>4</v>
      </c>
      <c r="B3" s="873"/>
      <c r="C3" s="873"/>
      <c r="D3" s="873"/>
      <c r="E3" s="873"/>
      <c r="F3" s="200"/>
      <c r="G3" s="200"/>
      <c r="H3" s="200"/>
      <c r="I3" s="451"/>
      <c r="J3" s="451"/>
      <c r="K3" s="451"/>
      <c r="L3" s="451"/>
      <c r="M3" s="451"/>
      <c r="N3" s="451"/>
      <c r="O3" s="451"/>
      <c r="P3" s="452"/>
      <c r="Q3" s="452"/>
      <c r="R3" s="452"/>
      <c r="S3" s="453"/>
      <c r="T3" s="453"/>
      <c r="U3" s="453"/>
      <c r="V3" s="453"/>
      <c r="W3" s="453"/>
      <c r="X3" s="453"/>
      <c r="Y3" s="454"/>
      <c r="Z3" s="454"/>
      <c r="AA3" s="454"/>
      <c r="AB3" s="455"/>
      <c r="AC3" s="455"/>
      <c r="AD3" s="455"/>
      <c r="AE3" s="454"/>
      <c r="AF3" s="456"/>
      <c r="AG3" s="456"/>
      <c r="AH3" s="456"/>
      <c r="AI3" s="456"/>
      <c r="AJ3" s="456"/>
      <c r="AK3" s="456"/>
      <c r="AL3" s="456"/>
      <c r="AM3" s="456"/>
      <c r="AN3" s="452"/>
      <c r="AO3" s="451"/>
      <c r="AP3" s="451"/>
      <c r="AQ3" s="451"/>
      <c r="AR3" s="451"/>
      <c r="AS3" s="451"/>
      <c r="AT3" s="451"/>
      <c r="AU3" s="452"/>
      <c r="AV3" s="452"/>
      <c r="AW3" s="452"/>
      <c r="AX3" s="176"/>
    </row>
    <row r="4" spans="1:50" ht="12" customHeight="1" x14ac:dyDescent="0.25">
      <c r="A4" s="203"/>
      <c r="B4" s="771"/>
      <c r="C4" s="771"/>
      <c r="D4" s="771"/>
      <c r="E4" s="771"/>
      <c r="F4" s="200"/>
      <c r="G4" s="200"/>
      <c r="H4" s="200"/>
      <c r="I4" s="451"/>
      <c r="J4" s="451"/>
      <c r="K4" s="451"/>
      <c r="L4" s="451"/>
      <c r="M4" s="451"/>
      <c r="N4" s="451"/>
      <c r="O4" s="451"/>
      <c r="P4" s="452"/>
      <c r="Q4" s="452"/>
      <c r="R4" s="452"/>
      <c r="S4" s="453"/>
      <c r="T4" s="453"/>
      <c r="U4" s="453"/>
      <c r="V4" s="453"/>
      <c r="W4" s="453"/>
      <c r="X4" s="453"/>
      <c r="Y4" s="454"/>
      <c r="Z4" s="454"/>
      <c r="AA4" s="454"/>
      <c r="AB4" s="455"/>
      <c r="AC4" s="455"/>
      <c r="AD4" s="455"/>
      <c r="AE4" s="454"/>
      <c r="AF4" s="456"/>
      <c r="AG4" s="456"/>
      <c r="AH4" s="456"/>
      <c r="AI4" s="456"/>
      <c r="AJ4" s="456"/>
      <c r="AK4" s="456"/>
      <c r="AL4" s="456"/>
      <c r="AM4" s="456"/>
      <c r="AN4" s="452"/>
      <c r="AO4" s="451"/>
      <c r="AP4" s="451"/>
      <c r="AQ4" s="451"/>
      <c r="AR4" s="451"/>
      <c r="AS4" s="451"/>
      <c r="AT4" s="451"/>
      <c r="AU4" s="452"/>
      <c r="AV4" s="452"/>
      <c r="AW4" s="452"/>
      <c r="AX4" s="176"/>
    </row>
    <row r="5" spans="1:50" ht="16.5" thickBot="1" x14ac:dyDescent="0.3">
      <c r="A5" s="148" t="s">
        <v>849</v>
      </c>
      <c r="B5" s="193"/>
      <c r="C5" s="193"/>
      <c r="D5" s="193"/>
      <c r="E5" s="199"/>
      <c r="F5" s="199"/>
      <c r="G5" s="199"/>
      <c r="H5" s="199"/>
      <c r="I5" s="457"/>
      <c r="J5" s="457"/>
      <c r="K5" s="457"/>
      <c r="L5" s="457"/>
      <c r="M5" s="457"/>
      <c r="N5" s="457"/>
      <c r="O5" s="457"/>
      <c r="P5" s="458"/>
      <c r="Q5" s="458"/>
      <c r="R5" s="458"/>
      <c r="S5" s="453"/>
      <c r="T5" s="453"/>
      <c r="U5" s="453"/>
      <c r="V5" s="175"/>
      <c r="W5" s="453"/>
      <c r="X5" s="453"/>
      <c r="Y5" s="454"/>
      <c r="Z5" s="454"/>
      <c r="AA5" s="454"/>
      <c r="AB5" s="455"/>
      <c r="AC5" s="455"/>
      <c r="AD5" s="455"/>
      <c r="AE5" s="454"/>
      <c r="AF5" s="176"/>
      <c r="AG5" s="176"/>
      <c r="AH5" s="459"/>
      <c r="AI5" s="459"/>
      <c r="AJ5" s="459"/>
      <c r="AK5" s="459"/>
      <c r="AL5" s="459"/>
      <c r="AM5" s="459"/>
      <c r="AN5" s="458"/>
      <c r="AO5" s="457"/>
      <c r="AP5" s="457"/>
      <c r="AQ5" s="457"/>
      <c r="AR5" s="457"/>
      <c r="AS5" s="457"/>
      <c r="AT5" s="457"/>
      <c r="AU5" s="458"/>
      <c r="AV5" s="458"/>
      <c r="AW5" s="458"/>
      <c r="AX5" s="176"/>
    </row>
    <row r="6" spans="1:50" ht="16.5" customHeight="1" x14ac:dyDescent="0.25">
      <c r="A6" s="200"/>
      <c r="B6" s="203"/>
      <c r="C6" s="203"/>
      <c r="D6" s="203"/>
      <c r="E6" s="200"/>
      <c r="F6" s="200"/>
      <c r="G6" s="200"/>
      <c r="H6" s="200"/>
      <c r="I6" s="867" t="s">
        <v>843</v>
      </c>
      <c r="J6" s="868"/>
      <c r="K6" s="868"/>
      <c r="L6" s="868"/>
      <c r="M6" s="868"/>
      <c r="N6" s="868"/>
      <c r="O6" s="868"/>
      <c r="P6" s="868"/>
      <c r="Q6" s="868"/>
      <c r="R6" s="869"/>
      <c r="S6" s="878" t="s">
        <v>822</v>
      </c>
      <c r="T6" s="879"/>
      <c r="U6" s="879"/>
      <c r="V6" s="879"/>
      <c r="W6" s="879"/>
      <c r="X6" s="879"/>
      <c r="Y6" s="879"/>
      <c r="Z6" s="879"/>
      <c r="AA6" s="879"/>
      <c r="AB6" s="879"/>
      <c r="AC6" s="879"/>
      <c r="AD6" s="879"/>
      <c r="AE6" s="879"/>
      <c r="AF6" s="879"/>
      <c r="AG6" s="879"/>
      <c r="AH6" s="879"/>
      <c r="AI6" s="879"/>
      <c r="AJ6" s="879"/>
      <c r="AK6" s="879"/>
      <c r="AL6" s="879"/>
      <c r="AM6" s="879"/>
      <c r="AN6" s="880"/>
      <c r="AO6" s="806" t="s">
        <v>850</v>
      </c>
      <c r="AP6" s="807"/>
      <c r="AQ6" s="807"/>
      <c r="AR6" s="807"/>
      <c r="AS6" s="807"/>
      <c r="AT6" s="807"/>
      <c r="AU6" s="807"/>
      <c r="AV6" s="807"/>
      <c r="AW6" s="807"/>
      <c r="AX6" s="808"/>
    </row>
    <row r="7" spans="1:50" ht="16.5" thickBot="1" x14ac:dyDescent="0.3">
      <c r="A7" s="203"/>
      <c r="B7" s="460"/>
      <c r="C7" s="738"/>
      <c r="D7" s="461"/>
      <c r="E7" s="460"/>
      <c r="F7" s="200"/>
      <c r="G7" s="200"/>
      <c r="H7" s="200"/>
      <c r="I7" s="870"/>
      <c r="J7" s="871"/>
      <c r="K7" s="871"/>
      <c r="L7" s="871"/>
      <c r="M7" s="871"/>
      <c r="N7" s="871"/>
      <c r="O7" s="871"/>
      <c r="P7" s="871"/>
      <c r="Q7" s="871"/>
      <c r="R7" s="872"/>
      <c r="S7" s="881" t="s">
        <v>289</v>
      </c>
      <c r="T7" s="882"/>
      <c r="U7" s="882"/>
      <c r="V7" s="883"/>
      <c r="W7" s="890" t="s">
        <v>290</v>
      </c>
      <c r="X7" s="882"/>
      <c r="Y7" s="883"/>
      <c r="Z7" s="824" t="s">
        <v>291</v>
      </c>
      <c r="AA7" s="824" t="s">
        <v>5</v>
      </c>
      <c r="AB7" s="824" t="s">
        <v>292</v>
      </c>
      <c r="AC7" s="827" t="s">
        <v>293</v>
      </c>
      <c r="AD7" s="828"/>
      <c r="AE7" s="829"/>
      <c r="AF7" s="824" t="s">
        <v>315</v>
      </c>
      <c r="AG7" s="836" t="s">
        <v>294</v>
      </c>
      <c r="AH7" s="837"/>
      <c r="AI7" s="837"/>
      <c r="AJ7" s="837"/>
      <c r="AK7" s="837"/>
      <c r="AL7" s="837"/>
      <c r="AM7" s="837"/>
      <c r="AN7" s="838"/>
      <c r="AO7" s="809"/>
      <c r="AP7" s="810"/>
      <c r="AQ7" s="810"/>
      <c r="AR7" s="810"/>
      <c r="AS7" s="810"/>
      <c r="AT7" s="810"/>
      <c r="AU7" s="810"/>
      <c r="AV7" s="810"/>
      <c r="AW7" s="810"/>
      <c r="AX7" s="811"/>
    </row>
    <row r="8" spans="1:50" ht="12" customHeight="1" x14ac:dyDescent="0.25">
      <c r="A8" s="234"/>
      <c r="B8" s="204"/>
      <c r="C8" s="204"/>
      <c r="D8" s="204"/>
      <c r="E8" s="204"/>
      <c r="F8" s="204"/>
      <c r="G8" s="204"/>
      <c r="H8" s="204"/>
      <c r="I8" s="849" t="s">
        <v>6</v>
      </c>
      <c r="J8" s="861" t="s">
        <v>814</v>
      </c>
      <c r="K8" s="874"/>
      <c r="L8" s="874"/>
      <c r="M8" s="874"/>
      <c r="N8" s="874"/>
      <c r="O8" s="875"/>
      <c r="P8" s="858" t="s">
        <v>286</v>
      </c>
      <c r="Q8" s="861" t="s">
        <v>815</v>
      </c>
      <c r="R8" s="862"/>
      <c r="S8" s="884"/>
      <c r="T8" s="885"/>
      <c r="U8" s="885"/>
      <c r="V8" s="886"/>
      <c r="W8" s="891"/>
      <c r="X8" s="885"/>
      <c r="Y8" s="886"/>
      <c r="Z8" s="825"/>
      <c r="AA8" s="825"/>
      <c r="AB8" s="825"/>
      <c r="AC8" s="830"/>
      <c r="AD8" s="831"/>
      <c r="AE8" s="832"/>
      <c r="AF8" s="825"/>
      <c r="AG8" s="839" t="s">
        <v>295</v>
      </c>
      <c r="AH8" s="840"/>
      <c r="AI8" s="865" t="s">
        <v>296</v>
      </c>
      <c r="AJ8" s="839" t="s">
        <v>297</v>
      </c>
      <c r="AK8" s="840"/>
      <c r="AL8" s="843" t="s">
        <v>298</v>
      </c>
      <c r="AM8" s="844"/>
      <c r="AN8" s="845"/>
      <c r="AO8" s="849" t="s">
        <v>6</v>
      </c>
      <c r="AP8" s="852" t="s">
        <v>814</v>
      </c>
      <c r="AQ8" s="853"/>
      <c r="AR8" s="853"/>
      <c r="AS8" s="853"/>
      <c r="AT8" s="853"/>
      <c r="AU8" s="854"/>
      <c r="AV8" s="858" t="s">
        <v>286</v>
      </c>
      <c r="AW8" s="861" t="s">
        <v>816</v>
      </c>
      <c r="AX8" s="862"/>
    </row>
    <row r="9" spans="1:50" ht="17.25" customHeight="1" thickBot="1" x14ac:dyDescent="0.3">
      <c r="A9" s="302" t="s">
        <v>829</v>
      </c>
      <c r="B9" s="738"/>
      <c r="C9" s="738"/>
      <c r="D9" s="462"/>
      <c r="E9" s="738"/>
      <c r="F9" s="205"/>
      <c r="G9" s="463"/>
      <c r="H9" s="463"/>
      <c r="I9" s="850"/>
      <c r="J9" s="863"/>
      <c r="K9" s="876"/>
      <c r="L9" s="876"/>
      <c r="M9" s="876"/>
      <c r="N9" s="876"/>
      <c r="O9" s="877"/>
      <c r="P9" s="859"/>
      <c r="Q9" s="863"/>
      <c r="R9" s="864"/>
      <c r="S9" s="887"/>
      <c r="T9" s="888"/>
      <c r="U9" s="888"/>
      <c r="V9" s="889"/>
      <c r="W9" s="892"/>
      <c r="X9" s="888"/>
      <c r="Y9" s="889"/>
      <c r="Z9" s="825"/>
      <c r="AA9" s="825"/>
      <c r="AB9" s="825"/>
      <c r="AC9" s="833"/>
      <c r="AD9" s="834"/>
      <c r="AE9" s="835"/>
      <c r="AF9" s="825"/>
      <c r="AG9" s="841"/>
      <c r="AH9" s="842"/>
      <c r="AI9" s="866"/>
      <c r="AJ9" s="841"/>
      <c r="AK9" s="842"/>
      <c r="AL9" s="846"/>
      <c r="AM9" s="847"/>
      <c r="AN9" s="848"/>
      <c r="AO9" s="850"/>
      <c r="AP9" s="855"/>
      <c r="AQ9" s="856"/>
      <c r="AR9" s="856"/>
      <c r="AS9" s="856"/>
      <c r="AT9" s="856"/>
      <c r="AU9" s="857"/>
      <c r="AV9" s="859"/>
      <c r="AW9" s="863"/>
      <c r="AX9" s="864"/>
    </row>
    <row r="10" spans="1:50" ht="48.75" customHeight="1" thickBot="1" x14ac:dyDescent="0.3">
      <c r="A10" s="206" t="s">
        <v>797</v>
      </c>
      <c r="B10" s="207" t="s">
        <v>565</v>
      </c>
      <c r="C10" s="207" t="s">
        <v>566</v>
      </c>
      <c r="D10" s="207" t="s">
        <v>270</v>
      </c>
      <c r="E10" s="291" t="s">
        <v>799</v>
      </c>
      <c r="F10" s="207" t="s">
        <v>0</v>
      </c>
      <c r="G10" s="464" t="s">
        <v>271</v>
      </c>
      <c r="H10" s="57" t="s">
        <v>282</v>
      </c>
      <c r="I10" s="851"/>
      <c r="J10" s="58" t="s">
        <v>280</v>
      </c>
      <c r="K10" s="58" t="s">
        <v>290</v>
      </c>
      <c r="L10" s="63" t="s">
        <v>835</v>
      </c>
      <c r="M10" s="59" t="s">
        <v>5</v>
      </c>
      <c r="N10" s="59" t="s">
        <v>1</v>
      </c>
      <c r="O10" s="59" t="s">
        <v>7</v>
      </c>
      <c r="P10" s="860"/>
      <c r="Q10" s="465" t="s">
        <v>287</v>
      </c>
      <c r="R10" s="466" t="s">
        <v>288</v>
      </c>
      <c r="S10" s="418" t="s">
        <v>299</v>
      </c>
      <c r="T10" s="64" t="s">
        <v>296</v>
      </c>
      <c r="U10" s="64" t="s">
        <v>297</v>
      </c>
      <c r="V10" s="64" t="s">
        <v>790</v>
      </c>
      <c r="W10" s="68" t="s">
        <v>300</v>
      </c>
      <c r="X10" s="68" t="s">
        <v>301</v>
      </c>
      <c r="Y10" s="64" t="s">
        <v>791</v>
      </c>
      <c r="Z10" s="826"/>
      <c r="AA10" s="826"/>
      <c r="AB10" s="826"/>
      <c r="AC10" s="64" t="s">
        <v>296</v>
      </c>
      <c r="AD10" s="64" t="s">
        <v>302</v>
      </c>
      <c r="AE10" s="64" t="s">
        <v>792</v>
      </c>
      <c r="AF10" s="826"/>
      <c r="AG10" s="467" t="s">
        <v>287</v>
      </c>
      <c r="AH10" s="468" t="s">
        <v>288</v>
      </c>
      <c r="AI10" s="467" t="s">
        <v>287</v>
      </c>
      <c r="AJ10" s="467" t="s">
        <v>287</v>
      </c>
      <c r="AK10" s="468" t="s">
        <v>288</v>
      </c>
      <c r="AL10" s="467" t="s">
        <v>287</v>
      </c>
      <c r="AM10" s="468" t="s">
        <v>288</v>
      </c>
      <c r="AN10" s="469" t="s">
        <v>311</v>
      </c>
      <c r="AO10" s="851"/>
      <c r="AP10" s="62" t="s">
        <v>280</v>
      </c>
      <c r="AQ10" s="63" t="s">
        <v>290</v>
      </c>
      <c r="AR10" s="63" t="s">
        <v>835</v>
      </c>
      <c r="AS10" s="59" t="s">
        <v>5</v>
      </c>
      <c r="AT10" s="59" t="s">
        <v>1</v>
      </c>
      <c r="AU10" s="59" t="s">
        <v>7</v>
      </c>
      <c r="AV10" s="860"/>
      <c r="AW10" s="465" t="s">
        <v>287</v>
      </c>
      <c r="AX10" s="466" t="s">
        <v>288</v>
      </c>
    </row>
    <row r="11" spans="1:50" s="243" customFormat="1" ht="11.25" customHeight="1" thickBot="1" x14ac:dyDescent="0.25">
      <c r="A11" s="247" t="s">
        <v>567</v>
      </c>
      <c r="B11" s="248" t="s">
        <v>568</v>
      </c>
      <c r="C11" s="248" t="s">
        <v>272</v>
      </c>
      <c r="D11" s="248" t="s">
        <v>273</v>
      </c>
      <c r="E11" s="248" t="s">
        <v>569</v>
      </c>
      <c r="F11" s="248" t="s">
        <v>0</v>
      </c>
      <c r="G11" s="248" t="s">
        <v>570</v>
      </c>
      <c r="H11" s="249" t="s">
        <v>793</v>
      </c>
      <c r="I11" s="250" t="s">
        <v>274</v>
      </c>
      <c r="J11" s="251" t="s">
        <v>275</v>
      </c>
      <c r="K11" s="251" t="s">
        <v>281</v>
      </c>
      <c r="L11" s="251" t="s">
        <v>834</v>
      </c>
      <c r="M11" s="251" t="s">
        <v>276</v>
      </c>
      <c r="N11" s="251" t="s">
        <v>277</v>
      </c>
      <c r="O11" s="251" t="s">
        <v>278</v>
      </c>
      <c r="P11" s="347" t="s">
        <v>279</v>
      </c>
      <c r="Q11" s="258" t="s">
        <v>571</v>
      </c>
      <c r="R11" s="348" t="s">
        <v>572</v>
      </c>
      <c r="S11" s="250" t="s">
        <v>303</v>
      </c>
      <c r="T11" s="419" t="s">
        <v>303</v>
      </c>
      <c r="U11" s="257" t="s">
        <v>303</v>
      </c>
      <c r="V11" s="257" t="s">
        <v>303</v>
      </c>
      <c r="W11" s="257" t="s">
        <v>304</v>
      </c>
      <c r="X11" s="257" t="s">
        <v>305</v>
      </c>
      <c r="Y11" s="257" t="s">
        <v>304</v>
      </c>
      <c r="Z11" s="257" t="s">
        <v>306</v>
      </c>
      <c r="AA11" s="251" t="s">
        <v>307</v>
      </c>
      <c r="AB11" s="257" t="s">
        <v>308</v>
      </c>
      <c r="AC11" s="257" t="s">
        <v>310</v>
      </c>
      <c r="AD11" s="257" t="s">
        <v>309</v>
      </c>
      <c r="AE11" s="257" t="s">
        <v>309</v>
      </c>
      <c r="AF11" s="257" t="s">
        <v>316</v>
      </c>
      <c r="AG11" s="258" t="s">
        <v>312</v>
      </c>
      <c r="AH11" s="258" t="s">
        <v>313</v>
      </c>
      <c r="AI11" s="258" t="s">
        <v>312</v>
      </c>
      <c r="AJ11" s="258" t="s">
        <v>312</v>
      </c>
      <c r="AK11" s="258" t="s">
        <v>313</v>
      </c>
      <c r="AL11" s="258" t="s">
        <v>312</v>
      </c>
      <c r="AM11" s="258" t="s">
        <v>313</v>
      </c>
      <c r="AN11" s="259" t="s">
        <v>314</v>
      </c>
      <c r="AO11" s="250" t="s">
        <v>274</v>
      </c>
      <c r="AP11" s="251" t="s">
        <v>275</v>
      </c>
      <c r="AQ11" s="251" t="s">
        <v>281</v>
      </c>
      <c r="AR11" s="251" t="s">
        <v>834</v>
      </c>
      <c r="AS11" s="251" t="s">
        <v>276</v>
      </c>
      <c r="AT11" s="251" t="s">
        <v>277</v>
      </c>
      <c r="AU11" s="251" t="s">
        <v>278</v>
      </c>
      <c r="AV11" s="413" t="s">
        <v>279</v>
      </c>
      <c r="AW11" s="413" t="s">
        <v>571</v>
      </c>
      <c r="AX11" s="414" t="s">
        <v>572</v>
      </c>
    </row>
    <row r="12" spans="1:50" ht="15" customHeight="1" x14ac:dyDescent="0.25">
      <c r="A12" s="103">
        <v>1</v>
      </c>
      <c r="B12" s="515">
        <v>5415</v>
      </c>
      <c r="C12" s="516">
        <v>667000135</v>
      </c>
      <c r="D12" s="515">
        <v>71011170</v>
      </c>
      <c r="E12" s="533" t="s">
        <v>811</v>
      </c>
      <c r="F12" s="515">
        <v>3111</v>
      </c>
      <c r="G12" s="534" t="s">
        <v>331</v>
      </c>
      <c r="H12" s="518" t="s">
        <v>283</v>
      </c>
      <c r="I12" s="473">
        <v>17706490</v>
      </c>
      <c r="J12" s="474">
        <v>12808859</v>
      </c>
      <c r="K12" s="475">
        <v>70000</v>
      </c>
      <c r="L12" s="475">
        <v>0</v>
      </c>
      <c r="M12" s="411">
        <v>4353054</v>
      </c>
      <c r="N12" s="411">
        <v>256177</v>
      </c>
      <c r="O12" s="474">
        <v>218400</v>
      </c>
      <c r="P12" s="476">
        <v>30.781299999999998</v>
      </c>
      <c r="Q12" s="477">
        <v>22.850999999999999</v>
      </c>
      <c r="R12" s="478">
        <v>7.9302999999999999</v>
      </c>
      <c r="S12" s="479">
        <f>W12*-1</f>
        <v>0</v>
      </c>
      <c r="T12" s="485">
        <v>0</v>
      </c>
      <c r="U12" s="485">
        <v>0</v>
      </c>
      <c r="V12" s="485">
        <f>SUM(S12:U12)</f>
        <v>0</v>
      </c>
      <c r="W12" s="485">
        <v>0</v>
      </c>
      <c r="X12" s="485">
        <v>0</v>
      </c>
      <c r="Y12" s="485">
        <f>SUM(W12:X12)</f>
        <v>0</v>
      </c>
      <c r="Z12" s="485">
        <f>V12+Y12</f>
        <v>0</v>
      </c>
      <c r="AA12" s="319">
        <f>ROUND((V12+W12)*33.8%,0)</f>
        <v>0</v>
      </c>
      <c r="AB12" s="261">
        <f>ROUND(V12*2%,0)</f>
        <v>0</v>
      </c>
      <c r="AC12" s="485">
        <v>0</v>
      </c>
      <c r="AD12" s="485">
        <v>0</v>
      </c>
      <c r="AE12" s="486">
        <f t="shared" ref="AE12:AE76" si="0">SUM(AC12:AD12)</f>
        <v>0</v>
      </c>
      <c r="AF12" s="485">
        <f>Z12+AA12+AB12+AE12</f>
        <v>0</v>
      </c>
      <c r="AG12" s="487">
        <v>0</v>
      </c>
      <c r="AH12" s="487">
        <v>0</v>
      </c>
      <c r="AI12" s="487">
        <v>0</v>
      </c>
      <c r="AJ12" s="487">
        <v>0</v>
      </c>
      <c r="AK12" s="487">
        <v>0</v>
      </c>
      <c r="AL12" s="501">
        <f>AG12+AI12+AJ12</f>
        <v>0</v>
      </c>
      <c r="AM12" s="501">
        <f>AH12+AK12</f>
        <v>0</v>
      </c>
      <c r="AN12" s="488">
        <f>SUM(AL12:AM12)</f>
        <v>0</v>
      </c>
      <c r="AO12" s="484">
        <f>I12+AF12</f>
        <v>17706490</v>
      </c>
      <c r="AP12" s="485">
        <f>J12+V12</f>
        <v>12808859</v>
      </c>
      <c r="AQ12" s="486">
        <f>K12+Y12</f>
        <v>70000</v>
      </c>
      <c r="AR12" s="480">
        <f>L12</f>
        <v>0</v>
      </c>
      <c r="AS12" s="485">
        <f t="shared" ref="AS12:AT15" si="1">M12+AA12</f>
        <v>4353054</v>
      </c>
      <c r="AT12" s="485">
        <f t="shared" si="1"/>
        <v>256177</v>
      </c>
      <c r="AU12" s="485">
        <f>O12+AE12</f>
        <v>218400</v>
      </c>
      <c r="AV12" s="487">
        <f>P12+AN12</f>
        <v>30.781299999999998</v>
      </c>
      <c r="AW12" s="487">
        <f t="shared" ref="AW12:AX15" si="2">Q12+AL12</f>
        <v>22.850999999999999</v>
      </c>
      <c r="AX12" s="488">
        <f t="shared" si="2"/>
        <v>7.9302999999999999</v>
      </c>
    </row>
    <row r="13" spans="1:50" ht="13.5" customHeight="1" x14ac:dyDescent="0.25">
      <c r="A13" s="83">
        <v>1</v>
      </c>
      <c r="B13" s="526">
        <v>5415</v>
      </c>
      <c r="C13" s="527">
        <v>667000135</v>
      </c>
      <c r="D13" s="526">
        <v>71011170</v>
      </c>
      <c r="E13" s="533" t="s">
        <v>811</v>
      </c>
      <c r="F13" s="526">
        <v>3111</v>
      </c>
      <c r="G13" s="493" t="s">
        <v>318</v>
      </c>
      <c r="H13" s="493" t="s">
        <v>284</v>
      </c>
      <c r="I13" s="495">
        <v>217114</v>
      </c>
      <c r="J13" s="496">
        <v>159878</v>
      </c>
      <c r="K13" s="496">
        <v>0</v>
      </c>
      <c r="L13" s="496">
        <v>0</v>
      </c>
      <c r="M13" s="496">
        <v>54039</v>
      </c>
      <c r="N13" s="496">
        <v>3197</v>
      </c>
      <c r="O13" s="496">
        <v>0</v>
      </c>
      <c r="P13" s="497">
        <v>0.6100000000000001</v>
      </c>
      <c r="Q13" s="412">
        <v>0.6100000000000001</v>
      </c>
      <c r="R13" s="498">
        <v>0</v>
      </c>
      <c r="S13" s="499">
        <f>W13*-1</f>
        <v>0</v>
      </c>
      <c r="T13" s="486">
        <v>21225</v>
      </c>
      <c r="U13" s="486">
        <v>0</v>
      </c>
      <c r="V13" s="486">
        <f>SUM(S13:U13)</f>
        <v>21225</v>
      </c>
      <c r="W13" s="486">
        <v>0</v>
      </c>
      <c r="X13" s="486">
        <v>0</v>
      </c>
      <c r="Y13" s="486">
        <f>SUM(W13:X13)</f>
        <v>0</v>
      </c>
      <c r="Z13" s="486">
        <f>V13+Y13</f>
        <v>21225</v>
      </c>
      <c r="AA13" s="319">
        <f>ROUND((V13+W13)*33.8%,0)</f>
        <v>7174</v>
      </c>
      <c r="AB13" s="178">
        <f>ROUND(V13*2%,0)</f>
        <v>425</v>
      </c>
      <c r="AC13" s="486">
        <v>3500</v>
      </c>
      <c r="AD13" s="486">
        <v>0</v>
      </c>
      <c r="AE13" s="486">
        <f t="shared" si="0"/>
        <v>3500</v>
      </c>
      <c r="AF13" s="486">
        <f t="shared" ref="AF13:AF76" si="3">Z13+AA13+AB13+AE13</f>
        <v>32324</v>
      </c>
      <c r="AG13" s="501">
        <v>0</v>
      </c>
      <c r="AH13" s="501">
        <v>0</v>
      </c>
      <c r="AI13" s="501">
        <v>0.06</v>
      </c>
      <c r="AJ13" s="501">
        <v>0</v>
      </c>
      <c r="AK13" s="501">
        <v>0</v>
      </c>
      <c r="AL13" s="501">
        <f>AG13+AI13+AJ13</f>
        <v>0.06</v>
      </c>
      <c r="AM13" s="501">
        <f>AH13+AK13</f>
        <v>0</v>
      </c>
      <c r="AN13" s="502">
        <f t="shared" ref="AN13:AN76" si="4">SUM(AL13:AM13)</f>
        <v>0.06</v>
      </c>
      <c r="AO13" s="499">
        <f>I13+AF13</f>
        <v>249438</v>
      </c>
      <c r="AP13" s="486">
        <f>J13+V13</f>
        <v>181103</v>
      </c>
      <c r="AQ13" s="486">
        <f>K13+Y13</f>
        <v>0</v>
      </c>
      <c r="AR13" s="480">
        <f>L13</f>
        <v>0</v>
      </c>
      <c r="AS13" s="486">
        <f t="shared" si="1"/>
        <v>61213</v>
      </c>
      <c r="AT13" s="486">
        <f t="shared" si="1"/>
        <v>3622</v>
      </c>
      <c r="AU13" s="486">
        <f>O13+AE13</f>
        <v>3500</v>
      </c>
      <c r="AV13" s="501">
        <f>P13+AN13</f>
        <v>0.67000000000000015</v>
      </c>
      <c r="AW13" s="501">
        <f t="shared" si="2"/>
        <v>0.67000000000000015</v>
      </c>
      <c r="AX13" s="502">
        <f t="shared" si="2"/>
        <v>0</v>
      </c>
    </row>
    <row r="14" spans="1:50" ht="12.95" customHeight="1" x14ac:dyDescent="0.25">
      <c r="A14" s="83">
        <v>1</v>
      </c>
      <c r="B14" s="526">
        <v>5415</v>
      </c>
      <c r="C14" s="527">
        <v>667000135</v>
      </c>
      <c r="D14" s="526">
        <v>71011170</v>
      </c>
      <c r="E14" s="533" t="s">
        <v>811</v>
      </c>
      <c r="F14" s="526">
        <v>3111</v>
      </c>
      <c r="G14" s="503" t="s">
        <v>319</v>
      </c>
      <c r="H14" s="493" t="s">
        <v>283</v>
      </c>
      <c r="I14" s="495">
        <v>486501</v>
      </c>
      <c r="J14" s="496">
        <v>358248</v>
      </c>
      <c r="K14" s="496">
        <v>0</v>
      </c>
      <c r="L14" s="496">
        <v>0</v>
      </c>
      <c r="M14" s="496">
        <v>121088</v>
      </c>
      <c r="N14" s="496">
        <v>7165</v>
      </c>
      <c r="O14" s="496">
        <v>0</v>
      </c>
      <c r="P14" s="497">
        <v>1</v>
      </c>
      <c r="Q14" s="412">
        <v>1</v>
      </c>
      <c r="R14" s="498">
        <v>0</v>
      </c>
      <c r="S14" s="499">
        <f t="shared" ref="S14:S77" si="5">W14*-1</f>
        <v>0</v>
      </c>
      <c r="T14" s="486">
        <v>0</v>
      </c>
      <c r="U14" s="486">
        <v>0</v>
      </c>
      <c r="V14" s="486">
        <f>SUM(S14:U14)</f>
        <v>0</v>
      </c>
      <c r="W14" s="486">
        <v>0</v>
      </c>
      <c r="X14" s="486">
        <v>0</v>
      </c>
      <c r="Y14" s="486">
        <f>SUM(W14:X14)</f>
        <v>0</v>
      </c>
      <c r="Z14" s="486">
        <f>V14+Y14</f>
        <v>0</v>
      </c>
      <c r="AA14" s="319">
        <f>ROUND((V14+W14)*33.8%,0)</f>
        <v>0</v>
      </c>
      <c r="AB14" s="178">
        <f>ROUND(V14*2%,0)</f>
        <v>0</v>
      </c>
      <c r="AC14" s="486">
        <v>0</v>
      </c>
      <c r="AD14" s="486">
        <v>0</v>
      </c>
      <c r="AE14" s="486">
        <f t="shared" si="0"/>
        <v>0</v>
      </c>
      <c r="AF14" s="486">
        <f t="shared" si="3"/>
        <v>0</v>
      </c>
      <c r="AG14" s="501">
        <v>0</v>
      </c>
      <c r="AH14" s="501">
        <v>0</v>
      </c>
      <c r="AI14" s="501">
        <v>0</v>
      </c>
      <c r="AJ14" s="501">
        <v>0</v>
      </c>
      <c r="AK14" s="501">
        <v>0</v>
      </c>
      <c r="AL14" s="501">
        <f t="shared" ref="AL14:AL15" si="6">AG14+AI14+AJ14</f>
        <v>0</v>
      </c>
      <c r="AM14" s="501">
        <f t="shared" ref="AM14:AM15" si="7">AH14+AK14</f>
        <v>0</v>
      </c>
      <c r="AN14" s="502">
        <f t="shared" si="4"/>
        <v>0</v>
      </c>
      <c r="AO14" s="499">
        <f>I14+AF14</f>
        <v>486501</v>
      </c>
      <c r="AP14" s="486">
        <f>J14+V14</f>
        <v>358248</v>
      </c>
      <c r="AQ14" s="486">
        <f>K14+Y14</f>
        <v>0</v>
      </c>
      <c r="AR14" s="480">
        <f>L14</f>
        <v>0</v>
      </c>
      <c r="AS14" s="486">
        <f t="shared" si="1"/>
        <v>121088</v>
      </c>
      <c r="AT14" s="486">
        <f t="shared" si="1"/>
        <v>7165</v>
      </c>
      <c r="AU14" s="486">
        <f>O14+AE14</f>
        <v>0</v>
      </c>
      <c r="AV14" s="501">
        <f>P14+AN14</f>
        <v>1</v>
      </c>
      <c r="AW14" s="501">
        <f t="shared" si="2"/>
        <v>1</v>
      </c>
      <c r="AX14" s="502">
        <f t="shared" si="2"/>
        <v>0</v>
      </c>
    </row>
    <row r="15" spans="1:50" ht="12.95" customHeight="1" x14ac:dyDescent="0.25">
      <c r="A15" s="83">
        <v>1</v>
      </c>
      <c r="B15" s="526">
        <v>5415</v>
      </c>
      <c r="C15" s="527">
        <v>667000135</v>
      </c>
      <c r="D15" s="526">
        <v>71011170</v>
      </c>
      <c r="E15" s="533" t="s">
        <v>811</v>
      </c>
      <c r="F15" s="526">
        <v>3141</v>
      </c>
      <c r="G15" s="535" t="s">
        <v>321</v>
      </c>
      <c r="H15" s="493" t="s">
        <v>284</v>
      </c>
      <c r="I15" s="495">
        <v>2471253</v>
      </c>
      <c r="J15" s="496">
        <v>1790374</v>
      </c>
      <c r="K15" s="496">
        <v>20000</v>
      </c>
      <c r="L15" s="496">
        <v>0</v>
      </c>
      <c r="M15" s="496">
        <v>611906</v>
      </c>
      <c r="N15" s="496">
        <v>35807</v>
      </c>
      <c r="O15" s="496">
        <v>13166</v>
      </c>
      <c r="P15" s="497">
        <v>6.16</v>
      </c>
      <c r="Q15" s="412">
        <v>0</v>
      </c>
      <c r="R15" s="498">
        <v>6.16</v>
      </c>
      <c r="S15" s="499">
        <f t="shared" si="5"/>
        <v>0</v>
      </c>
      <c r="T15" s="486">
        <v>0</v>
      </c>
      <c r="U15" s="486">
        <v>0</v>
      </c>
      <c r="V15" s="486">
        <f>SUM(S15:U15)</f>
        <v>0</v>
      </c>
      <c r="W15" s="486">
        <v>0</v>
      </c>
      <c r="X15" s="486">
        <v>0</v>
      </c>
      <c r="Y15" s="486">
        <f>SUM(W15:X15)</f>
        <v>0</v>
      </c>
      <c r="Z15" s="486">
        <f>V15+Y15</f>
        <v>0</v>
      </c>
      <c r="AA15" s="319">
        <f>ROUND((V15+W15)*33.8%,0)</f>
        <v>0</v>
      </c>
      <c r="AB15" s="178">
        <f>ROUND(V15*2%,0)</f>
        <v>0</v>
      </c>
      <c r="AC15" s="486">
        <v>0</v>
      </c>
      <c r="AD15" s="486">
        <v>0</v>
      </c>
      <c r="AE15" s="486">
        <f t="shared" si="0"/>
        <v>0</v>
      </c>
      <c r="AF15" s="486">
        <f t="shared" si="3"/>
        <v>0</v>
      </c>
      <c r="AG15" s="501">
        <v>0</v>
      </c>
      <c r="AH15" s="501">
        <v>0</v>
      </c>
      <c r="AI15" s="501">
        <v>0</v>
      </c>
      <c r="AJ15" s="501">
        <v>0</v>
      </c>
      <c r="AK15" s="501">
        <v>0</v>
      </c>
      <c r="AL15" s="501">
        <f t="shared" si="6"/>
        <v>0</v>
      </c>
      <c r="AM15" s="501">
        <f t="shared" si="7"/>
        <v>0</v>
      </c>
      <c r="AN15" s="502">
        <f t="shared" si="4"/>
        <v>0</v>
      </c>
      <c r="AO15" s="499">
        <f>I15+AF15</f>
        <v>2471253</v>
      </c>
      <c r="AP15" s="486">
        <f>J15+V15</f>
        <v>1790374</v>
      </c>
      <c r="AQ15" s="486">
        <f>K15+Y15</f>
        <v>20000</v>
      </c>
      <c r="AR15" s="480">
        <f>L15</f>
        <v>0</v>
      </c>
      <c r="AS15" s="486">
        <f t="shared" si="1"/>
        <v>611906</v>
      </c>
      <c r="AT15" s="486">
        <f t="shared" si="1"/>
        <v>35807</v>
      </c>
      <c r="AU15" s="486">
        <f>O15+AE15</f>
        <v>13166</v>
      </c>
      <c r="AV15" s="501">
        <f>P15+AN15</f>
        <v>6.16</v>
      </c>
      <c r="AW15" s="501">
        <f t="shared" si="2"/>
        <v>0</v>
      </c>
      <c r="AX15" s="502">
        <f t="shared" si="2"/>
        <v>6.16</v>
      </c>
    </row>
    <row r="16" spans="1:50" ht="12.95" customHeight="1" x14ac:dyDescent="0.25">
      <c r="A16" s="92">
        <v>1</v>
      </c>
      <c r="B16" s="85">
        <v>5415</v>
      </c>
      <c r="C16" s="113">
        <v>667000135</v>
      </c>
      <c r="D16" s="85">
        <v>71011170</v>
      </c>
      <c r="E16" s="89" t="s">
        <v>831</v>
      </c>
      <c r="F16" s="85"/>
      <c r="G16" s="114"/>
      <c r="H16" s="115"/>
      <c r="I16" s="130">
        <v>20881358</v>
      </c>
      <c r="J16" s="87">
        <v>15117359</v>
      </c>
      <c r="K16" s="87">
        <v>90000</v>
      </c>
      <c r="L16" s="87">
        <v>0</v>
      </c>
      <c r="M16" s="87">
        <v>5140087</v>
      </c>
      <c r="N16" s="87">
        <v>302346</v>
      </c>
      <c r="O16" s="87">
        <v>231566</v>
      </c>
      <c r="P16" s="88">
        <v>38.551299999999998</v>
      </c>
      <c r="Q16" s="88">
        <v>24.460999999999999</v>
      </c>
      <c r="R16" s="274">
        <v>14.090299999999999</v>
      </c>
      <c r="S16" s="141">
        <f t="shared" ref="S16:AN16" si="8">SUM(S12:S15)</f>
        <v>0</v>
      </c>
      <c r="T16" s="87">
        <f t="shared" si="8"/>
        <v>21225</v>
      </c>
      <c r="U16" s="87">
        <f t="shared" si="8"/>
        <v>0</v>
      </c>
      <c r="V16" s="87">
        <f t="shared" si="8"/>
        <v>21225</v>
      </c>
      <c r="W16" s="87">
        <f t="shared" si="8"/>
        <v>0</v>
      </c>
      <c r="X16" s="87">
        <f t="shared" si="8"/>
        <v>0</v>
      </c>
      <c r="Y16" s="87">
        <f t="shared" si="8"/>
        <v>0</v>
      </c>
      <c r="Z16" s="87">
        <f t="shared" si="8"/>
        <v>21225</v>
      </c>
      <c r="AA16" s="87">
        <f t="shared" si="8"/>
        <v>7174</v>
      </c>
      <c r="AB16" s="87">
        <f t="shared" si="8"/>
        <v>425</v>
      </c>
      <c r="AC16" s="87">
        <f t="shared" si="8"/>
        <v>3500</v>
      </c>
      <c r="AD16" s="87">
        <f t="shared" si="8"/>
        <v>0</v>
      </c>
      <c r="AE16" s="87">
        <f t="shared" si="8"/>
        <v>3500</v>
      </c>
      <c r="AF16" s="87">
        <f t="shared" si="8"/>
        <v>32324</v>
      </c>
      <c r="AG16" s="88">
        <f t="shared" si="8"/>
        <v>0</v>
      </c>
      <c r="AH16" s="88">
        <f t="shared" si="8"/>
        <v>0</v>
      </c>
      <c r="AI16" s="88">
        <f t="shared" si="8"/>
        <v>0.06</v>
      </c>
      <c r="AJ16" s="88">
        <f t="shared" si="8"/>
        <v>0</v>
      </c>
      <c r="AK16" s="88">
        <f t="shared" si="8"/>
        <v>0</v>
      </c>
      <c r="AL16" s="88">
        <f t="shared" si="8"/>
        <v>0.06</v>
      </c>
      <c r="AM16" s="88">
        <f t="shared" si="8"/>
        <v>0</v>
      </c>
      <c r="AN16" s="274">
        <f t="shared" si="8"/>
        <v>0.06</v>
      </c>
      <c r="AO16" s="141">
        <f t="shared" ref="AO16:AX16" si="9">SUM(AO12:AO15)</f>
        <v>20913682</v>
      </c>
      <c r="AP16" s="87">
        <f t="shared" si="9"/>
        <v>15138584</v>
      </c>
      <c r="AQ16" s="87">
        <f t="shared" si="9"/>
        <v>90000</v>
      </c>
      <c r="AR16" s="87">
        <f t="shared" si="9"/>
        <v>0</v>
      </c>
      <c r="AS16" s="87">
        <f t="shared" si="9"/>
        <v>5147261</v>
      </c>
      <c r="AT16" s="87">
        <f t="shared" si="9"/>
        <v>302771</v>
      </c>
      <c r="AU16" s="87">
        <f t="shared" si="9"/>
        <v>235066</v>
      </c>
      <c r="AV16" s="88">
        <f t="shared" si="9"/>
        <v>38.6113</v>
      </c>
      <c r="AW16" s="88">
        <f t="shared" si="9"/>
        <v>24.521000000000001</v>
      </c>
      <c r="AX16" s="274">
        <f t="shared" si="9"/>
        <v>14.090299999999999</v>
      </c>
    </row>
    <row r="17" spans="1:50" ht="12.95" customHeight="1" x14ac:dyDescent="0.25">
      <c r="A17" s="83">
        <v>2</v>
      </c>
      <c r="B17" s="526">
        <v>5416</v>
      </c>
      <c r="C17" s="527">
        <v>600099342</v>
      </c>
      <c r="D17" s="526">
        <v>854719</v>
      </c>
      <c r="E17" s="536" t="s">
        <v>438</v>
      </c>
      <c r="F17" s="526">
        <v>3113</v>
      </c>
      <c r="G17" s="535" t="s">
        <v>335</v>
      </c>
      <c r="H17" s="493" t="s">
        <v>283</v>
      </c>
      <c r="I17" s="495">
        <v>21136358</v>
      </c>
      <c r="J17" s="496">
        <v>14925324</v>
      </c>
      <c r="K17" s="496">
        <v>140864</v>
      </c>
      <c r="L17" s="496">
        <v>48248</v>
      </c>
      <c r="M17" s="411">
        <v>5076064</v>
      </c>
      <c r="N17" s="411">
        <v>298506</v>
      </c>
      <c r="O17" s="496">
        <v>695600</v>
      </c>
      <c r="P17" s="497">
        <v>27.476899999999997</v>
      </c>
      <c r="Q17" s="412">
        <v>20.506700000000002</v>
      </c>
      <c r="R17" s="498">
        <v>6.9701999999999993</v>
      </c>
      <c r="S17" s="499">
        <f t="shared" si="5"/>
        <v>0</v>
      </c>
      <c r="T17" s="486">
        <v>0</v>
      </c>
      <c r="U17" s="486">
        <v>0</v>
      </c>
      <c r="V17" s="486">
        <f>SUM(S17:U17)</f>
        <v>0</v>
      </c>
      <c r="W17" s="486">
        <v>0</v>
      </c>
      <c r="X17" s="486">
        <v>0</v>
      </c>
      <c r="Y17" s="486">
        <f>SUM(W17:X17)</f>
        <v>0</v>
      </c>
      <c r="Z17" s="486">
        <f>V17+Y17</f>
        <v>0</v>
      </c>
      <c r="AA17" s="319">
        <f>ROUND((V17+W17)*33.8%,0)</f>
        <v>0</v>
      </c>
      <c r="AB17" s="178">
        <f>ROUND(V17*2%,0)</f>
        <v>0</v>
      </c>
      <c r="AC17" s="486">
        <v>0</v>
      </c>
      <c r="AD17" s="486">
        <v>0</v>
      </c>
      <c r="AE17" s="486">
        <f t="shared" si="0"/>
        <v>0</v>
      </c>
      <c r="AF17" s="486">
        <f t="shared" si="3"/>
        <v>0</v>
      </c>
      <c r="AG17" s="501">
        <v>0</v>
      </c>
      <c r="AH17" s="501">
        <v>0</v>
      </c>
      <c r="AI17" s="501">
        <v>0</v>
      </c>
      <c r="AJ17" s="501">
        <v>0</v>
      </c>
      <c r="AK17" s="501">
        <v>0</v>
      </c>
      <c r="AL17" s="501">
        <f t="shared" ref="AL17:AL20" si="10">AG17+AI17+AJ17</f>
        <v>0</v>
      </c>
      <c r="AM17" s="501">
        <f t="shared" ref="AM17:AM20" si="11">AH17+AK17</f>
        <v>0</v>
      </c>
      <c r="AN17" s="502">
        <f t="shared" si="4"/>
        <v>0</v>
      </c>
      <c r="AO17" s="499">
        <f>I17+AF17</f>
        <v>21136358</v>
      </c>
      <c r="AP17" s="486">
        <f>J17+V17</f>
        <v>14925324</v>
      </c>
      <c r="AQ17" s="486">
        <f>K17+Y17</f>
        <v>140864</v>
      </c>
      <c r="AR17" s="480">
        <f>L17</f>
        <v>48248</v>
      </c>
      <c r="AS17" s="486">
        <f t="shared" ref="AS17:AT20" si="12">M17+AA17</f>
        <v>5076064</v>
      </c>
      <c r="AT17" s="486">
        <f t="shared" si="12"/>
        <v>298506</v>
      </c>
      <c r="AU17" s="486">
        <f>O17+AE17</f>
        <v>695600</v>
      </c>
      <c r="AV17" s="501">
        <f>P17+AN17</f>
        <v>27.476899999999997</v>
      </c>
      <c r="AW17" s="501">
        <f t="shared" ref="AW17:AX20" si="13">Q17+AL17</f>
        <v>20.506700000000002</v>
      </c>
      <c r="AX17" s="502">
        <f t="shared" si="13"/>
        <v>6.9701999999999993</v>
      </c>
    </row>
    <row r="18" spans="1:50" ht="12.95" customHeight="1" x14ac:dyDescent="0.25">
      <c r="A18" s="83">
        <v>2</v>
      </c>
      <c r="B18" s="526">
        <v>5416</v>
      </c>
      <c r="C18" s="527">
        <v>600099342</v>
      </c>
      <c r="D18" s="526">
        <v>854719</v>
      </c>
      <c r="E18" s="536" t="s">
        <v>438</v>
      </c>
      <c r="F18" s="526">
        <v>3113</v>
      </c>
      <c r="G18" s="493" t="s">
        <v>318</v>
      </c>
      <c r="H18" s="493" t="s">
        <v>284</v>
      </c>
      <c r="I18" s="495">
        <v>1049148</v>
      </c>
      <c r="J18" s="496">
        <v>772201</v>
      </c>
      <c r="K18" s="496">
        <v>0</v>
      </c>
      <c r="L18" s="496">
        <v>0</v>
      </c>
      <c r="M18" s="411">
        <v>261003</v>
      </c>
      <c r="N18" s="411">
        <v>15444</v>
      </c>
      <c r="O18" s="496">
        <v>500</v>
      </c>
      <c r="P18" s="497">
        <v>2.3199999999999998</v>
      </c>
      <c r="Q18" s="412">
        <v>2.3199999999999998</v>
      </c>
      <c r="R18" s="498">
        <v>0</v>
      </c>
      <c r="S18" s="499">
        <f t="shared" si="5"/>
        <v>0</v>
      </c>
      <c r="T18" s="486">
        <v>-21225</v>
      </c>
      <c r="U18" s="486">
        <v>0</v>
      </c>
      <c r="V18" s="486">
        <f>SUM(S18:U18)</f>
        <v>-21225</v>
      </c>
      <c r="W18" s="486">
        <v>0</v>
      </c>
      <c r="X18" s="486">
        <v>0</v>
      </c>
      <c r="Y18" s="486">
        <f>SUM(W18:X18)</f>
        <v>0</v>
      </c>
      <c r="Z18" s="486">
        <f>V18+Y18</f>
        <v>-21225</v>
      </c>
      <c r="AA18" s="319">
        <f>ROUND((V18+W18)*33.8%,0)</f>
        <v>-7174</v>
      </c>
      <c r="AB18" s="178">
        <f>ROUND(V18*2%,0)</f>
        <v>-425</v>
      </c>
      <c r="AC18" s="486">
        <v>0</v>
      </c>
      <c r="AD18" s="486">
        <v>0</v>
      </c>
      <c r="AE18" s="486">
        <f t="shared" si="0"/>
        <v>0</v>
      </c>
      <c r="AF18" s="486">
        <f t="shared" si="3"/>
        <v>-28824</v>
      </c>
      <c r="AG18" s="501">
        <v>0</v>
      </c>
      <c r="AH18" s="501">
        <v>0</v>
      </c>
      <c r="AI18" s="501">
        <v>-0.06</v>
      </c>
      <c r="AJ18" s="501">
        <v>0</v>
      </c>
      <c r="AK18" s="501">
        <v>0</v>
      </c>
      <c r="AL18" s="501">
        <f t="shared" si="10"/>
        <v>-0.06</v>
      </c>
      <c r="AM18" s="501">
        <f t="shared" si="11"/>
        <v>0</v>
      </c>
      <c r="AN18" s="502">
        <f t="shared" si="4"/>
        <v>-0.06</v>
      </c>
      <c r="AO18" s="499">
        <f>I18+AF18</f>
        <v>1020324</v>
      </c>
      <c r="AP18" s="486">
        <f>J18+V18</f>
        <v>750976</v>
      </c>
      <c r="AQ18" s="486">
        <f>K18+Y18</f>
        <v>0</v>
      </c>
      <c r="AR18" s="480">
        <f>L18</f>
        <v>0</v>
      </c>
      <c r="AS18" s="486">
        <f t="shared" si="12"/>
        <v>253829</v>
      </c>
      <c r="AT18" s="486">
        <f t="shared" si="12"/>
        <v>15019</v>
      </c>
      <c r="AU18" s="486">
        <f>O18+AE18</f>
        <v>500</v>
      </c>
      <c r="AV18" s="501">
        <f>P18+AN18</f>
        <v>2.2599999999999998</v>
      </c>
      <c r="AW18" s="501">
        <f t="shared" si="13"/>
        <v>2.2599999999999998</v>
      </c>
      <c r="AX18" s="502">
        <f t="shared" si="13"/>
        <v>0</v>
      </c>
    </row>
    <row r="19" spans="1:50" ht="12.95" customHeight="1" x14ac:dyDescent="0.25">
      <c r="A19" s="83">
        <v>2</v>
      </c>
      <c r="B19" s="526">
        <v>5416</v>
      </c>
      <c r="C19" s="527">
        <v>600099342</v>
      </c>
      <c r="D19" s="526">
        <v>854719</v>
      </c>
      <c r="E19" s="536" t="s">
        <v>438</v>
      </c>
      <c r="F19" s="526">
        <v>3143</v>
      </c>
      <c r="G19" s="493" t="s">
        <v>634</v>
      </c>
      <c r="H19" s="493" t="s">
        <v>283</v>
      </c>
      <c r="I19" s="495">
        <v>1683438</v>
      </c>
      <c r="J19" s="496">
        <v>1239645</v>
      </c>
      <c r="K19" s="496">
        <v>0</v>
      </c>
      <c r="L19" s="496">
        <v>0</v>
      </c>
      <c r="M19" s="411">
        <v>419000</v>
      </c>
      <c r="N19" s="411">
        <v>24793</v>
      </c>
      <c r="O19" s="496">
        <v>0</v>
      </c>
      <c r="P19" s="497">
        <v>2.625</v>
      </c>
      <c r="Q19" s="412">
        <v>2.625</v>
      </c>
      <c r="R19" s="498">
        <v>0</v>
      </c>
      <c r="S19" s="499">
        <f t="shared" si="5"/>
        <v>0</v>
      </c>
      <c r="T19" s="486">
        <v>0</v>
      </c>
      <c r="U19" s="486">
        <v>0</v>
      </c>
      <c r="V19" s="486">
        <f>SUM(S19:U19)</f>
        <v>0</v>
      </c>
      <c r="W19" s="486">
        <v>0</v>
      </c>
      <c r="X19" s="486">
        <v>0</v>
      </c>
      <c r="Y19" s="486">
        <f>SUM(W19:X19)</f>
        <v>0</v>
      </c>
      <c r="Z19" s="486">
        <f>V19+Y19</f>
        <v>0</v>
      </c>
      <c r="AA19" s="319">
        <f>ROUND((V19+W19)*33.8%,0)</f>
        <v>0</v>
      </c>
      <c r="AB19" s="178">
        <f>ROUND(V19*2%,0)</f>
        <v>0</v>
      </c>
      <c r="AC19" s="486">
        <v>0</v>
      </c>
      <c r="AD19" s="486">
        <v>0</v>
      </c>
      <c r="AE19" s="486">
        <f t="shared" si="0"/>
        <v>0</v>
      </c>
      <c r="AF19" s="486">
        <f t="shared" si="3"/>
        <v>0</v>
      </c>
      <c r="AG19" s="501">
        <v>0</v>
      </c>
      <c r="AH19" s="501">
        <v>0</v>
      </c>
      <c r="AI19" s="501">
        <v>0</v>
      </c>
      <c r="AJ19" s="501">
        <v>0</v>
      </c>
      <c r="AK19" s="501">
        <v>0</v>
      </c>
      <c r="AL19" s="501">
        <f t="shared" si="10"/>
        <v>0</v>
      </c>
      <c r="AM19" s="501">
        <f t="shared" si="11"/>
        <v>0</v>
      </c>
      <c r="AN19" s="502">
        <f t="shared" si="4"/>
        <v>0</v>
      </c>
      <c r="AO19" s="499">
        <f>I19+AF19</f>
        <v>1683438</v>
      </c>
      <c r="AP19" s="486">
        <f>J19+V19</f>
        <v>1239645</v>
      </c>
      <c r="AQ19" s="486">
        <f>K19+Y19</f>
        <v>0</v>
      </c>
      <c r="AR19" s="480">
        <f>L19</f>
        <v>0</v>
      </c>
      <c r="AS19" s="486">
        <f t="shared" si="12"/>
        <v>419000</v>
      </c>
      <c r="AT19" s="486">
        <f t="shared" si="12"/>
        <v>24793</v>
      </c>
      <c r="AU19" s="486">
        <f>O19+AE19</f>
        <v>0</v>
      </c>
      <c r="AV19" s="501">
        <f>P19+AN19</f>
        <v>2.625</v>
      </c>
      <c r="AW19" s="501">
        <f t="shared" si="13"/>
        <v>2.625</v>
      </c>
      <c r="AX19" s="502">
        <f t="shared" si="13"/>
        <v>0</v>
      </c>
    </row>
    <row r="20" spans="1:50" ht="12.95" customHeight="1" x14ac:dyDescent="0.25">
      <c r="A20" s="83">
        <v>2</v>
      </c>
      <c r="B20" s="526">
        <v>5416</v>
      </c>
      <c r="C20" s="527">
        <v>600099342</v>
      </c>
      <c r="D20" s="526">
        <v>854719</v>
      </c>
      <c r="E20" s="536" t="s">
        <v>438</v>
      </c>
      <c r="F20" s="526">
        <v>3143</v>
      </c>
      <c r="G20" s="493" t="s">
        <v>635</v>
      </c>
      <c r="H20" s="493" t="s">
        <v>284</v>
      </c>
      <c r="I20" s="495">
        <v>56177</v>
      </c>
      <c r="J20" s="496">
        <v>39600</v>
      </c>
      <c r="K20" s="496">
        <v>0</v>
      </c>
      <c r="L20" s="496">
        <v>0</v>
      </c>
      <c r="M20" s="411">
        <v>13385</v>
      </c>
      <c r="N20" s="411">
        <v>792</v>
      </c>
      <c r="O20" s="496">
        <v>2400</v>
      </c>
      <c r="P20" s="497">
        <v>0.17</v>
      </c>
      <c r="Q20" s="412">
        <v>0</v>
      </c>
      <c r="R20" s="498">
        <v>0.17</v>
      </c>
      <c r="S20" s="499">
        <f t="shared" si="5"/>
        <v>0</v>
      </c>
      <c r="T20" s="486">
        <v>0</v>
      </c>
      <c r="U20" s="486">
        <v>0</v>
      </c>
      <c r="V20" s="486">
        <f>SUM(S20:U20)</f>
        <v>0</v>
      </c>
      <c r="W20" s="486">
        <v>0</v>
      </c>
      <c r="X20" s="486">
        <v>0</v>
      </c>
      <c r="Y20" s="486">
        <f>SUM(W20:X20)</f>
        <v>0</v>
      </c>
      <c r="Z20" s="486">
        <f>V20+Y20</f>
        <v>0</v>
      </c>
      <c r="AA20" s="319">
        <f>ROUND((V20+W20)*33.8%,0)</f>
        <v>0</v>
      </c>
      <c r="AB20" s="178">
        <f>ROUND(V20*2%,0)</f>
        <v>0</v>
      </c>
      <c r="AC20" s="486">
        <v>0</v>
      </c>
      <c r="AD20" s="486">
        <v>0</v>
      </c>
      <c r="AE20" s="486">
        <f t="shared" si="0"/>
        <v>0</v>
      </c>
      <c r="AF20" s="486">
        <f t="shared" si="3"/>
        <v>0</v>
      </c>
      <c r="AG20" s="501">
        <v>0</v>
      </c>
      <c r="AH20" s="501">
        <v>0</v>
      </c>
      <c r="AI20" s="501">
        <v>0</v>
      </c>
      <c r="AJ20" s="501">
        <v>0</v>
      </c>
      <c r="AK20" s="501">
        <v>0</v>
      </c>
      <c r="AL20" s="501">
        <f t="shared" si="10"/>
        <v>0</v>
      </c>
      <c r="AM20" s="501">
        <f t="shared" si="11"/>
        <v>0</v>
      </c>
      <c r="AN20" s="502">
        <f t="shared" si="4"/>
        <v>0</v>
      </c>
      <c r="AO20" s="499">
        <f>I20+AF20</f>
        <v>56177</v>
      </c>
      <c r="AP20" s="486">
        <f>J20+V20</f>
        <v>39600</v>
      </c>
      <c r="AQ20" s="486">
        <f>K20+Y20</f>
        <v>0</v>
      </c>
      <c r="AR20" s="480">
        <f>L20</f>
        <v>0</v>
      </c>
      <c r="AS20" s="486">
        <f t="shared" si="12"/>
        <v>13385</v>
      </c>
      <c r="AT20" s="486">
        <f t="shared" si="12"/>
        <v>792</v>
      </c>
      <c r="AU20" s="486">
        <f>O20+AE20</f>
        <v>2400</v>
      </c>
      <c r="AV20" s="501">
        <f>P20+AN20</f>
        <v>0.17</v>
      </c>
      <c r="AW20" s="501">
        <f t="shared" si="13"/>
        <v>0</v>
      </c>
      <c r="AX20" s="502">
        <f t="shared" si="13"/>
        <v>0.17</v>
      </c>
    </row>
    <row r="21" spans="1:50" ht="12.95" customHeight="1" x14ac:dyDescent="0.25">
      <c r="A21" s="92">
        <v>2</v>
      </c>
      <c r="B21" s="104">
        <v>5416</v>
      </c>
      <c r="C21" s="105">
        <v>600099342</v>
      </c>
      <c r="D21" s="104">
        <v>854719</v>
      </c>
      <c r="E21" s="119" t="s">
        <v>439</v>
      </c>
      <c r="F21" s="104"/>
      <c r="G21" s="122"/>
      <c r="H21" s="123"/>
      <c r="I21" s="130">
        <v>23925121</v>
      </c>
      <c r="J21" s="87">
        <v>16976770</v>
      </c>
      <c r="K21" s="87">
        <v>140864</v>
      </c>
      <c r="L21" s="87">
        <v>48248</v>
      </c>
      <c r="M21" s="87">
        <v>5769452</v>
      </c>
      <c r="N21" s="87">
        <v>339535</v>
      </c>
      <c r="O21" s="87">
        <v>698500</v>
      </c>
      <c r="P21" s="88">
        <v>32.591899999999995</v>
      </c>
      <c r="Q21" s="88">
        <v>25.451700000000002</v>
      </c>
      <c r="R21" s="274">
        <v>7.1401999999999992</v>
      </c>
      <c r="S21" s="141">
        <f t="shared" ref="S21:AN21" si="14">SUM(S17:S20)</f>
        <v>0</v>
      </c>
      <c r="T21" s="87">
        <f t="shared" si="14"/>
        <v>-21225</v>
      </c>
      <c r="U21" s="87">
        <f t="shared" si="14"/>
        <v>0</v>
      </c>
      <c r="V21" s="87">
        <f t="shared" si="14"/>
        <v>-21225</v>
      </c>
      <c r="W21" s="87">
        <f t="shared" si="14"/>
        <v>0</v>
      </c>
      <c r="X21" s="87">
        <f t="shared" si="14"/>
        <v>0</v>
      </c>
      <c r="Y21" s="87">
        <f t="shared" si="14"/>
        <v>0</v>
      </c>
      <c r="Z21" s="87">
        <f t="shared" si="14"/>
        <v>-21225</v>
      </c>
      <c r="AA21" s="87">
        <f t="shared" si="14"/>
        <v>-7174</v>
      </c>
      <c r="AB21" s="87">
        <f t="shared" si="14"/>
        <v>-425</v>
      </c>
      <c r="AC21" s="87">
        <f t="shared" si="14"/>
        <v>0</v>
      </c>
      <c r="AD21" s="87">
        <f t="shared" si="14"/>
        <v>0</v>
      </c>
      <c r="AE21" s="87">
        <f t="shared" si="14"/>
        <v>0</v>
      </c>
      <c r="AF21" s="87">
        <f t="shared" si="14"/>
        <v>-28824</v>
      </c>
      <c r="AG21" s="88">
        <f t="shared" si="14"/>
        <v>0</v>
      </c>
      <c r="AH21" s="88">
        <f t="shared" si="14"/>
        <v>0</v>
      </c>
      <c r="AI21" s="88">
        <f t="shared" si="14"/>
        <v>-0.06</v>
      </c>
      <c r="AJ21" s="88">
        <f t="shared" si="14"/>
        <v>0</v>
      </c>
      <c r="AK21" s="88">
        <f t="shared" si="14"/>
        <v>0</v>
      </c>
      <c r="AL21" s="88">
        <f t="shared" si="14"/>
        <v>-0.06</v>
      </c>
      <c r="AM21" s="88">
        <f t="shared" si="14"/>
        <v>0</v>
      </c>
      <c r="AN21" s="274">
        <f t="shared" si="14"/>
        <v>-0.06</v>
      </c>
      <c r="AO21" s="141">
        <f t="shared" ref="AO21:AX21" si="15">SUM(AO17:AO20)</f>
        <v>23896297</v>
      </c>
      <c r="AP21" s="87">
        <f t="shared" si="15"/>
        <v>16955545</v>
      </c>
      <c r="AQ21" s="87">
        <f t="shared" si="15"/>
        <v>140864</v>
      </c>
      <c r="AR21" s="87">
        <f t="shared" si="15"/>
        <v>48248</v>
      </c>
      <c r="AS21" s="87">
        <f t="shared" si="15"/>
        <v>5762278</v>
      </c>
      <c r="AT21" s="87">
        <f t="shared" si="15"/>
        <v>339110</v>
      </c>
      <c r="AU21" s="87">
        <f t="shared" si="15"/>
        <v>698500</v>
      </c>
      <c r="AV21" s="88">
        <f t="shared" si="15"/>
        <v>32.5319</v>
      </c>
      <c r="AW21" s="88">
        <f t="shared" si="15"/>
        <v>25.3917</v>
      </c>
      <c r="AX21" s="274">
        <f t="shared" si="15"/>
        <v>7.1401999999999992</v>
      </c>
    </row>
    <row r="22" spans="1:50" ht="12.95" customHeight="1" x14ac:dyDescent="0.25">
      <c r="A22" s="83">
        <v>3</v>
      </c>
      <c r="B22" s="526">
        <v>5413</v>
      </c>
      <c r="C22" s="527">
        <v>600099334</v>
      </c>
      <c r="D22" s="526">
        <v>854697</v>
      </c>
      <c r="E22" s="536" t="s">
        <v>440</v>
      </c>
      <c r="F22" s="526">
        <v>3113</v>
      </c>
      <c r="G22" s="535" t="s">
        <v>335</v>
      </c>
      <c r="H22" s="493" t="s">
        <v>283</v>
      </c>
      <c r="I22" s="495">
        <v>23437424</v>
      </c>
      <c r="J22" s="496">
        <v>16598524</v>
      </c>
      <c r="K22" s="496">
        <v>111948</v>
      </c>
      <c r="L22" s="496">
        <v>51948</v>
      </c>
      <c r="M22" s="411">
        <v>5630581</v>
      </c>
      <c r="N22" s="411">
        <v>331971</v>
      </c>
      <c r="O22" s="496">
        <v>764400</v>
      </c>
      <c r="P22" s="497">
        <v>30.9983</v>
      </c>
      <c r="Q22" s="412">
        <v>23.6617</v>
      </c>
      <c r="R22" s="498">
        <v>7.3366000000000007</v>
      </c>
      <c r="S22" s="499">
        <f t="shared" si="5"/>
        <v>0</v>
      </c>
      <c r="T22" s="486">
        <v>0</v>
      </c>
      <c r="U22" s="486">
        <v>0</v>
      </c>
      <c r="V22" s="486">
        <f>SUM(S22:U22)</f>
        <v>0</v>
      </c>
      <c r="W22" s="486">
        <v>0</v>
      </c>
      <c r="X22" s="486">
        <v>0</v>
      </c>
      <c r="Y22" s="486">
        <f>SUM(W22:X22)</f>
        <v>0</v>
      </c>
      <c r="Z22" s="486">
        <f>V22+Y22</f>
        <v>0</v>
      </c>
      <c r="AA22" s="319">
        <f>ROUND((V22+W22)*33.8%,0)</f>
        <v>0</v>
      </c>
      <c r="AB22" s="178">
        <f>ROUND(V22*2%,0)</f>
        <v>0</v>
      </c>
      <c r="AC22" s="486">
        <v>0</v>
      </c>
      <c r="AD22" s="486">
        <v>0</v>
      </c>
      <c r="AE22" s="486">
        <f t="shared" si="0"/>
        <v>0</v>
      </c>
      <c r="AF22" s="486">
        <f t="shared" si="3"/>
        <v>0</v>
      </c>
      <c r="AG22" s="501">
        <v>0</v>
      </c>
      <c r="AH22" s="501">
        <v>0</v>
      </c>
      <c r="AI22" s="501">
        <v>0</v>
      </c>
      <c r="AJ22" s="501">
        <v>0</v>
      </c>
      <c r="AK22" s="501">
        <v>0</v>
      </c>
      <c r="AL22" s="501">
        <f t="shared" ref="AL22:AL26" si="16">AG22+AI22+AJ22</f>
        <v>0</v>
      </c>
      <c r="AM22" s="501">
        <f t="shared" ref="AM22:AM26" si="17">AH22+AK22</f>
        <v>0</v>
      </c>
      <c r="AN22" s="502">
        <f t="shared" si="4"/>
        <v>0</v>
      </c>
      <c r="AO22" s="499">
        <f>I22+AF22</f>
        <v>23437424</v>
      </c>
      <c r="AP22" s="486">
        <f>J22+V22</f>
        <v>16598524</v>
      </c>
      <c r="AQ22" s="486">
        <f>K22+Y22</f>
        <v>111948</v>
      </c>
      <c r="AR22" s="480">
        <f>L22</f>
        <v>51948</v>
      </c>
      <c r="AS22" s="486">
        <f t="shared" ref="AS22:AT26" si="18">M22+AA22</f>
        <v>5630581</v>
      </c>
      <c r="AT22" s="486">
        <f t="shared" si="18"/>
        <v>331971</v>
      </c>
      <c r="AU22" s="486">
        <f>O22+AE22</f>
        <v>764400</v>
      </c>
      <c r="AV22" s="501">
        <f>P22+AN22</f>
        <v>30.9983</v>
      </c>
      <c r="AW22" s="501">
        <f t="shared" ref="AW22:AX26" si="19">Q22+AL22</f>
        <v>23.6617</v>
      </c>
      <c r="AX22" s="502">
        <f t="shared" si="19"/>
        <v>7.3366000000000007</v>
      </c>
    </row>
    <row r="23" spans="1:50" ht="12.95" customHeight="1" x14ac:dyDescent="0.25">
      <c r="A23" s="83">
        <v>3</v>
      </c>
      <c r="B23" s="526">
        <v>5413</v>
      </c>
      <c r="C23" s="527">
        <v>600099334</v>
      </c>
      <c r="D23" s="526">
        <v>854697</v>
      </c>
      <c r="E23" s="536" t="s">
        <v>440</v>
      </c>
      <c r="F23" s="526">
        <v>3113</v>
      </c>
      <c r="G23" s="493" t="s">
        <v>318</v>
      </c>
      <c r="H23" s="493" t="s">
        <v>284</v>
      </c>
      <c r="I23" s="495">
        <v>1480767</v>
      </c>
      <c r="J23" s="496">
        <v>1085028</v>
      </c>
      <c r="K23" s="496">
        <v>0</v>
      </c>
      <c r="L23" s="496">
        <v>0</v>
      </c>
      <c r="M23" s="411">
        <v>366739</v>
      </c>
      <c r="N23" s="411">
        <v>21700</v>
      </c>
      <c r="O23" s="496">
        <v>7300</v>
      </c>
      <c r="P23" s="497">
        <v>2.84</v>
      </c>
      <c r="Q23" s="412">
        <v>2.84</v>
      </c>
      <c r="R23" s="498">
        <v>0</v>
      </c>
      <c r="S23" s="499">
        <f t="shared" si="5"/>
        <v>0</v>
      </c>
      <c r="T23" s="486">
        <v>0</v>
      </c>
      <c r="U23" s="486">
        <v>0</v>
      </c>
      <c r="V23" s="486">
        <f>SUM(S23:U23)</f>
        <v>0</v>
      </c>
      <c r="W23" s="486">
        <v>0</v>
      </c>
      <c r="X23" s="486">
        <v>0</v>
      </c>
      <c r="Y23" s="486">
        <f>SUM(W23:X23)</f>
        <v>0</v>
      </c>
      <c r="Z23" s="486">
        <f>V23+Y23</f>
        <v>0</v>
      </c>
      <c r="AA23" s="319">
        <f>ROUND((V23+W23)*33.8%,0)</f>
        <v>0</v>
      </c>
      <c r="AB23" s="178">
        <f>ROUND(V23*2%,0)</f>
        <v>0</v>
      </c>
      <c r="AC23" s="486">
        <v>700</v>
      </c>
      <c r="AD23" s="486">
        <v>0</v>
      </c>
      <c r="AE23" s="486">
        <f t="shared" si="0"/>
        <v>700</v>
      </c>
      <c r="AF23" s="486">
        <f t="shared" si="3"/>
        <v>700</v>
      </c>
      <c r="AG23" s="501">
        <v>0</v>
      </c>
      <c r="AH23" s="501">
        <v>0</v>
      </c>
      <c r="AI23" s="501">
        <v>0</v>
      </c>
      <c r="AJ23" s="501">
        <v>0</v>
      </c>
      <c r="AK23" s="501">
        <v>0</v>
      </c>
      <c r="AL23" s="501">
        <f t="shared" si="16"/>
        <v>0</v>
      </c>
      <c r="AM23" s="501">
        <f t="shared" si="17"/>
        <v>0</v>
      </c>
      <c r="AN23" s="502">
        <f t="shared" si="4"/>
        <v>0</v>
      </c>
      <c r="AO23" s="499">
        <f>I23+AF23</f>
        <v>1481467</v>
      </c>
      <c r="AP23" s="486">
        <f>J23+V23</f>
        <v>1085028</v>
      </c>
      <c r="AQ23" s="486">
        <f>K23+Y23</f>
        <v>0</v>
      </c>
      <c r="AR23" s="480">
        <f>L23</f>
        <v>0</v>
      </c>
      <c r="AS23" s="486">
        <f t="shared" si="18"/>
        <v>366739</v>
      </c>
      <c r="AT23" s="486">
        <f t="shared" si="18"/>
        <v>21700</v>
      </c>
      <c r="AU23" s="486">
        <f>O23+AE23</f>
        <v>8000</v>
      </c>
      <c r="AV23" s="501">
        <f>P23+AN23</f>
        <v>2.84</v>
      </c>
      <c r="AW23" s="501">
        <f t="shared" si="19"/>
        <v>2.84</v>
      </c>
      <c r="AX23" s="502">
        <f t="shared" si="19"/>
        <v>0</v>
      </c>
    </row>
    <row r="24" spans="1:50" ht="12.95" customHeight="1" x14ac:dyDescent="0.25">
      <c r="A24" s="83">
        <v>3</v>
      </c>
      <c r="B24" s="526">
        <v>5413</v>
      </c>
      <c r="C24" s="527">
        <v>600099334</v>
      </c>
      <c r="D24" s="526">
        <v>854697</v>
      </c>
      <c r="E24" s="536" t="s">
        <v>440</v>
      </c>
      <c r="F24" s="526">
        <v>3143</v>
      </c>
      <c r="G24" s="493" t="s">
        <v>634</v>
      </c>
      <c r="H24" s="493" t="s">
        <v>283</v>
      </c>
      <c r="I24" s="495">
        <v>1839909</v>
      </c>
      <c r="J24" s="496">
        <v>1354867</v>
      </c>
      <c r="K24" s="496">
        <v>0</v>
      </c>
      <c r="L24" s="496">
        <v>0</v>
      </c>
      <c r="M24" s="411">
        <v>457945</v>
      </c>
      <c r="N24" s="411">
        <v>27097</v>
      </c>
      <c r="O24" s="496">
        <v>0</v>
      </c>
      <c r="P24" s="497">
        <v>2.8</v>
      </c>
      <c r="Q24" s="412">
        <v>2.8</v>
      </c>
      <c r="R24" s="498">
        <v>0</v>
      </c>
      <c r="S24" s="499">
        <f t="shared" si="5"/>
        <v>0</v>
      </c>
      <c r="T24" s="486">
        <v>0</v>
      </c>
      <c r="U24" s="486">
        <v>0</v>
      </c>
      <c r="V24" s="486">
        <f>SUM(S24:U24)</f>
        <v>0</v>
      </c>
      <c r="W24" s="486">
        <v>0</v>
      </c>
      <c r="X24" s="486">
        <v>0</v>
      </c>
      <c r="Y24" s="486">
        <f>SUM(W24:X24)</f>
        <v>0</v>
      </c>
      <c r="Z24" s="486">
        <f>V24+Y24</f>
        <v>0</v>
      </c>
      <c r="AA24" s="319">
        <f>ROUND((V24+W24)*33.8%,0)</f>
        <v>0</v>
      </c>
      <c r="AB24" s="178">
        <f>ROUND(V24*2%,0)</f>
        <v>0</v>
      </c>
      <c r="AC24" s="486">
        <v>0</v>
      </c>
      <c r="AD24" s="486">
        <v>0</v>
      </c>
      <c r="AE24" s="486">
        <f t="shared" si="0"/>
        <v>0</v>
      </c>
      <c r="AF24" s="486">
        <f t="shared" si="3"/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f t="shared" si="16"/>
        <v>0</v>
      </c>
      <c r="AM24" s="501">
        <f t="shared" si="17"/>
        <v>0</v>
      </c>
      <c r="AN24" s="502">
        <f t="shared" si="4"/>
        <v>0</v>
      </c>
      <c r="AO24" s="499">
        <f>I24+AF24</f>
        <v>1839909</v>
      </c>
      <c r="AP24" s="486">
        <f>J24+V24</f>
        <v>1354867</v>
      </c>
      <c r="AQ24" s="486">
        <f>K24+Y24</f>
        <v>0</v>
      </c>
      <c r="AR24" s="480">
        <f>L24</f>
        <v>0</v>
      </c>
      <c r="AS24" s="486">
        <f t="shared" si="18"/>
        <v>457945</v>
      </c>
      <c r="AT24" s="486">
        <f t="shared" si="18"/>
        <v>27097</v>
      </c>
      <c r="AU24" s="486">
        <f>O24+AE24</f>
        <v>0</v>
      </c>
      <c r="AV24" s="501">
        <f>P24+AN24</f>
        <v>2.8</v>
      </c>
      <c r="AW24" s="501">
        <f t="shared" si="19"/>
        <v>2.8</v>
      </c>
      <c r="AX24" s="502">
        <f t="shared" si="19"/>
        <v>0</v>
      </c>
    </row>
    <row r="25" spans="1:50" ht="12.95" customHeight="1" x14ac:dyDescent="0.25">
      <c r="A25" s="83">
        <v>3</v>
      </c>
      <c r="B25" s="526">
        <v>5413</v>
      </c>
      <c r="C25" s="527">
        <v>600099334</v>
      </c>
      <c r="D25" s="526">
        <v>854697</v>
      </c>
      <c r="E25" s="536" t="s">
        <v>440</v>
      </c>
      <c r="F25" s="526">
        <v>3143</v>
      </c>
      <c r="G25" s="493" t="s">
        <v>635</v>
      </c>
      <c r="H25" s="493" t="s">
        <v>284</v>
      </c>
      <c r="I25" s="495">
        <v>62497</v>
      </c>
      <c r="J25" s="496">
        <v>44055</v>
      </c>
      <c r="K25" s="496">
        <v>0</v>
      </c>
      <c r="L25" s="496">
        <v>0</v>
      </c>
      <c r="M25" s="411">
        <v>14891</v>
      </c>
      <c r="N25" s="411">
        <v>881</v>
      </c>
      <c r="O25" s="496">
        <v>2670</v>
      </c>
      <c r="P25" s="497">
        <v>0.19</v>
      </c>
      <c r="Q25" s="412">
        <v>0</v>
      </c>
      <c r="R25" s="498">
        <v>0.19</v>
      </c>
      <c r="S25" s="499">
        <f t="shared" si="5"/>
        <v>0</v>
      </c>
      <c r="T25" s="486">
        <v>0</v>
      </c>
      <c r="U25" s="486">
        <v>0</v>
      </c>
      <c r="V25" s="486">
        <f>SUM(S25:U25)</f>
        <v>0</v>
      </c>
      <c r="W25" s="486">
        <v>0</v>
      </c>
      <c r="X25" s="486">
        <v>0</v>
      </c>
      <c r="Y25" s="486">
        <f>SUM(W25:X25)</f>
        <v>0</v>
      </c>
      <c r="Z25" s="486">
        <f>V25+Y25</f>
        <v>0</v>
      </c>
      <c r="AA25" s="319">
        <f>ROUND((V25+W25)*33.8%,0)</f>
        <v>0</v>
      </c>
      <c r="AB25" s="178">
        <f>ROUND(V25*2%,0)</f>
        <v>0</v>
      </c>
      <c r="AC25" s="486">
        <v>0</v>
      </c>
      <c r="AD25" s="486">
        <v>0</v>
      </c>
      <c r="AE25" s="486">
        <f t="shared" si="0"/>
        <v>0</v>
      </c>
      <c r="AF25" s="486">
        <f t="shared" si="3"/>
        <v>0</v>
      </c>
      <c r="AG25" s="501">
        <v>0</v>
      </c>
      <c r="AH25" s="501">
        <v>0</v>
      </c>
      <c r="AI25" s="501">
        <v>0</v>
      </c>
      <c r="AJ25" s="501">
        <v>0</v>
      </c>
      <c r="AK25" s="501">
        <v>0</v>
      </c>
      <c r="AL25" s="501">
        <f t="shared" si="16"/>
        <v>0</v>
      </c>
      <c r="AM25" s="501">
        <f t="shared" si="17"/>
        <v>0</v>
      </c>
      <c r="AN25" s="502">
        <f t="shared" si="4"/>
        <v>0</v>
      </c>
      <c r="AO25" s="499">
        <f>I25+AF25</f>
        <v>62497</v>
      </c>
      <c r="AP25" s="486">
        <f>J25+V25</f>
        <v>44055</v>
      </c>
      <c r="AQ25" s="486">
        <f>K25+Y25</f>
        <v>0</v>
      </c>
      <c r="AR25" s="480">
        <f>L25</f>
        <v>0</v>
      </c>
      <c r="AS25" s="486">
        <f t="shared" si="18"/>
        <v>14891</v>
      </c>
      <c r="AT25" s="486">
        <f t="shared" si="18"/>
        <v>881</v>
      </c>
      <c r="AU25" s="486">
        <f>O25+AE25</f>
        <v>2670</v>
      </c>
      <c r="AV25" s="501">
        <f>P25+AN25</f>
        <v>0.19</v>
      </c>
      <c r="AW25" s="501">
        <f t="shared" si="19"/>
        <v>0</v>
      </c>
      <c r="AX25" s="502">
        <f t="shared" si="19"/>
        <v>0.19</v>
      </c>
    </row>
    <row r="26" spans="1:50" ht="12.95" customHeight="1" x14ac:dyDescent="0.25">
      <c r="A26" s="83">
        <v>3</v>
      </c>
      <c r="B26" s="526">
        <v>5413</v>
      </c>
      <c r="C26" s="527">
        <v>600099334</v>
      </c>
      <c r="D26" s="526">
        <v>854697</v>
      </c>
      <c r="E26" s="536" t="s">
        <v>440</v>
      </c>
      <c r="F26" s="526">
        <v>3143</v>
      </c>
      <c r="G26" s="535" t="s">
        <v>441</v>
      </c>
      <c r="H26" s="493" t="s">
        <v>284</v>
      </c>
      <c r="I26" s="495">
        <v>580077</v>
      </c>
      <c r="J26" s="496">
        <v>424526</v>
      </c>
      <c r="K26" s="496">
        <v>0</v>
      </c>
      <c r="L26" s="496">
        <v>0</v>
      </c>
      <c r="M26" s="411">
        <v>143490</v>
      </c>
      <c r="N26" s="411">
        <v>8491</v>
      </c>
      <c r="O26" s="496">
        <v>3570</v>
      </c>
      <c r="P26" s="497">
        <v>1.04</v>
      </c>
      <c r="Q26" s="412">
        <v>0.79</v>
      </c>
      <c r="R26" s="498">
        <v>0.25</v>
      </c>
      <c r="S26" s="499">
        <f t="shared" si="5"/>
        <v>0</v>
      </c>
      <c r="T26" s="486">
        <v>0</v>
      </c>
      <c r="U26" s="486">
        <v>0</v>
      </c>
      <c r="V26" s="486">
        <f>SUM(S26:U26)</f>
        <v>0</v>
      </c>
      <c r="W26" s="486">
        <v>0</v>
      </c>
      <c r="X26" s="486">
        <v>0</v>
      </c>
      <c r="Y26" s="486">
        <f>SUM(W26:X26)</f>
        <v>0</v>
      </c>
      <c r="Z26" s="486">
        <f>V26+Y26</f>
        <v>0</v>
      </c>
      <c r="AA26" s="319">
        <f>ROUND((V26+W26)*33.8%,0)</f>
        <v>0</v>
      </c>
      <c r="AB26" s="178">
        <f>ROUND(V26*2%,0)</f>
        <v>0</v>
      </c>
      <c r="AC26" s="486">
        <v>0</v>
      </c>
      <c r="AD26" s="486">
        <v>0</v>
      </c>
      <c r="AE26" s="486">
        <f t="shared" si="0"/>
        <v>0</v>
      </c>
      <c r="AF26" s="486">
        <f t="shared" si="3"/>
        <v>0</v>
      </c>
      <c r="AG26" s="501">
        <v>0</v>
      </c>
      <c r="AH26" s="501">
        <v>0</v>
      </c>
      <c r="AI26" s="501">
        <v>0</v>
      </c>
      <c r="AJ26" s="501">
        <v>0</v>
      </c>
      <c r="AK26" s="501">
        <v>0</v>
      </c>
      <c r="AL26" s="501">
        <f t="shared" si="16"/>
        <v>0</v>
      </c>
      <c r="AM26" s="501">
        <f t="shared" si="17"/>
        <v>0</v>
      </c>
      <c r="AN26" s="502">
        <f t="shared" si="4"/>
        <v>0</v>
      </c>
      <c r="AO26" s="499">
        <f>I26+AF26</f>
        <v>580077</v>
      </c>
      <c r="AP26" s="486">
        <f>J26+V26</f>
        <v>424526</v>
      </c>
      <c r="AQ26" s="486">
        <f>K26+Y26</f>
        <v>0</v>
      </c>
      <c r="AR26" s="480">
        <f>L26</f>
        <v>0</v>
      </c>
      <c r="AS26" s="486">
        <f t="shared" si="18"/>
        <v>143490</v>
      </c>
      <c r="AT26" s="486">
        <f t="shared" si="18"/>
        <v>8491</v>
      </c>
      <c r="AU26" s="486">
        <f>O26+AE26</f>
        <v>3570</v>
      </c>
      <c r="AV26" s="501">
        <f>P26+AN26</f>
        <v>1.04</v>
      </c>
      <c r="AW26" s="501">
        <f t="shared" si="19"/>
        <v>0.79</v>
      </c>
      <c r="AX26" s="502">
        <f t="shared" si="19"/>
        <v>0.25</v>
      </c>
    </row>
    <row r="27" spans="1:50" ht="12.95" customHeight="1" x14ac:dyDescent="0.25">
      <c r="A27" s="92">
        <v>3</v>
      </c>
      <c r="B27" s="104">
        <v>5413</v>
      </c>
      <c r="C27" s="105">
        <v>600099334</v>
      </c>
      <c r="D27" s="104">
        <v>854697</v>
      </c>
      <c r="E27" s="119" t="s">
        <v>442</v>
      </c>
      <c r="F27" s="104"/>
      <c r="G27" s="122"/>
      <c r="H27" s="123"/>
      <c r="I27" s="130">
        <v>27400674</v>
      </c>
      <c r="J27" s="87">
        <v>19507000</v>
      </c>
      <c r="K27" s="87">
        <v>111948</v>
      </c>
      <c r="L27" s="87">
        <v>51948</v>
      </c>
      <c r="M27" s="87">
        <v>6613646</v>
      </c>
      <c r="N27" s="87">
        <v>390140</v>
      </c>
      <c r="O27" s="87">
        <v>777940</v>
      </c>
      <c r="P27" s="88">
        <v>37.868299999999998</v>
      </c>
      <c r="Q27" s="88">
        <v>30.091699999999999</v>
      </c>
      <c r="R27" s="274">
        <v>7.7766000000000011</v>
      </c>
      <c r="S27" s="141">
        <f t="shared" ref="S27:AN27" si="20">SUM(S22:S26)</f>
        <v>0</v>
      </c>
      <c r="T27" s="87">
        <f t="shared" si="20"/>
        <v>0</v>
      </c>
      <c r="U27" s="87">
        <f t="shared" si="20"/>
        <v>0</v>
      </c>
      <c r="V27" s="87">
        <f t="shared" si="20"/>
        <v>0</v>
      </c>
      <c r="W27" s="87">
        <f t="shared" si="20"/>
        <v>0</v>
      </c>
      <c r="X27" s="87">
        <f t="shared" si="20"/>
        <v>0</v>
      </c>
      <c r="Y27" s="87">
        <f t="shared" si="20"/>
        <v>0</v>
      </c>
      <c r="Z27" s="87">
        <f t="shared" si="20"/>
        <v>0</v>
      </c>
      <c r="AA27" s="87">
        <f t="shared" si="20"/>
        <v>0</v>
      </c>
      <c r="AB27" s="87">
        <f t="shared" si="20"/>
        <v>0</v>
      </c>
      <c r="AC27" s="87">
        <f t="shared" si="20"/>
        <v>700</v>
      </c>
      <c r="AD27" s="87">
        <f t="shared" si="20"/>
        <v>0</v>
      </c>
      <c r="AE27" s="87">
        <f t="shared" si="20"/>
        <v>700</v>
      </c>
      <c r="AF27" s="87">
        <f t="shared" si="20"/>
        <v>700</v>
      </c>
      <c r="AG27" s="88">
        <f t="shared" si="20"/>
        <v>0</v>
      </c>
      <c r="AH27" s="88">
        <f t="shared" si="20"/>
        <v>0</v>
      </c>
      <c r="AI27" s="88">
        <f t="shared" si="20"/>
        <v>0</v>
      </c>
      <c r="AJ27" s="88">
        <f t="shared" si="20"/>
        <v>0</v>
      </c>
      <c r="AK27" s="88">
        <f t="shared" si="20"/>
        <v>0</v>
      </c>
      <c r="AL27" s="88">
        <f t="shared" si="20"/>
        <v>0</v>
      </c>
      <c r="AM27" s="88">
        <f t="shared" si="20"/>
        <v>0</v>
      </c>
      <c r="AN27" s="274">
        <f t="shared" si="20"/>
        <v>0</v>
      </c>
      <c r="AO27" s="141">
        <f t="shared" ref="AO27:AX27" si="21">SUM(AO22:AO26)</f>
        <v>27401374</v>
      </c>
      <c r="AP27" s="87">
        <f t="shared" si="21"/>
        <v>19507000</v>
      </c>
      <c r="AQ27" s="87">
        <f t="shared" si="21"/>
        <v>111948</v>
      </c>
      <c r="AR27" s="87">
        <f t="shared" si="21"/>
        <v>51948</v>
      </c>
      <c r="AS27" s="87">
        <f t="shared" si="21"/>
        <v>6613646</v>
      </c>
      <c r="AT27" s="87">
        <f t="shared" si="21"/>
        <v>390140</v>
      </c>
      <c r="AU27" s="87">
        <f t="shared" si="21"/>
        <v>778640</v>
      </c>
      <c r="AV27" s="88">
        <f t="shared" si="21"/>
        <v>37.868299999999998</v>
      </c>
      <c r="AW27" s="88">
        <f t="shared" si="21"/>
        <v>30.091699999999999</v>
      </c>
      <c r="AX27" s="274">
        <f t="shared" si="21"/>
        <v>7.7766000000000011</v>
      </c>
    </row>
    <row r="28" spans="1:50" ht="12.95" customHeight="1" x14ac:dyDescent="0.25">
      <c r="A28" s="83">
        <v>4</v>
      </c>
      <c r="B28" s="526">
        <v>5475</v>
      </c>
      <c r="C28" s="527">
        <v>600099385</v>
      </c>
      <c r="D28" s="526">
        <v>854735</v>
      </c>
      <c r="E28" s="536" t="s">
        <v>443</v>
      </c>
      <c r="F28" s="526">
        <v>3231</v>
      </c>
      <c r="G28" s="535" t="s">
        <v>424</v>
      </c>
      <c r="H28" s="493" t="s">
        <v>283</v>
      </c>
      <c r="I28" s="495">
        <v>11895234</v>
      </c>
      <c r="J28" s="496">
        <v>8714437</v>
      </c>
      <c r="K28" s="496">
        <v>0</v>
      </c>
      <c r="L28" s="496">
        <v>0</v>
      </c>
      <c r="M28" s="411">
        <v>2945479</v>
      </c>
      <c r="N28" s="411">
        <v>174288</v>
      </c>
      <c r="O28" s="496">
        <v>61030</v>
      </c>
      <c r="P28" s="497">
        <v>17.160900000000002</v>
      </c>
      <c r="Q28" s="412">
        <v>15.240500000000001</v>
      </c>
      <c r="R28" s="498">
        <v>1.9204000000000001</v>
      </c>
      <c r="S28" s="499">
        <f t="shared" si="5"/>
        <v>0</v>
      </c>
      <c r="T28" s="486">
        <v>0</v>
      </c>
      <c r="U28" s="486">
        <v>-14728</v>
      </c>
      <c r="V28" s="486">
        <f>SUM(S28:U28)</f>
        <v>-14728</v>
      </c>
      <c r="W28" s="486">
        <v>0</v>
      </c>
      <c r="X28" s="486">
        <v>0</v>
      </c>
      <c r="Y28" s="486">
        <f>SUM(W28:X28)</f>
        <v>0</v>
      </c>
      <c r="Z28" s="486">
        <f>V28+Y28</f>
        <v>-14728</v>
      </c>
      <c r="AA28" s="319">
        <f>ROUND((V28+W28)*33.8%,0)</f>
        <v>-4978</v>
      </c>
      <c r="AB28" s="178">
        <f>ROUND(V28*2%,0)</f>
        <v>-295</v>
      </c>
      <c r="AC28" s="486">
        <v>0</v>
      </c>
      <c r="AD28" s="486">
        <v>20001</v>
      </c>
      <c r="AE28" s="486">
        <f t="shared" si="0"/>
        <v>20001</v>
      </c>
      <c r="AF28" s="486">
        <f t="shared" si="3"/>
        <v>0</v>
      </c>
      <c r="AG28" s="501">
        <v>0</v>
      </c>
      <c r="AH28" s="501">
        <v>0</v>
      </c>
      <c r="AI28" s="501">
        <v>0</v>
      </c>
      <c r="AJ28" s="501">
        <v>0</v>
      </c>
      <c r="AK28" s="501">
        <v>0</v>
      </c>
      <c r="AL28" s="501">
        <f>AG28+AI28+AJ28</f>
        <v>0</v>
      </c>
      <c r="AM28" s="501">
        <f>AH28+AK28</f>
        <v>0</v>
      </c>
      <c r="AN28" s="502">
        <f t="shared" si="4"/>
        <v>0</v>
      </c>
      <c r="AO28" s="499">
        <f>I28+AF28</f>
        <v>11895234</v>
      </c>
      <c r="AP28" s="486">
        <f>J28+V28</f>
        <v>8699709</v>
      </c>
      <c r="AQ28" s="486">
        <f>K28+Y28</f>
        <v>0</v>
      </c>
      <c r="AR28" s="480">
        <f>L28</f>
        <v>0</v>
      </c>
      <c r="AS28" s="486">
        <f>M28+AA28</f>
        <v>2940501</v>
      </c>
      <c r="AT28" s="486">
        <f>N28+AB28</f>
        <v>173993</v>
      </c>
      <c r="AU28" s="486">
        <f>O28+AE28</f>
        <v>81031</v>
      </c>
      <c r="AV28" s="501">
        <f>P28+AN28</f>
        <v>17.160900000000002</v>
      </c>
      <c r="AW28" s="501">
        <f>Q28+AL28</f>
        <v>15.240500000000001</v>
      </c>
      <c r="AX28" s="502">
        <f>R28+AM28</f>
        <v>1.9204000000000001</v>
      </c>
    </row>
    <row r="29" spans="1:50" ht="12.95" customHeight="1" x14ac:dyDescent="0.25">
      <c r="A29" s="92">
        <v>4</v>
      </c>
      <c r="B29" s="104">
        <v>5475</v>
      </c>
      <c r="C29" s="105">
        <v>600099385</v>
      </c>
      <c r="D29" s="104">
        <v>854735</v>
      </c>
      <c r="E29" s="119" t="s">
        <v>444</v>
      </c>
      <c r="F29" s="104"/>
      <c r="G29" s="122"/>
      <c r="H29" s="123"/>
      <c r="I29" s="130">
        <v>11895234</v>
      </c>
      <c r="J29" s="87">
        <v>8714437</v>
      </c>
      <c r="K29" s="87">
        <v>0</v>
      </c>
      <c r="L29" s="87">
        <v>0</v>
      </c>
      <c r="M29" s="87">
        <v>2945479</v>
      </c>
      <c r="N29" s="87">
        <v>174288</v>
      </c>
      <c r="O29" s="87">
        <v>61030</v>
      </c>
      <c r="P29" s="88">
        <v>17.160900000000002</v>
      </c>
      <c r="Q29" s="88">
        <v>15.240500000000001</v>
      </c>
      <c r="R29" s="274">
        <v>1.9204000000000001</v>
      </c>
      <c r="S29" s="141">
        <f t="shared" ref="S29:AN29" si="22">SUM(S28)</f>
        <v>0</v>
      </c>
      <c r="T29" s="87">
        <f t="shared" si="22"/>
        <v>0</v>
      </c>
      <c r="U29" s="87">
        <f t="shared" si="22"/>
        <v>-14728</v>
      </c>
      <c r="V29" s="87">
        <f t="shared" si="22"/>
        <v>-14728</v>
      </c>
      <c r="W29" s="87">
        <f t="shared" si="22"/>
        <v>0</v>
      </c>
      <c r="X29" s="87">
        <f t="shared" si="22"/>
        <v>0</v>
      </c>
      <c r="Y29" s="87">
        <f t="shared" si="22"/>
        <v>0</v>
      </c>
      <c r="Z29" s="87">
        <f t="shared" si="22"/>
        <v>-14728</v>
      </c>
      <c r="AA29" s="87">
        <f t="shared" si="22"/>
        <v>-4978</v>
      </c>
      <c r="AB29" s="87">
        <f t="shared" si="22"/>
        <v>-295</v>
      </c>
      <c r="AC29" s="87">
        <f t="shared" si="22"/>
        <v>0</v>
      </c>
      <c r="AD29" s="87">
        <f t="shared" si="22"/>
        <v>20001</v>
      </c>
      <c r="AE29" s="87">
        <f t="shared" si="22"/>
        <v>20001</v>
      </c>
      <c r="AF29" s="87">
        <f t="shared" si="22"/>
        <v>0</v>
      </c>
      <c r="AG29" s="88">
        <f t="shared" si="22"/>
        <v>0</v>
      </c>
      <c r="AH29" s="88">
        <f t="shared" si="22"/>
        <v>0</v>
      </c>
      <c r="AI29" s="88">
        <f t="shared" si="22"/>
        <v>0</v>
      </c>
      <c r="AJ29" s="88">
        <f t="shared" si="22"/>
        <v>0</v>
      </c>
      <c r="AK29" s="88">
        <f t="shared" si="22"/>
        <v>0</v>
      </c>
      <c r="AL29" s="88">
        <f t="shared" si="22"/>
        <v>0</v>
      </c>
      <c r="AM29" s="88">
        <f t="shared" si="22"/>
        <v>0</v>
      </c>
      <c r="AN29" s="274">
        <f t="shared" si="22"/>
        <v>0</v>
      </c>
      <c r="AO29" s="141">
        <f t="shared" ref="AO29:AX29" si="23">SUM(AO28)</f>
        <v>11895234</v>
      </c>
      <c r="AP29" s="87">
        <f t="shared" si="23"/>
        <v>8699709</v>
      </c>
      <c r="AQ29" s="87">
        <f t="shared" si="23"/>
        <v>0</v>
      </c>
      <c r="AR29" s="87">
        <f t="shared" si="23"/>
        <v>0</v>
      </c>
      <c r="AS29" s="87">
        <f t="shared" si="23"/>
        <v>2940501</v>
      </c>
      <c r="AT29" s="87">
        <f t="shared" si="23"/>
        <v>173993</v>
      </c>
      <c r="AU29" s="87">
        <f t="shared" si="23"/>
        <v>81031</v>
      </c>
      <c r="AV29" s="88">
        <f t="shared" si="23"/>
        <v>17.160900000000002</v>
      </c>
      <c r="AW29" s="88">
        <f t="shared" si="23"/>
        <v>15.240500000000001</v>
      </c>
      <c r="AX29" s="274">
        <f t="shared" si="23"/>
        <v>1.9204000000000001</v>
      </c>
    </row>
    <row r="30" spans="1:50" ht="12.95" customHeight="1" x14ac:dyDescent="0.25">
      <c r="A30" s="83">
        <v>5</v>
      </c>
      <c r="B30" s="526">
        <v>5401</v>
      </c>
      <c r="C30" s="527">
        <v>600098397</v>
      </c>
      <c r="D30" s="526">
        <v>70983615</v>
      </c>
      <c r="E30" s="536" t="s">
        <v>445</v>
      </c>
      <c r="F30" s="526">
        <v>3111</v>
      </c>
      <c r="G30" s="535" t="s">
        <v>331</v>
      </c>
      <c r="H30" s="493" t="s">
        <v>283</v>
      </c>
      <c r="I30" s="495">
        <v>1714259</v>
      </c>
      <c r="J30" s="496">
        <v>1238799</v>
      </c>
      <c r="K30" s="496">
        <v>15000</v>
      </c>
      <c r="L30" s="496">
        <v>0</v>
      </c>
      <c r="M30" s="411">
        <v>423784</v>
      </c>
      <c r="N30" s="411">
        <v>24776</v>
      </c>
      <c r="O30" s="496">
        <v>11900</v>
      </c>
      <c r="P30" s="497">
        <v>2.7149000000000001</v>
      </c>
      <c r="Q30" s="412">
        <v>2</v>
      </c>
      <c r="R30" s="498">
        <v>0.71489999999999987</v>
      </c>
      <c r="S30" s="499">
        <f t="shared" si="5"/>
        <v>0</v>
      </c>
      <c r="T30" s="486">
        <v>0</v>
      </c>
      <c r="U30" s="486">
        <v>0</v>
      </c>
      <c r="V30" s="486">
        <f>SUM(S30:U30)</f>
        <v>0</v>
      </c>
      <c r="W30" s="486">
        <v>0</v>
      </c>
      <c r="X30" s="486">
        <v>0</v>
      </c>
      <c r="Y30" s="486">
        <f>SUM(W30:X30)</f>
        <v>0</v>
      </c>
      <c r="Z30" s="486">
        <f>V30+Y30</f>
        <v>0</v>
      </c>
      <c r="AA30" s="319">
        <f>ROUND((V30+W30)*33.8%,0)</f>
        <v>0</v>
      </c>
      <c r="AB30" s="178">
        <f>ROUND(V30*2%,0)</f>
        <v>0</v>
      </c>
      <c r="AC30" s="486">
        <v>0</v>
      </c>
      <c r="AD30" s="486">
        <v>0</v>
      </c>
      <c r="AE30" s="486">
        <f t="shared" si="0"/>
        <v>0</v>
      </c>
      <c r="AF30" s="486">
        <f t="shared" si="3"/>
        <v>0</v>
      </c>
      <c r="AG30" s="501">
        <v>0</v>
      </c>
      <c r="AH30" s="501">
        <v>0</v>
      </c>
      <c r="AI30" s="501">
        <v>0</v>
      </c>
      <c r="AJ30" s="501">
        <v>0</v>
      </c>
      <c r="AK30" s="501">
        <v>0</v>
      </c>
      <c r="AL30" s="501">
        <f t="shared" ref="AL30:AL31" si="24">AG30+AI30+AJ30</f>
        <v>0</v>
      </c>
      <c r="AM30" s="501">
        <f t="shared" ref="AM30:AM31" si="25">AH30+AK30</f>
        <v>0</v>
      </c>
      <c r="AN30" s="502">
        <f t="shared" si="4"/>
        <v>0</v>
      </c>
      <c r="AO30" s="499">
        <f>I30+AF30</f>
        <v>1714259</v>
      </c>
      <c r="AP30" s="486">
        <f>J30+V30</f>
        <v>1238799</v>
      </c>
      <c r="AQ30" s="486">
        <f>K30+Y30</f>
        <v>15000</v>
      </c>
      <c r="AR30" s="480">
        <f>L30</f>
        <v>0</v>
      </c>
      <c r="AS30" s="486">
        <f>M30+AA30</f>
        <v>423784</v>
      </c>
      <c r="AT30" s="486">
        <f>N30+AB30</f>
        <v>24776</v>
      </c>
      <c r="AU30" s="486">
        <f>O30+AE30</f>
        <v>11900</v>
      </c>
      <c r="AV30" s="501">
        <f>P30+AN30</f>
        <v>2.7149000000000001</v>
      </c>
      <c r="AW30" s="501">
        <f>Q30+AL30</f>
        <v>2</v>
      </c>
      <c r="AX30" s="502">
        <f>R30+AM30</f>
        <v>0.71489999999999987</v>
      </c>
    </row>
    <row r="31" spans="1:50" ht="12.95" customHeight="1" x14ac:dyDescent="0.25">
      <c r="A31" s="83">
        <v>5</v>
      </c>
      <c r="B31" s="526">
        <v>5401</v>
      </c>
      <c r="C31" s="527">
        <v>600098397</v>
      </c>
      <c r="D31" s="526">
        <v>70983615</v>
      </c>
      <c r="E31" s="536" t="s">
        <v>445</v>
      </c>
      <c r="F31" s="526">
        <v>3141</v>
      </c>
      <c r="G31" s="535" t="s">
        <v>321</v>
      </c>
      <c r="H31" s="493" t="s">
        <v>284</v>
      </c>
      <c r="I31" s="495">
        <v>117919</v>
      </c>
      <c r="J31" s="496">
        <v>86357</v>
      </c>
      <c r="K31" s="496">
        <v>0</v>
      </c>
      <c r="L31" s="496">
        <v>0</v>
      </c>
      <c r="M31" s="411">
        <v>29189</v>
      </c>
      <c r="N31" s="411">
        <v>1727</v>
      </c>
      <c r="O31" s="496">
        <v>646</v>
      </c>
      <c r="P31" s="497">
        <v>0.29000000000000004</v>
      </c>
      <c r="Q31" s="412">
        <v>0</v>
      </c>
      <c r="R31" s="498">
        <v>0.29000000000000004</v>
      </c>
      <c r="S31" s="499">
        <f t="shared" si="5"/>
        <v>0</v>
      </c>
      <c r="T31" s="486">
        <v>0</v>
      </c>
      <c r="U31" s="486">
        <v>0</v>
      </c>
      <c r="V31" s="486">
        <f>SUM(S31:U31)</f>
        <v>0</v>
      </c>
      <c r="W31" s="486">
        <v>0</v>
      </c>
      <c r="X31" s="486">
        <v>0</v>
      </c>
      <c r="Y31" s="486">
        <f>SUM(W31:X31)</f>
        <v>0</v>
      </c>
      <c r="Z31" s="486">
        <f>V31+Y31</f>
        <v>0</v>
      </c>
      <c r="AA31" s="319">
        <f>ROUND((V31+W31)*33.8%,0)</f>
        <v>0</v>
      </c>
      <c r="AB31" s="178">
        <f>ROUND(V31*2%,0)</f>
        <v>0</v>
      </c>
      <c r="AC31" s="486">
        <v>0</v>
      </c>
      <c r="AD31" s="486">
        <v>0</v>
      </c>
      <c r="AE31" s="486">
        <f t="shared" si="0"/>
        <v>0</v>
      </c>
      <c r="AF31" s="486">
        <f t="shared" si="3"/>
        <v>0</v>
      </c>
      <c r="AG31" s="501">
        <v>0</v>
      </c>
      <c r="AH31" s="501">
        <v>0</v>
      </c>
      <c r="AI31" s="501">
        <v>0</v>
      </c>
      <c r="AJ31" s="501">
        <v>0</v>
      </c>
      <c r="AK31" s="501">
        <v>0</v>
      </c>
      <c r="AL31" s="501">
        <f t="shared" si="24"/>
        <v>0</v>
      </c>
      <c r="AM31" s="501">
        <f t="shared" si="25"/>
        <v>0</v>
      </c>
      <c r="AN31" s="502">
        <f t="shared" si="4"/>
        <v>0</v>
      </c>
      <c r="AO31" s="499">
        <f>I31+AF31</f>
        <v>117919</v>
      </c>
      <c r="AP31" s="486">
        <f>J31+V31</f>
        <v>86357</v>
      </c>
      <c r="AQ31" s="486">
        <f>K31+Y31</f>
        <v>0</v>
      </c>
      <c r="AR31" s="480">
        <f>L31</f>
        <v>0</v>
      </c>
      <c r="AS31" s="486">
        <f>M31+AA31</f>
        <v>29189</v>
      </c>
      <c r="AT31" s="486">
        <f>N31+AB31</f>
        <v>1727</v>
      </c>
      <c r="AU31" s="486">
        <f>O31+AE31</f>
        <v>646</v>
      </c>
      <c r="AV31" s="501">
        <f>P31+AN31</f>
        <v>0.29000000000000004</v>
      </c>
      <c r="AW31" s="501">
        <f>Q31+AL31</f>
        <v>0</v>
      </c>
      <c r="AX31" s="502">
        <f>R31+AM31</f>
        <v>0.29000000000000004</v>
      </c>
    </row>
    <row r="32" spans="1:50" ht="12.95" customHeight="1" x14ac:dyDescent="0.25">
      <c r="A32" s="92">
        <v>5</v>
      </c>
      <c r="B32" s="104">
        <v>5401</v>
      </c>
      <c r="C32" s="105">
        <v>600098397</v>
      </c>
      <c r="D32" s="104">
        <v>70983615</v>
      </c>
      <c r="E32" s="119" t="s">
        <v>446</v>
      </c>
      <c r="F32" s="104"/>
      <c r="G32" s="122"/>
      <c r="H32" s="123"/>
      <c r="I32" s="130">
        <v>1832178</v>
      </c>
      <c r="J32" s="87">
        <v>1325156</v>
      </c>
      <c r="K32" s="87">
        <v>15000</v>
      </c>
      <c r="L32" s="87">
        <v>0</v>
      </c>
      <c r="M32" s="87">
        <v>452973</v>
      </c>
      <c r="N32" s="87">
        <v>26503</v>
      </c>
      <c r="O32" s="87">
        <v>12546</v>
      </c>
      <c r="P32" s="88">
        <v>3.0049000000000001</v>
      </c>
      <c r="Q32" s="88">
        <v>2</v>
      </c>
      <c r="R32" s="274">
        <v>1.0048999999999999</v>
      </c>
      <c r="S32" s="141">
        <f t="shared" ref="S32:AN32" si="26">SUM(S30:S31)</f>
        <v>0</v>
      </c>
      <c r="T32" s="87">
        <f t="shared" si="26"/>
        <v>0</v>
      </c>
      <c r="U32" s="87">
        <f t="shared" si="26"/>
        <v>0</v>
      </c>
      <c r="V32" s="87">
        <f t="shared" si="26"/>
        <v>0</v>
      </c>
      <c r="W32" s="87">
        <f t="shared" si="26"/>
        <v>0</v>
      </c>
      <c r="X32" s="87">
        <f t="shared" si="26"/>
        <v>0</v>
      </c>
      <c r="Y32" s="87">
        <f t="shared" si="26"/>
        <v>0</v>
      </c>
      <c r="Z32" s="87">
        <f t="shared" si="26"/>
        <v>0</v>
      </c>
      <c r="AA32" s="87">
        <f t="shared" si="26"/>
        <v>0</v>
      </c>
      <c r="AB32" s="87">
        <f t="shared" si="26"/>
        <v>0</v>
      </c>
      <c r="AC32" s="87">
        <f t="shared" si="26"/>
        <v>0</v>
      </c>
      <c r="AD32" s="87">
        <f t="shared" si="26"/>
        <v>0</v>
      </c>
      <c r="AE32" s="87">
        <f t="shared" si="26"/>
        <v>0</v>
      </c>
      <c r="AF32" s="87">
        <f t="shared" si="26"/>
        <v>0</v>
      </c>
      <c r="AG32" s="88">
        <f t="shared" si="26"/>
        <v>0</v>
      </c>
      <c r="AH32" s="88">
        <f t="shared" si="26"/>
        <v>0</v>
      </c>
      <c r="AI32" s="88">
        <f t="shared" si="26"/>
        <v>0</v>
      </c>
      <c r="AJ32" s="88">
        <f t="shared" si="26"/>
        <v>0</v>
      </c>
      <c r="AK32" s="88">
        <f t="shared" si="26"/>
        <v>0</v>
      </c>
      <c r="AL32" s="88">
        <f t="shared" si="26"/>
        <v>0</v>
      </c>
      <c r="AM32" s="88">
        <f t="shared" si="26"/>
        <v>0</v>
      </c>
      <c r="AN32" s="274">
        <f t="shared" si="26"/>
        <v>0</v>
      </c>
      <c r="AO32" s="141">
        <f t="shared" ref="AO32:AX32" si="27">SUM(AO30:AO31)</f>
        <v>1832178</v>
      </c>
      <c r="AP32" s="87">
        <f t="shared" si="27"/>
        <v>1325156</v>
      </c>
      <c r="AQ32" s="87">
        <f t="shared" si="27"/>
        <v>15000</v>
      </c>
      <c r="AR32" s="87">
        <f t="shared" si="27"/>
        <v>0</v>
      </c>
      <c r="AS32" s="87">
        <f t="shared" si="27"/>
        <v>452973</v>
      </c>
      <c r="AT32" s="87">
        <f t="shared" si="27"/>
        <v>26503</v>
      </c>
      <c r="AU32" s="87">
        <f t="shared" si="27"/>
        <v>12546</v>
      </c>
      <c r="AV32" s="88">
        <f t="shared" si="27"/>
        <v>3.0049000000000001</v>
      </c>
      <c r="AW32" s="88">
        <f t="shared" si="27"/>
        <v>2</v>
      </c>
      <c r="AX32" s="274">
        <f t="shared" si="27"/>
        <v>1.0048999999999999</v>
      </c>
    </row>
    <row r="33" spans="1:50" ht="12.95" customHeight="1" x14ac:dyDescent="0.25">
      <c r="A33" s="83">
        <v>6</v>
      </c>
      <c r="B33" s="526">
        <v>5402</v>
      </c>
      <c r="C33" s="527">
        <v>600098958</v>
      </c>
      <c r="D33" s="526">
        <v>70983623</v>
      </c>
      <c r="E33" s="536" t="s">
        <v>447</v>
      </c>
      <c r="F33" s="526">
        <v>3117</v>
      </c>
      <c r="G33" s="535" t="s">
        <v>335</v>
      </c>
      <c r="H33" s="493" t="s">
        <v>283</v>
      </c>
      <c r="I33" s="495">
        <v>4810051</v>
      </c>
      <c r="J33" s="496">
        <v>3413239</v>
      </c>
      <c r="K33" s="496">
        <v>13844</v>
      </c>
      <c r="L33" s="496">
        <v>7844</v>
      </c>
      <c r="M33" s="411">
        <v>1155703</v>
      </c>
      <c r="N33" s="411">
        <v>68265</v>
      </c>
      <c r="O33" s="496">
        <v>159000</v>
      </c>
      <c r="P33" s="497">
        <v>6.9593000000000007</v>
      </c>
      <c r="Q33" s="412">
        <v>4.6748000000000003</v>
      </c>
      <c r="R33" s="498">
        <v>2.2845000000000004</v>
      </c>
      <c r="S33" s="499">
        <f t="shared" si="5"/>
        <v>0</v>
      </c>
      <c r="T33" s="486">
        <v>0</v>
      </c>
      <c r="U33" s="486">
        <v>0</v>
      </c>
      <c r="V33" s="486">
        <f>SUM(S33:U33)</f>
        <v>0</v>
      </c>
      <c r="W33" s="486">
        <v>0</v>
      </c>
      <c r="X33" s="486">
        <v>0</v>
      </c>
      <c r="Y33" s="486">
        <f>SUM(W33:X33)</f>
        <v>0</v>
      </c>
      <c r="Z33" s="486">
        <f>V33+Y33</f>
        <v>0</v>
      </c>
      <c r="AA33" s="319">
        <f>ROUND((V33+W33)*33.8%,0)</f>
        <v>0</v>
      </c>
      <c r="AB33" s="178">
        <f>ROUND(V33*2%,0)</f>
        <v>0</v>
      </c>
      <c r="AC33" s="486">
        <v>0</v>
      </c>
      <c r="AD33" s="486">
        <v>0</v>
      </c>
      <c r="AE33" s="486">
        <f t="shared" si="0"/>
        <v>0</v>
      </c>
      <c r="AF33" s="486">
        <f t="shared" si="3"/>
        <v>0</v>
      </c>
      <c r="AG33" s="501">
        <v>0</v>
      </c>
      <c r="AH33" s="501">
        <v>0</v>
      </c>
      <c r="AI33" s="501">
        <v>0</v>
      </c>
      <c r="AJ33" s="501">
        <v>0</v>
      </c>
      <c r="AK33" s="501">
        <v>0</v>
      </c>
      <c r="AL33" s="501">
        <f t="shared" ref="AL33:AL37" si="28">AG33+AI33+AJ33</f>
        <v>0</v>
      </c>
      <c r="AM33" s="501">
        <f t="shared" ref="AM33:AM37" si="29">AH33+AK33</f>
        <v>0</v>
      </c>
      <c r="AN33" s="502">
        <f t="shared" si="4"/>
        <v>0</v>
      </c>
      <c r="AO33" s="499">
        <f>I33+AF33</f>
        <v>4810051</v>
      </c>
      <c r="AP33" s="486">
        <f>J33+V33</f>
        <v>3413239</v>
      </c>
      <c r="AQ33" s="486">
        <f>K33+Y33</f>
        <v>13844</v>
      </c>
      <c r="AR33" s="480">
        <f>L33</f>
        <v>7844</v>
      </c>
      <c r="AS33" s="486">
        <f t="shared" ref="AS33:AT37" si="30">M33+AA33</f>
        <v>1155703</v>
      </c>
      <c r="AT33" s="486">
        <f t="shared" si="30"/>
        <v>68265</v>
      </c>
      <c r="AU33" s="486">
        <f>O33+AE33</f>
        <v>159000</v>
      </c>
      <c r="AV33" s="501">
        <f>P33+AN33</f>
        <v>6.9593000000000007</v>
      </c>
      <c r="AW33" s="501">
        <f t="shared" ref="AW33:AX37" si="31">Q33+AL33</f>
        <v>4.6748000000000003</v>
      </c>
      <c r="AX33" s="502">
        <f t="shared" si="31"/>
        <v>2.2845000000000004</v>
      </c>
    </row>
    <row r="34" spans="1:50" ht="12.95" customHeight="1" x14ac:dyDescent="0.25">
      <c r="A34" s="83">
        <v>6</v>
      </c>
      <c r="B34" s="526">
        <v>5402</v>
      </c>
      <c r="C34" s="527">
        <v>600098958</v>
      </c>
      <c r="D34" s="526">
        <v>70983623</v>
      </c>
      <c r="E34" s="536" t="s">
        <v>447</v>
      </c>
      <c r="F34" s="526">
        <v>3117</v>
      </c>
      <c r="G34" s="493" t="s">
        <v>318</v>
      </c>
      <c r="H34" s="493" t="s">
        <v>284</v>
      </c>
      <c r="I34" s="495">
        <v>386249</v>
      </c>
      <c r="J34" s="496">
        <v>284424</v>
      </c>
      <c r="K34" s="496">
        <v>0</v>
      </c>
      <c r="L34" s="496">
        <v>0</v>
      </c>
      <c r="M34" s="411">
        <v>96136</v>
      </c>
      <c r="N34" s="411">
        <v>5689</v>
      </c>
      <c r="O34" s="496">
        <v>0</v>
      </c>
      <c r="P34" s="497">
        <v>0.84000000000000008</v>
      </c>
      <c r="Q34" s="412">
        <v>0.84000000000000008</v>
      </c>
      <c r="R34" s="498">
        <v>0</v>
      </c>
      <c r="S34" s="499">
        <f t="shared" si="5"/>
        <v>0</v>
      </c>
      <c r="T34" s="486">
        <v>0</v>
      </c>
      <c r="U34" s="486">
        <v>0</v>
      </c>
      <c r="V34" s="486">
        <f>SUM(S34:U34)</f>
        <v>0</v>
      </c>
      <c r="W34" s="486">
        <v>0</v>
      </c>
      <c r="X34" s="486">
        <v>0</v>
      </c>
      <c r="Y34" s="486">
        <f>SUM(W34:X34)</f>
        <v>0</v>
      </c>
      <c r="Z34" s="486">
        <f>V34+Y34</f>
        <v>0</v>
      </c>
      <c r="AA34" s="319">
        <f>ROUND((V34+W34)*33.8%,0)</f>
        <v>0</v>
      </c>
      <c r="AB34" s="178">
        <f>ROUND(V34*2%,0)</f>
        <v>0</v>
      </c>
      <c r="AC34" s="486">
        <v>0</v>
      </c>
      <c r="AD34" s="486">
        <v>0</v>
      </c>
      <c r="AE34" s="486">
        <f t="shared" si="0"/>
        <v>0</v>
      </c>
      <c r="AF34" s="486">
        <f t="shared" si="3"/>
        <v>0</v>
      </c>
      <c r="AG34" s="501">
        <v>0</v>
      </c>
      <c r="AH34" s="501">
        <v>0</v>
      </c>
      <c r="AI34" s="501">
        <v>0</v>
      </c>
      <c r="AJ34" s="501">
        <v>0</v>
      </c>
      <c r="AK34" s="501">
        <v>0</v>
      </c>
      <c r="AL34" s="501">
        <f t="shared" si="28"/>
        <v>0</v>
      </c>
      <c r="AM34" s="501">
        <f t="shared" si="29"/>
        <v>0</v>
      </c>
      <c r="AN34" s="502">
        <f t="shared" si="4"/>
        <v>0</v>
      </c>
      <c r="AO34" s="499">
        <f>I34+AF34</f>
        <v>386249</v>
      </c>
      <c r="AP34" s="486">
        <f>J34+V34</f>
        <v>284424</v>
      </c>
      <c r="AQ34" s="486">
        <f>K34+Y34</f>
        <v>0</v>
      </c>
      <c r="AR34" s="480">
        <f>L34</f>
        <v>0</v>
      </c>
      <c r="AS34" s="486">
        <f t="shared" si="30"/>
        <v>96136</v>
      </c>
      <c r="AT34" s="486">
        <f t="shared" si="30"/>
        <v>5689</v>
      </c>
      <c r="AU34" s="486">
        <f>O34+AE34</f>
        <v>0</v>
      </c>
      <c r="AV34" s="501">
        <f>P34+AN34</f>
        <v>0.84000000000000008</v>
      </c>
      <c r="AW34" s="501">
        <f t="shared" si="31"/>
        <v>0.84000000000000008</v>
      </c>
      <c r="AX34" s="502">
        <f t="shared" si="31"/>
        <v>0</v>
      </c>
    </row>
    <row r="35" spans="1:50" ht="12.95" customHeight="1" x14ac:dyDescent="0.25">
      <c r="A35" s="83">
        <v>6</v>
      </c>
      <c r="B35" s="526">
        <v>5402</v>
      </c>
      <c r="C35" s="527">
        <v>600098958</v>
      </c>
      <c r="D35" s="526">
        <v>70983623</v>
      </c>
      <c r="E35" s="536" t="s">
        <v>447</v>
      </c>
      <c r="F35" s="526">
        <v>3141</v>
      </c>
      <c r="G35" s="535" t="s">
        <v>321</v>
      </c>
      <c r="H35" s="493" t="s">
        <v>284</v>
      </c>
      <c r="I35" s="495">
        <v>770967</v>
      </c>
      <c r="J35" s="496">
        <v>564983</v>
      </c>
      <c r="K35" s="496">
        <v>0</v>
      </c>
      <c r="L35" s="496">
        <v>0</v>
      </c>
      <c r="M35" s="411">
        <v>190964</v>
      </c>
      <c r="N35" s="411">
        <v>11300</v>
      </c>
      <c r="O35" s="496">
        <v>3720</v>
      </c>
      <c r="P35" s="497">
        <v>1.93</v>
      </c>
      <c r="Q35" s="412">
        <v>0</v>
      </c>
      <c r="R35" s="498">
        <v>1.93</v>
      </c>
      <c r="S35" s="499">
        <f t="shared" si="5"/>
        <v>0</v>
      </c>
      <c r="T35" s="486">
        <v>0</v>
      </c>
      <c r="U35" s="486">
        <v>0</v>
      </c>
      <c r="V35" s="486">
        <f>SUM(S35:U35)</f>
        <v>0</v>
      </c>
      <c r="W35" s="486">
        <v>0</v>
      </c>
      <c r="X35" s="486">
        <v>0</v>
      </c>
      <c r="Y35" s="486">
        <f>SUM(W35:X35)</f>
        <v>0</v>
      </c>
      <c r="Z35" s="486">
        <f>V35+Y35</f>
        <v>0</v>
      </c>
      <c r="AA35" s="319">
        <f>ROUND((V35+W35)*33.8%,0)</f>
        <v>0</v>
      </c>
      <c r="AB35" s="178">
        <f>ROUND(V35*2%,0)</f>
        <v>0</v>
      </c>
      <c r="AC35" s="486">
        <v>0</v>
      </c>
      <c r="AD35" s="486">
        <v>0</v>
      </c>
      <c r="AE35" s="486">
        <f t="shared" si="0"/>
        <v>0</v>
      </c>
      <c r="AF35" s="486">
        <f t="shared" si="3"/>
        <v>0</v>
      </c>
      <c r="AG35" s="501">
        <v>0</v>
      </c>
      <c r="AH35" s="501">
        <v>0</v>
      </c>
      <c r="AI35" s="501">
        <v>0</v>
      </c>
      <c r="AJ35" s="501">
        <v>0</v>
      </c>
      <c r="AK35" s="501">
        <v>0</v>
      </c>
      <c r="AL35" s="501">
        <f t="shared" si="28"/>
        <v>0</v>
      </c>
      <c r="AM35" s="501">
        <f t="shared" si="29"/>
        <v>0</v>
      </c>
      <c r="AN35" s="502">
        <f t="shared" si="4"/>
        <v>0</v>
      </c>
      <c r="AO35" s="499">
        <f>I35+AF35</f>
        <v>770967</v>
      </c>
      <c r="AP35" s="486">
        <f>J35+V35</f>
        <v>564983</v>
      </c>
      <c r="AQ35" s="486">
        <f>K35+Y35</f>
        <v>0</v>
      </c>
      <c r="AR35" s="480">
        <f>L35</f>
        <v>0</v>
      </c>
      <c r="AS35" s="486">
        <f t="shared" si="30"/>
        <v>190964</v>
      </c>
      <c r="AT35" s="486">
        <f t="shared" si="30"/>
        <v>11300</v>
      </c>
      <c r="AU35" s="486">
        <f>O35+AE35</f>
        <v>3720</v>
      </c>
      <c r="AV35" s="501">
        <f>P35+AN35</f>
        <v>1.93</v>
      </c>
      <c r="AW35" s="501">
        <f t="shared" si="31"/>
        <v>0</v>
      </c>
      <c r="AX35" s="502">
        <f t="shared" si="31"/>
        <v>1.93</v>
      </c>
    </row>
    <row r="36" spans="1:50" ht="12.95" customHeight="1" x14ac:dyDescent="0.25">
      <c r="A36" s="83">
        <v>6</v>
      </c>
      <c r="B36" s="526">
        <v>5402</v>
      </c>
      <c r="C36" s="527">
        <v>600098958</v>
      </c>
      <c r="D36" s="526">
        <v>70983623</v>
      </c>
      <c r="E36" s="536" t="s">
        <v>447</v>
      </c>
      <c r="F36" s="526">
        <v>3143</v>
      </c>
      <c r="G36" s="493" t="s">
        <v>634</v>
      </c>
      <c r="H36" s="493" t="s">
        <v>283</v>
      </c>
      <c r="I36" s="495">
        <v>1310760</v>
      </c>
      <c r="J36" s="496">
        <v>965214</v>
      </c>
      <c r="K36" s="496">
        <v>0</v>
      </c>
      <c r="L36" s="496">
        <v>0</v>
      </c>
      <c r="M36" s="411">
        <v>326242</v>
      </c>
      <c r="N36" s="411">
        <v>19304</v>
      </c>
      <c r="O36" s="496">
        <v>0</v>
      </c>
      <c r="P36" s="497">
        <v>2.0634000000000001</v>
      </c>
      <c r="Q36" s="412">
        <v>2.0634000000000001</v>
      </c>
      <c r="R36" s="498">
        <v>0</v>
      </c>
      <c r="S36" s="499">
        <f t="shared" si="5"/>
        <v>0</v>
      </c>
      <c r="T36" s="486">
        <v>0</v>
      </c>
      <c r="U36" s="486">
        <v>0</v>
      </c>
      <c r="V36" s="486">
        <f>SUM(S36:U36)</f>
        <v>0</v>
      </c>
      <c r="W36" s="486">
        <v>0</v>
      </c>
      <c r="X36" s="486">
        <v>0</v>
      </c>
      <c r="Y36" s="486">
        <f>SUM(W36:X36)</f>
        <v>0</v>
      </c>
      <c r="Z36" s="486">
        <f>V36+Y36</f>
        <v>0</v>
      </c>
      <c r="AA36" s="319">
        <f>ROUND((V36+W36)*33.8%,0)</f>
        <v>0</v>
      </c>
      <c r="AB36" s="178">
        <f>ROUND(V36*2%,0)</f>
        <v>0</v>
      </c>
      <c r="AC36" s="486">
        <v>0</v>
      </c>
      <c r="AD36" s="486">
        <v>0</v>
      </c>
      <c r="AE36" s="486">
        <f t="shared" si="0"/>
        <v>0</v>
      </c>
      <c r="AF36" s="486">
        <f t="shared" si="3"/>
        <v>0</v>
      </c>
      <c r="AG36" s="501">
        <v>0</v>
      </c>
      <c r="AH36" s="501">
        <v>0</v>
      </c>
      <c r="AI36" s="501">
        <v>0</v>
      </c>
      <c r="AJ36" s="501">
        <v>0</v>
      </c>
      <c r="AK36" s="501">
        <v>0</v>
      </c>
      <c r="AL36" s="501">
        <f t="shared" si="28"/>
        <v>0</v>
      </c>
      <c r="AM36" s="501">
        <f t="shared" si="29"/>
        <v>0</v>
      </c>
      <c r="AN36" s="502">
        <f t="shared" si="4"/>
        <v>0</v>
      </c>
      <c r="AO36" s="499">
        <f>I36+AF36</f>
        <v>1310760</v>
      </c>
      <c r="AP36" s="486">
        <f>J36+V36</f>
        <v>965214</v>
      </c>
      <c r="AQ36" s="486">
        <f>K36+Y36</f>
        <v>0</v>
      </c>
      <c r="AR36" s="480">
        <f>L36</f>
        <v>0</v>
      </c>
      <c r="AS36" s="486">
        <f t="shared" si="30"/>
        <v>326242</v>
      </c>
      <c r="AT36" s="486">
        <f t="shared" si="30"/>
        <v>19304</v>
      </c>
      <c r="AU36" s="486">
        <f>O36+AE36</f>
        <v>0</v>
      </c>
      <c r="AV36" s="501">
        <f>P36+AN36</f>
        <v>2.0634000000000001</v>
      </c>
      <c r="AW36" s="501">
        <f t="shared" si="31"/>
        <v>2.0634000000000001</v>
      </c>
      <c r="AX36" s="502">
        <f t="shared" si="31"/>
        <v>0</v>
      </c>
    </row>
    <row r="37" spans="1:50" ht="12.95" customHeight="1" x14ac:dyDescent="0.25">
      <c r="A37" s="83">
        <v>6</v>
      </c>
      <c r="B37" s="526">
        <v>5402</v>
      </c>
      <c r="C37" s="527">
        <v>600098958</v>
      </c>
      <c r="D37" s="526">
        <v>70983623</v>
      </c>
      <c r="E37" s="536" t="s">
        <v>447</v>
      </c>
      <c r="F37" s="526">
        <v>3143</v>
      </c>
      <c r="G37" s="493" t="s">
        <v>635</v>
      </c>
      <c r="H37" s="493" t="s">
        <v>284</v>
      </c>
      <c r="I37" s="495">
        <v>37217</v>
      </c>
      <c r="J37" s="496">
        <v>26235</v>
      </c>
      <c r="K37" s="496">
        <v>0</v>
      </c>
      <c r="L37" s="496">
        <v>0</v>
      </c>
      <c r="M37" s="411">
        <v>8867</v>
      </c>
      <c r="N37" s="411">
        <v>525</v>
      </c>
      <c r="O37" s="496">
        <v>1590</v>
      </c>
      <c r="P37" s="497">
        <v>0.11</v>
      </c>
      <c r="Q37" s="412">
        <v>0</v>
      </c>
      <c r="R37" s="498">
        <v>0.11</v>
      </c>
      <c r="S37" s="499">
        <f t="shared" si="5"/>
        <v>0</v>
      </c>
      <c r="T37" s="486">
        <v>0</v>
      </c>
      <c r="U37" s="486">
        <v>0</v>
      </c>
      <c r="V37" s="486">
        <f>SUM(S37:U37)</f>
        <v>0</v>
      </c>
      <c r="W37" s="486">
        <v>0</v>
      </c>
      <c r="X37" s="486">
        <v>0</v>
      </c>
      <c r="Y37" s="486">
        <f>SUM(W37:X37)</f>
        <v>0</v>
      </c>
      <c r="Z37" s="486">
        <f>V37+Y37</f>
        <v>0</v>
      </c>
      <c r="AA37" s="319">
        <f>ROUND((V37+W37)*33.8%,0)</f>
        <v>0</v>
      </c>
      <c r="AB37" s="178">
        <f>ROUND(V37*2%,0)</f>
        <v>0</v>
      </c>
      <c r="AC37" s="486">
        <v>0</v>
      </c>
      <c r="AD37" s="486">
        <v>0</v>
      </c>
      <c r="AE37" s="486">
        <f t="shared" si="0"/>
        <v>0</v>
      </c>
      <c r="AF37" s="486">
        <f t="shared" si="3"/>
        <v>0</v>
      </c>
      <c r="AG37" s="501">
        <v>0</v>
      </c>
      <c r="AH37" s="501">
        <v>0</v>
      </c>
      <c r="AI37" s="501">
        <v>0</v>
      </c>
      <c r="AJ37" s="501">
        <v>0</v>
      </c>
      <c r="AK37" s="501">
        <v>0</v>
      </c>
      <c r="AL37" s="501">
        <f t="shared" si="28"/>
        <v>0</v>
      </c>
      <c r="AM37" s="501">
        <f t="shared" si="29"/>
        <v>0</v>
      </c>
      <c r="AN37" s="502">
        <f t="shared" si="4"/>
        <v>0</v>
      </c>
      <c r="AO37" s="499">
        <f>I37+AF37</f>
        <v>37217</v>
      </c>
      <c r="AP37" s="486">
        <f>J37+V37</f>
        <v>26235</v>
      </c>
      <c r="AQ37" s="486">
        <f>K37+Y37</f>
        <v>0</v>
      </c>
      <c r="AR37" s="480">
        <f>L37</f>
        <v>0</v>
      </c>
      <c r="AS37" s="486">
        <f t="shared" si="30"/>
        <v>8867</v>
      </c>
      <c r="AT37" s="486">
        <f t="shared" si="30"/>
        <v>525</v>
      </c>
      <c r="AU37" s="486">
        <f>O37+AE37</f>
        <v>1590</v>
      </c>
      <c r="AV37" s="501">
        <f>P37+AN37</f>
        <v>0.11</v>
      </c>
      <c r="AW37" s="501">
        <f t="shared" si="31"/>
        <v>0</v>
      </c>
      <c r="AX37" s="502">
        <f t="shared" si="31"/>
        <v>0.11</v>
      </c>
    </row>
    <row r="38" spans="1:50" ht="12.95" customHeight="1" x14ac:dyDescent="0.25">
      <c r="A38" s="92">
        <v>6</v>
      </c>
      <c r="B38" s="104">
        <v>5402</v>
      </c>
      <c r="C38" s="105">
        <v>600098958</v>
      </c>
      <c r="D38" s="104">
        <v>70983623</v>
      </c>
      <c r="E38" s="119" t="s">
        <v>448</v>
      </c>
      <c r="F38" s="104"/>
      <c r="G38" s="122"/>
      <c r="H38" s="123"/>
      <c r="I38" s="136">
        <v>7315244</v>
      </c>
      <c r="J38" s="116">
        <v>5254095</v>
      </c>
      <c r="K38" s="116">
        <v>13844</v>
      </c>
      <c r="L38" s="116">
        <v>7844</v>
      </c>
      <c r="M38" s="116">
        <v>1777912</v>
      </c>
      <c r="N38" s="116">
        <v>105083</v>
      </c>
      <c r="O38" s="116">
        <v>164310</v>
      </c>
      <c r="P38" s="303">
        <v>11.902699999999999</v>
      </c>
      <c r="Q38" s="303">
        <v>7.5782000000000007</v>
      </c>
      <c r="R38" s="304">
        <v>4.3245000000000005</v>
      </c>
      <c r="S38" s="240">
        <f t="shared" ref="S38:AN38" si="32">SUM(S33:S37)</f>
        <v>0</v>
      </c>
      <c r="T38" s="116">
        <f t="shared" si="32"/>
        <v>0</v>
      </c>
      <c r="U38" s="116">
        <f t="shared" si="32"/>
        <v>0</v>
      </c>
      <c r="V38" s="116">
        <f t="shared" si="32"/>
        <v>0</v>
      </c>
      <c r="W38" s="116">
        <f t="shared" si="32"/>
        <v>0</v>
      </c>
      <c r="X38" s="116">
        <f t="shared" si="32"/>
        <v>0</v>
      </c>
      <c r="Y38" s="116">
        <f t="shared" si="32"/>
        <v>0</v>
      </c>
      <c r="Z38" s="116">
        <f t="shared" si="32"/>
        <v>0</v>
      </c>
      <c r="AA38" s="116">
        <f t="shared" si="32"/>
        <v>0</v>
      </c>
      <c r="AB38" s="116">
        <f t="shared" si="32"/>
        <v>0</v>
      </c>
      <c r="AC38" s="116">
        <f t="shared" si="32"/>
        <v>0</v>
      </c>
      <c r="AD38" s="116">
        <f t="shared" si="32"/>
        <v>0</v>
      </c>
      <c r="AE38" s="116">
        <f t="shared" si="32"/>
        <v>0</v>
      </c>
      <c r="AF38" s="116">
        <f t="shared" si="32"/>
        <v>0</v>
      </c>
      <c r="AG38" s="303">
        <f t="shared" si="32"/>
        <v>0</v>
      </c>
      <c r="AH38" s="303">
        <f t="shared" si="32"/>
        <v>0</v>
      </c>
      <c r="AI38" s="303">
        <f t="shared" si="32"/>
        <v>0</v>
      </c>
      <c r="AJ38" s="303">
        <f t="shared" si="32"/>
        <v>0</v>
      </c>
      <c r="AK38" s="303">
        <f t="shared" si="32"/>
        <v>0</v>
      </c>
      <c r="AL38" s="303">
        <f t="shared" si="32"/>
        <v>0</v>
      </c>
      <c r="AM38" s="303">
        <f t="shared" si="32"/>
        <v>0</v>
      </c>
      <c r="AN38" s="304">
        <f t="shared" si="32"/>
        <v>0</v>
      </c>
      <c r="AO38" s="240">
        <f t="shared" ref="AO38:AX38" si="33">SUM(AO33:AO37)</f>
        <v>7315244</v>
      </c>
      <c r="AP38" s="116">
        <f t="shared" si="33"/>
        <v>5254095</v>
      </c>
      <c r="AQ38" s="116">
        <f t="shared" si="33"/>
        <v>13844</v>
      </c>
      <c r="AR38" s="116">
        <f t="shared" si="33"/>
        <v>7844</v>
      </c>
      <c r="AS38" s="116">
        <f t="shared" si="33"/>
        <v>1777912</v>
      </c>
      <c r="AT38" s="116">
        <f t="shared" si="33"/>
        <v>105083</v>
      </c>
      <c r="AU38" s="116">
        <f t="shared" si="33"/>
        <v>164310</v>
      </c>
      <c r="AV38" s="303">
        <f t="shared" si="33"/>
        <v>11.902699999999999</v>
      </c>
      <c r="AW38" s="303">
        <f t="shared" si="33"/>
        <v>7.5782000000000007</v>
      </c>
      <c r="AX38" s="304">
        <f t="shared" si="33"/>
        <v>4.3245000000000005</v>
      </c>
    </row>
    <row r="39" spans="1:50" ht="12.95" customHeight="1" x14ac:dyDescent="0.25">
      <c r="A39" s="83">
        <v>7</v>
      </c>
      <c r="B39" s="83">
        <v>5405</v>
      </c>
      <c r="C39" s="107">
        <v>600099121</v>
      </c>
      <c r="D39" s="83">
        <v>70695521</v>
      </c>
      <c r="E39" s="492" t="s">
        <v>449</v>
      </c>
      <c r="F39" s="83">
        <v>3111</v>
      </c>
      <c r="G39" s="535" t="s">
        <v>331</v>
      </c>
      <c r="H39" s="493" t="s">
        <v>283</v>
      </c>
      <c r="I39" s="495">
        <v>1508385</v>
      </c>
      <c r="J39" s="496">
        <v>1099915</v>
      </c>
      <c r="K39" s="496">
        <v>0</v>
      </c>
      <c r="L39" s="496">
        <v>0</v>
      </c>
      <c r="M39" s="411">
        <v>371771</v>
      </c>
      <c r="N39" s="411">
        <v>21999</v>
      </c>
      <c r="O39" s="496">
        <v>14700</v>
      </c>
      <c r="P39" s="497">
        <v>2.5108999999999999</v>
      </c>
      <c r="Q39" s="412">
        <v>2</v>
      </c>
      <c r="R39" s="498">
        <v>0.51090000000000002</v>
      </c>
      <c r="S39" s="499">
        <f t="shared" si="5"/>
        <v>0</v>
      </c>
      <c r="T39" s="486">
        <v>0</v>
      </c>
      <c r="U39" s="486">
        <v>0</v>
      </c>
      <c r="V39" s="486">
        <f t="shared" ref="V39:V44" si="34">SUM(S39:U39)</f>
        <v>0</v>
      </c>
      <c r="W39" s="486">
        <v>0</v>
      </c>
      <c r="X39" s="486">
        <v>0</v>
      </c>
      <c r="Y39" s="486">
        <f t="shared" ref="Y39:Y44" si="35">SUM(W39:X39)</f>
        <v>0</v>
      </c>
      <c r="Z39" s="486">
        <f t="shared" ref="Z39:Z44" si="36">V39+Y39</f>
        <v>0</v>
      </c>
      <c r="AA39" s="319">
        <f t="shared" ref="AA39:AA44" si="37">ROUND((V39+W39)*33.8%,0)</f>
        <v>0</v>
      </c>
      <c r="AB39" s="178">
        <f t="shared" ref="AB39:AB44" si="38">ROUND(V39*2%,0)</f>
        <v>0</v>
      </c>
      <c r="AC39" s="486">
        <v>0</v>
      </c>
      <c r="AD39" s="486">
        <v>0</v>
      </c>
      <c r="AE39" s="486">
        <f t="shared" si="0"/>
        <v>0</v>
      </c>
      <c r="AF39" s="486">
        <f t="shared" si="3"/>
        <v>0</v>
      </c>
      <c r="AG39" s="501">
        <v>0</v>
      </c>
      <c r="AH39" s="501">
        <v>0</v>
      </c>
      <c r="AI39" s="501">
        <v>0</v>
      </c>
      <c r="AJ39" s="501">
        <v>0</v>
      </c>
      <c r="AK39" s="501">
        <v>0</v>
      </c>
      <c r="AL39" s="501">
        <f t="shared" ref="AL39:AL44" si="39">AG39+AI39+AJ39</f>
        <v>0</v>
      </c>
      <c r="AM39" s="501">
        <f t="shared" ref="AM39:AM44" si="40">AH39+AK39</f>
        <v>0</v>
      </c>
      <c r="AN39" s="502">
        <f t="shared" si="4"/>
        <v>0</v>
      </c>
      <c r="AO39" s="499">
        <f t="shared" ref="AO39:AO44" si="41">I39+AF39</f>
        <v>1508385</v>
      </c>
      <c r="AP39" s="486">
        <f t="shared" ref="AP39:AP44" si="42">J39+V39</f>
        <v>1099915</v>
      </c>
      <c r="AQ39" s="486">
        <f t="shared" ref="AQ39:AQ44" si="43">K39+Y39</f>
        <v>0</v>
      </c>
      <c r="AR39" s="480">
        <f t="shared" ref="AR39:AR44" si="44">L39</f>
        <v>0</v>
      </c>
      <c r="AS39" s="486">
        <f t="shared" ref="AS39:AT44" si="45">M39+AA39</f>
        <v>371771</v>
      </c>
      <c r="AT39" s="486">
        <f t="shared" si="45"/>
        <v>21999</v>
      </c>
      <c r="AU39" s="486">
        <f t="shared" ref="AU39:AU44" si="46">O39+AE39</f>
        <v>14700</v>
      </c>
      <c r="AV39" s="501">
        <f t="shared" ref="AV39:AV44" si="47">P39+AN39</f>
        <v>2.5108999999999999</v>
      </c>
      <c r="AW39" s="501">
        <f t="shared" ref="AW39:AX44" si="48">Q39+AL39</f>
        <v>2</v>
      </c>
      <c r="AX39" s="502">
        <f t="shared" si="48"/>
        <v>0.51090000000000002</v>
      </c>
    </row>
    <row r="40" spans="1:50" ht="12.95" customHeight="1" x14ac:dyDescent="0.25">
      <c r="A40" s="83">
        <v>7</v>
      </c>
      <c r="B40" s="526">
        <v>5405</v>
      </c>
      <c r="C40" s="527">
        <v>600099121</v>
      </c>
      <c r="D40" s="83">
        <v>70695521</v>
      </c>
      <c r="E40" s="536" t="s">
        <v>449</v>
      </c>
      <c r="F40" s="526">
        <v>3113</v>
      </c>
      <c r="G40" s="535" t="s">
        <v>335</v>
      </c>
      <c r="H40" s="493" t="s">
        <v>283</v>
      </c>
      <c r="I40" s="495">
        <v>4580072</v>
      </c>
      <c r="J40" s="496">
        <v>3277853</v>
      </c>
      <c r="K40" s="496">
        <v>7548</v>
      </c>
      <c r="L40" s="496">
        <v>7548</v>
      </c>
      <c r="M40" s="411">
        <v>1107914</v>
      </c>
      <c r="N40" s="411">
        <v>65557</v>
      </c>
      <c r="O40" s="496">
        <v>121200</v>
      </c>
      <c r="P40" s="497">
        <v>7.4430999999999994</v>
      </c>
      <c r="Q40" s="412">
        <v>4.8758999999999997</v>
      </c>
      <c r="R40" s="498">
        <v>2.5672000000000001</v>
      </c>
      <c r="S40" s="499">
        <f t="shared" si="5"/>
        <v>0</v>
      </c>
      <c r="T40" s="486">
        <v>0</v>
      </c>
      <c r="U40" s="486">
        <v>0</v>
      </c>
      <c r="V40" s="486">
        <f t="shared" si="34"/>
        <v>0</v>
      </c>
      <c r="W40" s="486">
        <v>0</v>
      </c>
      <c r="X40" s="486">
        <v>0</v>
      </c>
      <c r="Y40" s="486">
        <f t="shared" si="35"/>
        <v>0</v>
      </c>
      <c r="Z40" s="486">
        <f t="shared" si="36"/>
        <v>0</v>
      </c>
      <c r="AA40" s="319">
        <f t="shared" si="37"/>
        <v>0</v>
      </c>
      <c r="AB40" s="178">
        <f t="shared" si="38"/>
        <v>0</v>
      </c>
      <c r="AC40" s="486">
        <v>0</v>
      </c>
      <c r="AD40" s="486">
        <v>0</v>
      </c>
      <c r="AE40" s="486">
        <f t="shared" si="0"/>
        <v>0</v>
      </c>
      <c r="AF40" s="486">
        <f t="shared" si="3"/>
        <v>0</v>
      </c>
      <c r="AG40" s="501">
        <v>0</v>
      </c>
      <c r="AH40" s="501">
        <v>0</v>
      </c>
      <c r="AI40" s="501">
        <v>0</v>
      </c>
      <c r="AJ40" s="501">
        <v>0</v>
      </c>
      <c r="AK40" s="501">
        <v>0</v>
      </c>
      <c r="AL40" s="501">
        <f t="shared" si="39"/>
        <v>0</v>
      </c>
      <c r="AM40" s="501">
        <f t="shared" si="40"/>
        <v>0</v>
      </c>
      <c r="AN40" s="502">
        <f t="shared" si="4"/>
        <v>0</v>
      </c>
      <c r="AO40" s="499">
        <f t="shared" si="41"/>
        <v>4580072</v>
      </c>
      <c r="AP40" s="486">
        <f t="shared" si="42"/>
        <v>3277853</v>
      </c>
      <c r="AQ40" s="486">
        <f t="shared" si="43"/>
        <v>7548</v>
      </c>
      <c r="AR40" s="480">
        <f t="shared" si="44"/>
        <v>7548</v>
      </c>
      <c r="AS40" s="486">
        <f t="shared" si="45"/>
        <v>1107914</v>
      </c>
      <c r="AT40" s="486">
        <f t="shared" si="45"/>
        <v>65557</v>
      </c>
      <c r="AU40" s="486">
        <f t="shared" si="46"/>
        <v>121200</v>
      </c>
      <c r="AV40" s="501">
        <f t="shared" si="47"/>
        <v>7.4430999999999994</v>
      </c>
      <c r="AW40" s="501">
        <f t="shared" si="48"/>
        <v>4.8758999999999997</v>
      </c>
      <c r="AX40" s="502">
        <f t="shared" si="48"/>
        <v>2.5672000000000001</v>
      </c>
    </row>
    <row r="41" spans="1:50" ht="12.95" customHeight="1" x14ac:dyDescent="0.25">
      <c r="A41" s="83">
        <v>7</v>
      </c>
      <c r="B41" s="526">
        <v>5405</v>
      </c>
      <c r="C41" s="527">
        <v>600099121</v>
      </c>
      <c r="D41" s="83">
        <v>70695521</v>
      </c>
      <c r="E41" s="536" t="s">
        <v>449</v>
      </c>
      <c r="F41" s="526">
        <v>3113</v>
      </c>
      <c r="G41" s="493" t="s">
        <v>318</v>
      </c>
      <c r="H41" s="493" t="s">
        <v>284</v>
      </c>
      <c r="I41" s="495">
        <v>1081409</v>
      </c>
      <c r="J41" s="496">
        <v>796324</v>
      </c>
      <c r="K41" s="496">
        <v>0</v>
      </c>
      <c r="L41" s="496">
        <v>0</v>
      </c>
      <c r="M41" s="411">
        <v>269158</v>
      </c>
      <c r="N41" s="411">
        <v>15927</v>
      </c>
      <c r="O41" s="496">
        <v>0</v>
      </c>
      <c r="P41" s="497">
        <v>2.2999999999999998</v>
      </c>
      <c r="Q41" s="412">
        <v>2.2999999999999998</v>
      </c>
      <c r="R41" s="498">
        <v>0</v>
      </c>
      <c r="S41" s="499">
        <f t="shared" si="5"/>
        <v>0</v>
      </c>
      <c r="T41" s="486">
        <v>0</v>
      </c>
      <c r="U41" s="486">
        <v>0</v>
      </c>
      <c r="V41" s="486">
        <f t="shared" si="34"/>
        <v>0</v>
      </c>
      <c r="W41" s="486">
        <v>0</v>
      </c>
      <c r="X41" s="486">
        <v>0</v>
      </c>
      <c r="Y41" s="486">
        <f t="shared" si="35"/>
        <v>0</v>
      </c>
      <c r="Z41" s="486">
        <f t="shared" si="36"/>
        <v>0</v>
      </c>
      <c r="AA41" s="319">
        <f t="shared" si="37"/>
        <v>0</v>
      </c>
      <c r="AB41" s="178">
        <f t="shared" si="38"/>
        <v>0</v>
      </c>
      <c r="AC41" s="486">
        <v>0</v>
      </c>
      <c r="AD41" s="486">
        <v>0</v>
      </c>
      <c r="AE41" s="486">
        <f t="shared" si="0"/>
        <v>0</v>
      </c>
      <c r="AF41" s="486">
        <f t="shared" si="3"/>
        <v>0</v>
      </c>
      <c r="AG41" s="501">
        <v>0</v>
      </c>
      <c r="AH41" s="501">
        <v>0</v>
      </c>
      <c r="AI41" s="501">
        <v>0</v>
      </c>
      <c r="AJ41" s="501">
        <v>0</v>
      </c>
      <c r="AK41" s="501">
        <v>0</v>
      </c>
      <c r="AL41" s="501">
        <f t="shared" si="39"/>
        <v>0</v>
      </c>
      <c r="AM41" s="501">
        <f t="shared" si="40"/>
        <v>0</v>
      </c>
      <c r="AN41" s="502">
        <f t="shared" si="4"/>
        <v>0</v>
      </c>
      <c r="AO41" s="499">
        <f t="shared" si="41"/>
        <v>1081409</v>
      </c>
      <c r="AP41" s="486">
        <f t="shared" si="42"/>
        <v>796324</v>
      </c>
      <c r="AQ41" s="486">
        <f t="shared" si="43"/>
        <v>0</v>
      </c>
      <c r="AR41" s="480">
        <f t="shared" si="44"/>
        <v>0</v>
      </c>
      <c r="AS41" s="486">
        <f t="shared" si="45"/>
        <v>269158</v>
      </c>
      <c r="AT41" s="486">
        <f t="shared" si="45"/>
        <v>15927</v>
      </c>
      <c r="AU41" s="486">
        <f t="shared" si="46"/>
        <v>0</v>
      </c>
      <c r="AV41" s="501">
        <f t="shared" si="47"/>
        <v>2.2999999999999998</v>
      </c>
      <c r="AW41" s="501">
        <f t="shared" si="48"/>
        <v>2.2999999999999998</v>
      </c>
      <c r="AX41" s="502">
        <f t="shared" si="48"/>
        <v>0</v>
      </c>
    </row>
    <row r="42" spans="1:50" ht="12.95" customHeight="1" x14ac:dyDescent="0.25">
      <c r="A42" s="83">
        <v>7</v>
      </c>
      <c r="B42" s="526">
        <v>5405</v>
      </c>
      <c r="C42" s="527">
        <v>600099121</v>
      </c>
      <c r="D42" s="83">
        <v>70695521</v>
      </c>
      <c r="E42" s="536" t="s">
        <v>449</v>
      </c>
      <c r="F42" s="526">
        <v>3141</v>
      </c>
      <c r="G42" s="535" t="s">
        <v>321</v>
      </c>
      <c r="H42" s="493" t="s">
        <v>284</v>
      </c>
      <c r="I42" s="495">
        <v>848561</v>
      </c>
      <c r="J42" s="496">
        <v>621786</v>
      </c>
      <c r="K42" s="496">
        <v>0</v>
      </c>
      <c r="L42" s="496">
        <v>0</v>
      </c>
      <c r="M42" s="411">
        <v>210164</v>
      </c>
      <c r="N42" s="411">
        <v>12435</v>
      </c>
      <c r="O42" s="496">
        <v>4176</v>
      </c>
      <c r="P42" s="497">
        <v>2.11</v>
      </c>
      <c r="Q42" s="412">
        <v>0</v>
      </c>
      <c r="R42" s="498">
        <v>2.11</v>
      </c>
      <c r="S42" s="499">
        <f t="shared" si="5"/>
        <v>0</v>
      </c>
      <c r="T42" s="486">
        <v>0</v>
      </c>
      <c r="U42" s="486">
        <v>0</v>
      </c>
      <c r="V42" s="486">
        <f t="shared" si="34"/>
        <v>0</v>
      </c>
      <c r="W42" s="486">
        <v>0</v>
      </c>
      <c r="X42" s="486">
        <v>0</v>
      </c>
      <c r="Y42" s="486">
        <f t="shared" si="35"/>
        <v>0</v>
      </c>
      <c r="Z42" s="486">
        <f t="shared" si="36"/>
        <v>0</v>
      </c>
      <c r="AA42" s="319">
        <f t="shared" si="37"/>
        <v>0</v>
      </c>
      <c r="AB42" s="178">
        <f t="shared" si="38"/>
        <v>0</v>
      </c>
      <c r="AC42" s="486">
        <v>0</v>
      </c>
      <c r="AD42" s="486">
        <v>0</v>
      </c>
      <c r="AE42" s="486">
        <f t="shared" si="0"/>
        <v>0</v>
      </c>
      <c r="AF42" s="486">
        <f t="shared" si="3"/>
        <v>0</v>
      </c>
      <c r="AG42" s="501">
        <v>0</v>
      </c>
      <c r="AH42" s="501">
        <v>0</v>
      </c>
      <c r="AI42" s="501">
        <v>0</v>
      </c>
      <c r="AJ42" s="501">
        <v>0</v>
      </c>
      <c r="AK42" s="501">
        <v>0</v>
      </c>
      <c r="AL42" s="501">
        <f t="shared" si="39"/>
        <v>0</v>
      </c>
      <c r="AM42" s="501">
        <f t="shared" si="40"/>
        <v>0</v>
      </c>
      <c r="AN42" s="502">
        <f t="shared" si="4"/>
        <v>0</v>
      </c>
      <c r="AO42" s="499">
        <f t="shared" si="41"/>
        <v>848561</v>
      </c>
      <c r="AP42" s="486">
        <f t="shared" si="42"/>
        <v>621786</v>
      </c>
      <c r="AQ42" s="486">
        <f t="shared" si="43"/>
        <v>0</v>
      </c>
      <c r="AR42" s="480">
        <f t="shared" si="44"/>
        <v>0</v>
      </c>
      <c r="AS42" s="486">
        <f t="shared" si="45"/>
        <v>210164</v>
      </c>
      <c r="AT42" s="486">
        <f t="shared" si="45"/>
        <v>12435</v>
      </c>
      <c r="AU42" s="486">
        <f t="shared" si="46"/>
        <v>4176</v>
      </c>
      <c r="AV42" s="501">
        <f t="shared" si="47"/>
        <v>2.11</v>
      </c>
      <c r="AW42" s="501">
        <f t="shared" si="48"/>
        <v>0</v>
      </c>
      <c r="AX42" s="502">
        <f t="shared" si="48"/>
        <v>2.11</v>
      </c>
    </row>
    <row r="43" spans="1:50" ht="12.95" customHeight="1" x14ac:dyDescent="0.25">
      <c r="A43" s="83">
        <v>7</v>
      </c>
      <c r="B43" s="526">
        <v>5405</v>
      </c>
      <c r="C43" s="527">
        <v>600099121</v>
      </c>
      <c r="D43" s="83">
        <v>70695521</v>
      </c>
      <c r="E43" s="536" t="s">
        <v>449</v>
      </c>
      <c r="F43" s="526">
        <v>3143</v>
      </c>
      <c r="G43" s="493" t="s">
        <v>634</v>
      </c>
      <c r="H43" s="493" t="s">
        <v>283</v>
      </c>
      <c r="I43" s="495">
        <v>519253</v>
      </c>
      <c r="J43" s="496">
        <v>382366</v>
      </c>
      <c r="K43" s="496">
        <v>0</v>
      </c>
      <c r="L43" s="496">
        <v>0</v>
      </c>
      <c r="M43" s="411">
        <v>129240</v>
      </c>
      <c r="N43" s="411">
        <v>7647</v>
      </c>
      <c r="O43" s="496">
        <v>0</v>
      </c>
      <c r="P43" s="497">
        <v>0.85</v>
      </c>
      <c r="Q43" s="412">
        <v>0.85</v>
      </c>
      <c r="R43" s="498">
        <v>0</v>
      </c>
      <c r="S43" s="499">
        <f t="shared" si="5"/>
        <v>0</v>
      </c>
      <c r="T43" s="486">
        <v>0</v>
      </c>
      <c r="U43" s="486">
        <v>0</v>
      </c>
      <c r="V43" s="486">
        <f t="shared" si="34"/>
        <v>0</v>
      </c>
      <c r="W43" s="486">
        <v>0</v>
      </c>
      <c r="X43" s="486">
        <v>0</v>
      </c>
      <c r="Y43" s="486">
        <f t="shared" si="35"/>
        <v>0</v>
      </c>
      <c r="Z43" s="486">
        <f t="shared" si="36"/>
        <v>0</v>
      </c>
      <c r="AA43" s="319">
        <f t="shared" si="37"/>
        <v>0</v>
      </c>
      <c r="AB43" s="178">
        <f t="shared" si="38"/>
        <v>0</v>
      </c>
      <c r="AC43" s="486">
        <v>0</v>
      </c>
      <c r="AD43" s="486">
        <v>0</v>
      </c>
      <c r="AE43" s="486">
        <f t="shared" si="0"/>
        <v>0</v>
      </c>
      <c r="AF43" s="486">
        <f t="shared" si="3"/>
        <v>0</v>
      </c>
      <c r="AG43" s="501">
        <v>0</v>
      </c>
      <c r="AH43" s="501">
        <v>0</v>
      </c>
      <c r="AI43" s="501">
        <v>0</v>
      </c>
      <c r="AJ43" s="501">
        <v>0</v>
      </c>
      <c r="AK43" s="501">
        <v>0</v>
      </c>
      <c r="AL43" s="501">
        <f t="shared" si="39"/>
        <v>0</v>
      </c>
      <c r="AM43" s="501">
        <f t="shared" si="40"/>
        <v>0</v>
      </c>
      <c r="AN43" s="502">
        <f t="shared" si="4"/>
        <v>0</v>
      </c>
      <c r="AO43" s="499">
        <f t="shared" si="41"/>
        <v>519253</v>
      </c>
      <c r="AP43" s="486">
        <f t="shared" si="42"/>
        <v>382366</v>
      </c>
      <c r="AQ43" s="486">
        <f t="shared" si="43"/>
        <v>0</v>
      </c>
      <c r="AR43" s="480">
        <f t="shared" si="44"/>
        <v>0</v>
      </c>
      <c r="AS43" s="486">
        <f t="shared" si="45"/>
        <v>129240</v>
      </c>
      <c r="AT43" s="486">
        <f t="shared" si="45"/>
        <v>7647</v>
      </c>
      <c r="AU43" s="486">
        <f t="shared" si="46"/>
        <v>0</v>
      </c>
      <c r="AV43" s="501">
        <f t="shared" si="47"/>
        <v>0.85</v>
      </c>
      <c r="AW43" s="501">
        <f t="shared" si="48"/>
        <v>0.85</v>
      </c>
      <c r="AX43" s="502">
        <f t="shared" si="48"/>
        <v>0</v>
      </c>
    </row>
    <row r="44" spans="1:50" ht="12.95" customHeight="1" x14ac:dyDescent="0.25">
      <c r="A44" s="83">
        <v>7</v>
      </c>
      <c r="B44" s="526">
        <v>5405</v>
      </c>
      <c r="C44" s="527">
        <v>600099121</v>
      </c>
      <c r="D44" s="83">
        <v>70695521</v>
      </c>
      <c r="E44" s="536" t="s">
        <v>449</v>
      </c>
      <c r="F44" s="526">
        <v>3143</v>
      </c>
      <c r="G44" s="493" t="s">
        <v>635</v>
      </c>
      <c r="H44" s="493" t="s">
        <v>284</v>
      </c>
      <c r="I44" s="495">
        <v>17556</v>
      </c>
      <c r="J44" s="496">
        <v>12375</v>
      </c>
      <c r="K44" s="496">
        <v>0</v>
      </c>
      <c r="L44" s="496">
        <v>0</v>
      </c>
      <c r="M44" s="411">
        <v>4183</v>
      </c>
      <c r="N44" s="411">
        <v>248</v>
      </c>
      <c r="O44" s="496">
        <v>750</v>
      </c>
      <c r="P44" s="497">
        <v>0.05</v>
      </c>
      <c r="Q44" s="412">
        <v>0</v>
      </c>
      <c r="R44" s="498">
        <v>0.05</v>
      </c>
      <c r="S44" s="499">
        <f t="shared" si="5"/>
        <v>0</v>
      </c>
      <c r="T44" s="486">
        <v>0</v>
      </c>
      <c r="U44" s="486">
        <v>0</v>
      </c>
      <c r="V44" s="486">
        <f t="shared" si="34"/>
        <v>0</v>
      </c>
      <c r="W44" s="486">
        <v>0</v>
      </c>
      <c r="X44" s="486">
        <v>0</v>
      </c>
      <c r="Y44" s="486">
        <f t="shared" si="35"/>
        <v>0</v>
      </c>
      <c r="Z44" s="486">
        <f t="shared" si="36"/>
        <v>0</v>
      </c>
      <c r="AA44" s="319">
        <f t="shared" si="37"/>
        <v>0</v>
      </c>
      <c r="AB44" s="178">
        <f t="shared" si="38"/>
        <v>0</v>
      </c>
      <c r="AC44" s="486">
        <v>0</v>
      </c>
      <c r="AD44" s="486">
        <v>0</v>
      </c>
      <c r="AE44" s="486">
        <f t="shared" si="0"/>
        <v>0</v>
      </c>
      <c r="AF44" s="486">
        <f t="shared" si="3"/>
        <v>0</v>
      </c>
      <c r="AG44" s="501">
        <v>0</v>
      </c>
      <c r="AH44" s="501">
        <v>0</v>
      </c>
      <c r="AI44" s="501">
        <v>0</v>
      </c>
      <c r="AJ44" s="501">
        <v>0</v>
      </c>
      <c r="AK44" s="501">
        <v>0</v>
      </c>
      <c r="AL44" s="501">
        <f t="shared" si="39"/>
        <v>0</v>
      </c>
      <c r="AM44" s="501">
        <f t="shared" si="40"/>
        <v>0</v>
      </c>
      <c r="AN44" s="502">
        <f t="shared" si="4"/>
        <v>0</v>
      </c>
      <c r="AO44" s="499">
        <f t="shared" si="41"/>
        <v>17556</v>
      </c>
      <c r="AP44" s="486">
        <f t="shared" si="42"/>
        <v>12375</v>
      </c>
      <c r="AQ44" s="486">
        <f t="shared" si="43"/>
        <v>0</v>
      </c>
      <c r="AR44" s="480">
        <f t="shared" si="44"/>
        <v>0</v>
      </c>
      <c r="AS44" s="486">
        <f t="shared" si="45"/>
        <v>4183</v>
      </c>
      <c r="AT44" s="486">
        <f t="shared" si="45"/>
        <v>248</v>
      </c>
      <c r="AU44" s="486">
        <f t="shared" si="46"/>
        <v>750</v>
      </c>
      <c r="AV44" s="501">
        <f t="shared" si="47"/>
        <v>0.05</v>
      </c>
      <c r="AW44" s="501">
        <f t="shared" si="48"/>
        <v>0</v>
      </c>
      <c r="AX44" s="502">
        <f t="shared" si="48"/>
        <v>0.05</v>
      </c>
    </row>
    <row r="45" spans="1:50" ht="12.95" customHeight="1" x14ac:dyDescent="0.25">
      <c r="A45" s="92">
        <v>7</v>
      </c>
      <c r="B45" s="117">
        <v>5405</v>
      </c>
      <c r="C45" s="118">
        <v>600099121</v>
      </c>
      <c r="D45" s="117">
        <v>70695521</v>
      </c>
      <c r="E45" s="119" t="s">
        <v>450</v>
      </c>
      <c r="F45" s="117"/>
      <c r="G45" s="120"/>
      <c r="H45" s="121"/>
      <c r="I45" s="136">
        <v>8555236</v>
      </c>
      <c r="J45" s="116">
        <v>6190619</v>
      </c>
      <c r="K45" s="116">
        <v>7548</v>
      </c>
      <c r="L45" s="116">
        <v>7548</v>
      </c>
      <c r="M45" s="116">
        <v>2092430</v>
      </c>
      <c r="N45" s="116">
        <v>123813</v>
      </c>
      <c r="O45" s="116">
        <v>140826</v>
      </c>
      <c r="P45" s="303">
        <v>15.263999999999998</v>
      </c>
      <c r="Q45" s="303">
        <v>10.025899999999998</v>
      </c>
      <c r="R45" s="304">
        <v>5.2381000000000002</v>
      </c>
      <c r="S45" s="240">
        <f t="shared" ref="S45:AN45" si="49">SUM(S39:S44)</f>
        <v>0</v>
      </c>
      <c r="T45" s="116">
        <f t="shared" si="49"/>
        <v>0</v>
      </c>
      <c r="U45" s="116">
        <f t="shared" si="49"/>
        <v>0</v>
      </c>
      <c r="V45" s="116">
        <f t="shared" si="49"/>
        <v>0</v>
      </c>
      <c r="W45" s="116">
        <f t="shared" si="49"/>
        <v>0</v>
      </c>
      <c r="X45" s="116">
        <f t="shared" si="49"/>
        <v>0</v>
      </c>
      <c r="Y45" s="116">
        <f t="shared" si="49"/>
        <v>0</v>
      </c>
      <c r="Z45" s="116">
        <f t="shared" si="49"/>
        <v>0</v>
      </c>
      <c r="AA45" s="116">
        <f t="shared" si="49"/>
        <v>0</v>
      </c>
      <c r="AB45" s="116">
        <f t="shared" si="49"/>
        <v>0</v>
      </c>
      <c r="AC45" s="116">
        <f t="shared" si="49"/>
        <v>0</v>
      </c>
      <c r="AD45" s="116">
        <f t="shared" si="49"/>
        <v>0</v>
      </c>
      <c r="AE45" s="116">
        <f t="shared" si="49"/>
        <v>0</v>
      </c>
      <c r="AF45" s="116">
        <f t="shared" si="49"/>
        <v>0</v>
      </c>
      <c r="AG45" s="303">
        <f t="shared" si="49"/>
        <v>0</v>
      </c>
      <c r="AH45" s="303">
        <f t="shared" si="49"/>
        <v>0</v>
      </c>
      <c r="AI45" s="303">
        <f t="shared" si="49"/>
        <v>0</v>
      </c>
      <c r="AJ45" s="303">
        <f t="shared" si="49"/>
        <v>0</v>
      </c>
      <c r="AK45" s="303">
        <f t="shared" si="49"/>
        <v>0</v>
      </c>
      <c r="AL45" s="303">
        <f t="shared" si="49"/>
        <v>0</v>
      </c>
      <c r="AM45" s="303">
        <f t="shared" si="49"/>
        <v>0</v>
      </c>
      <c r="AN45" s="304">
        <f t="shared" si="49"/>
        <v>0</v>
      </c>
      <c r="AO45" s="240">
        <f t="shared" ref="AO45:AX45" si="50">SUM(AO39:AO44)</f>
        <v>8555236</v>
      </c>
      <c r="AP45" s="116">
        <f t="shared" si="50"/>
        <v>6190619</v>
      </c>
      <c r="AQ45" s="116">
        <f t="shared" si="50"/>
        <v>7548</v>
      </c>
      <c r="AR45" s="116">
        <f t="shared" si="50"/>
        <v>7548</v>
      </c>
      <c r="AS45" s="116">
        <f t="shared" si="50"/>
        <v>2092430</v>
      </c>
      <c r="AT45" s="116">
        <f t="shared" si="50"/>
        <v>123813</v>
      </c>
      <c r="AU45" s="116">
        <f t="shared" si="50"/>
        <v>140826</v>
      </c>
      <c r="AV45" s="303">
        <f t="shared" si="50"/>
        <v>15.263999999999998</v>
      </c>
      <c r="AW45" s="303">
        <f t="shared" si="50"/>
        <v>10.025899999999998</v>
      </c>
      <c r="AX45" s="304">
        <f t="shared" si="50"/>
        <v>5.2381000000000002</v>
      </c>
    </row>
    <row r="46" spans="1:50" ht="12.95" customHeight="1" x14ac:dyDescent="0.25">
      <c r="A46" s="83">
        <v>8</v>
      </c>
      <c r="B46" s="526">
        <v>5410</v>
      </c>
      <c r="C46" s="527">
        <v>600099318</v>
      </c>
      <c r="D46" s="83">
        <v>854778</v>
      </c>
      <c r="E46" s="536" t="s">
        <v>451</v>
      </c>
      <c r="F46" s="526">
        <v>3111</v>
      </c>
      <c r="G46" s="535" t="s">
        <v>331</v>
      </c>
      <c r="H46" s="493" t="s">
        <v>283</v>
      </c>
      <c r="I46" s="495">
        <v>3360819</v>
      </c>
      <c r="J46" s="496">
        <v>2443386</v>
      </c>
      <c r="K46" s="496">
        <v>0</v>
      </c>
      <c r="L46" s="496">
        <v>0</v>
      </c>
      <c r="M46" s="411">
        <v>825865</v>
      </c>
      <c r="N46" s="411">
        <v>48868</v>
      </c>
      <c r="O46" s="496">
        <v>42700</v>
      </c>
      <c r="P46" s="497">
        <v>6.1128</v>
      </c>
      <c r="Q46" s="412">
        <v>4.7300000000000004</v>
      </c>
      <c r="R46" s="498">
        <v>1.3828</v>
      </c>
      <c r="S46" s="499">
        <f t="shared" si="5"/>
        <v>0</v>
      </c>
      <c r="T46" s="486">
        <v>0</v>
      </c>
      <c r="U46" s="486">
        <v>0</v>
      </c>
      <c r="V46" s="486">
        <f t="shared" ref="V46:V51" si="51">SUM(S46:U46)</f>
        <v>0</v>
      </c>
      <c r="W46" s="486">
        <v>0</v>
      </c>
      <c r="X46" s="486">
        <v>0</v>
      </c>
      <c r="Y46" s="486">
        <f t="shared" ref="Y46:Y51" si="52">SUM(W46:X46)</f>
        <v>0</v>
      </c>
      <c r="Z46" s="486">
        <f t="shared" ref="Z46:Z51" si="53">V46+Y46</f>
        <v>0</v>
      </c>
      <c r="AA46" s="319">
        <f t="shared" ref="AA46:AA51" si="54">ROUND((V46+W46)*33.8%,0)</f>
        <v>0</v>
      </c>
      <c r="AB46" s="178">
        <f t="shared" ref="AB46:AB51" si="55">ROUND(V46*2%,0)</f>
        <v>0</v>
      </c>
      <c r="AC46" s="486">
        <v>0</v>
      </c>
      <c r="AD46" s="486">
        <v>0</v>
      </c>
      <c r="AE46" s="486">
        <f t="shared" si="0"/>
        <v>0</v>
      </c>
      <c r="AF46" s="486">
        <f t="shared" si="3"/>
        <v>0</v>
      </c>
      <c r="AG46" s="501">
        <v>0</v>
      </c>
      <c r="AH46" s="501">
        <v>0</v>
      </c>
      <c r="AI46" s="501">
        <v>0</v>
      </c>
      <c r="AJ46" s="501">
        <v>0</v>
      </c>
      <c r="AK46" s="501">
        <v>0</v>
      </c>
      <c r="AL46" s="501">
        <f t="shared" ref="AL46:AL51" si="56">AG46+AI46+AJ46</f>
        <v>0</v>
      </c>
      <c r="AM46" s="501">
        <f t="shared" ref="AM46:AM51" si="57">AH46+AK46</f>
        <v>0</v>
      </c>
      <c r="AN46" s="502">
        <f t="shared" si="4"/>
        <v>0</v>
      </c>
      <c r="AO46" s="499">
        <f t="shared" ref="AO46:AO51" si="58">I46+AF46</f>
        <v>3360819</v>
      </c>
      <c r="AP46" s="486">
        <f t="shared" ref="AP46:AP51" si="59">J46+V46</f>
        <v>2443386</v>
      </c>
      <c r="AQ46" s="486">
        <f t="shared" ref="AQ46:AQ51" si="60">K46+Y46</f>
        <v>0</v>
      </c>
      <c r="AR46" s="480">
        <f t="shared" ref="AR46:AR51" si="61">L46</f>
        <v>0</v>
      </c>
      <c r="AS46" s="486">
        <f t="shared" ref="AS46:AT51" si="62">M46+AA46</f>
        <v>825865</v>
      </c>
      <c r="AT46" s="486">
        <f t="shared" si="62"/>
        <v>48868</v>
      </c>
      <c r="AU46" s="486">
        <f t="shared" ref="AU46:AU51" si="63">O46+AE46</f>
        <v>42700</v>
      </c>
      <c r="AV46" s="501">
        <f t="shared" ref="AV46:AV51" si="64">P46+AN46</f>
        <v>6.1128</v>
      </c>
      <c r="AW46" s="501">
        <f t="shared" ref="AW46:AX51" si="65">Q46+AL46</f>
        <v>4.7300000000000004</v>
      </c>
      <c r="AX46" s="502">
        <f t="shared" si="65"/>
        <v>1.3828</v>
      </c>
    </row>
    <row r="47" spans="1:50" ht="12.95" customHeight="1" x14ac:dyDescent="0.25">
      <c r="A47" s="83">
        <v>8</v>
      </c>
      <c r="B47" s="526">
        <v>5410</v>
      </c>
      <c r="C47" s="527">
        <v>600099318</v>
      </c>
      <c r="D47" s="83">
        <v>854778</v>
      </c>
      <c r="E47" s="536" t="s">
        <v>451</v>
      </c>
      <c r="F47" s="526">
        <v>3113</v>
      </c>
      <c r="G47" s="535" t="s">
        <v>335</v>
      </c>
      <c r="H47" s="493" t="s">
        <v>283</v>
      </c>
      <c r="I47" s="495">
        <v>13061494</v>
      </c>
      <c r="J47" s="496">
        <v>9217260</v>
      </c>
      <c r="K47" s="496">
        <v>136018</v>
      </c>
      <c r="L47" s="496">
        <v>70818</v>
      </c>
      <c r="M47" s="411">
        <v>3137471</v>
      </c>
      <c r="N47" s="411">
        <v>184345</v>
      </c>
      <c r="O47" s="496">
        <v>386400</v>
      </c>
      <c r="P47" s="497">
        <v>18.594500000000004</v>
      </c>
      <c r="Q47" s="412">
        <v>13.136799999999999</v>
      </c>
      <c r="R47" s="498">
        <v>5.4577</v>
      </c>
      <c r="S47" s="499">
        <f t="shared" si="5"/>
        <v>0</v>
      </c>
      <c r="T47" s="486">
        <v>0</v>
      </c>
      <c r="U47" s="486">
        <v>-36819</v>
      </c>
      <c r="V47" s="486">
        <f t="shared" si="51"/>
        <v>-36819</v>
      </c>
      <c r="W47" s="486">
        <v>0</v>
      </c>
      <c r="X47" s="486">
        <v>0</v>
      </c>
      <c r="Y47" s="486">
        <f t="shared" si="52"/>
        <v>0</v>
      </c>
      <c r="Z47" s="486">
        <f t="shared" si="53"/>
        <v>-36819</v>
      </c>
      <c r="AA47" s="319">
        <f t="shared" si="54"/>
        <v>-12445</v>
      </c>
      <c r="AB47" s="178">
        <f t="shared" si="55"/>
        <v>-736</v>
      </c>
      <c r="AC47" s="486">
        <v>0</v>
      </c>
      <c r="AD47" s="486">
        <v>50000</v>
      </c>
      <c r="AE47" s="486">
        <f t="shared" si="0"/>
        <v>50000</v>
      </c>
      <c r="AF47" s="486">
        <f t="shared" si="3"/>
        <v>0</v>
      </c>
      <c r="AG47" s="501">
        <v>0</v>
      </c>
      <c r="AH47" s="501">
        <v>0</v>
      </c>
      <c r="AI47" s="501">
        <v>0</v>
      </c>
      <c r="AJ47" s="501">
        <v>0</v>
      </c>
      <c r="AK47" s="501">
        <v>0</v>
      </c>
      <c r="AL47" s="501">
        <f t="shared" si="56"/>
        <v>0</v>
      </c>
      <c r="AM47" s="501">
        <f t="shared" si="57"/>
        <v>0</v>
      </c>
      <c r="AN47" s="502">
        <f t="shared" si="4"/>
        <v>0</v>
      </c>
      <c r="AO47" s="499">
        <f t="shared" si="58"/>
        <v>13061494</v>
      </c>
      <c r="AP47" s="486">
        <f t="shared" si="59"/>
        <v>9180441</v>
      </c>
      <c r="AQ47" s="486">
        <f t="shared" si="60"/>
        <v>136018</v>
      </c>
      <c r="AR47" s="480">
        <f t="shared" si="61"/>
        <v>70818</v>
      </c>
      <c r="AS47" s="486">
        <f t="shared" si="62"/>
        <v>3125026</v>
      </c>
      <c r="AT47" s="486">
        <f t="shared" si="62"/>
        <v>183609</v>
      </c>
      <c r="AU47" s="486">
        <f t="shared" si="63"/>
        <v>436400</v>
      </c>
      <c r="AV47" s="501">
        <f t="shared" si="64"/>
        <v>18.594500000000004</v>
      </c>
      <c r="AW47" s="501">
        <f t="shared" si="65"/>
        <v>13.136799999999999</v>
      </c>
      <c r="AX47" s="502">
        <f t="shared" si="65"/>
        <v>5.4577</v>
      </c>
    </row>
    <row r="48" spans="1:50" ht="12.95" customHeight="1" x14ac:dyDescent="0.25">
      <c r="A48" s="83">
        <v>8</v>
      </c>
      <c r="B48" s="526">
        <v>5410</v>
      </c>
      <c r="C48" s="527">
        <v>600099318</v>
      </c>
      <c r="D48" s="83">
        <v>854778</v>
      </c>
      <c r="E48" s="536" t="s">
        <v>451</v>
      </c>
      <c r="F48" s="526">
        <v>3113</v>
      </c>
      <c r="G48" s="493" t="s">
        <v>318</v>
      </c>
      <c r="H48" s="493" t="s">
        <v>284</v>
      </c>
      <c r="I48" s="495">
        <v>248189</v>
      </c>
      <c r="J48" s="496">
        <v>181141</v>
      </c>
      <c r="K48" s="496">
        <v>0</v>
      </c>
      <c r="L48" s="496">
        <v>0</v>
      </c>
      <c r="M48" s="411">
        <v>61225</v>
      </c>
      <c r="N48" s="411">
        <v>3623</v>
      </c>
      <c r="O48" s="496">
        <v>2200</v>
      </c>
      <c r="P48" s="497">
        <v>0.52</v>
      </c>
      <c r="Q48" s="412">
        <v>0.52</v>
      </c>
      <c r="R48" s="498">
        <v>0</v>
      </c>
      <c r="S48" s="499">
        <f t="shared" si="5"/>
        <v>0</v>
      </c>
      <c r="T48" s="486">
        <v>0</v>
      </c>
      <c r="U48" s="486">
        <v>0</v>
      </c>
      <c r="V48" s="486">
        <f t="shared" si="51"/>
        <v>0</v>
      </c>
      <c r="W48" s="486">
        <v>0</v>
      </c>
      <c r="X48" s="486">
        <v>0</v>
      </c>
      <c r="Y48" s="486">
        <f t="shared" si="52"/>
        <v>0</v>
      </c>
      <c r="Z48" s="486">
        <f t="shared" si="53"/>
        <v>0</v>
      </c>
      <c r="AA48" s="319">
        <f t="shared" si="54"/>
        <v>0</v>
      </c>
      <c r="AB48" s="178">
        <f t="shared" si="55"/>
        <v>0</v>
      </c>
      <c r="AC48" s="486">
        <v>0</v>
      </c>
      <c r="AD48" s="486">
        <v>0</v>
      </c>
      <c r="AE48" s="486">
        <f t="shared" si="0"/>
        <v>0</v>
      </c>
      <c r="AF48" s="486">
        <f t="shared" si="3"/>
        <v>0</v>
      </c>
      <c r="AG48" s="501">
        <v>0</v>
      </c>
      <c r="AH48" s="501">
        <v>0</v>
      </c>
      <c r="AI48" s="501">
        <v>0</v>
      </c>
      <c r="AJ48" s="501">
        <v>0</v>
      </c>
      <c r="AK48" s="501">
        <v>0</v>
      </c>
      <c r="AL48" s="501">
        <f t="shared" si="56"/>
        <v>0</v>
      </c>
      <c r="AM48" s="501">
        <f t="shared" si="57"/>
        <v>0</v>
      </c>
      <c r="AN48" s="502">
        <f t="shared" si="4"/>
        <v>0</v>
      </c>
      <c r="AO48" s="499">
        <f t="shared" si="58"/>
        <v>248189</v>
      </c>
      <c r="AP48" s="486">
        <f t="shared" si="59"/>
        <v>181141</v>
      </c>
      <c r="AQ48" s="486">
        <f t="shared" si="60"/>
        <v>0</v>
      </c>
      <c r="AR48" s="480">
        <f t="shared" si="61"/>
        <v>0</v>
      </c>
      <c r="AS48" s="486">
        <f t="shared" si="62"/>
        <v>61225</v>
      </c>
      <c r="AT48" s="486">
        <f t="shared" si="62"/>
        <v>3623</v>
      </c>
      <c r="AU48" s="486">
        <f t="shared" si="63"/>
        <v>2200</v>
      </c>
      <c r="AV48" s="501">
        <f t="shared" si="64"/>
        <v>0.52</v>
      </c>
      <c r="AW48" s="501">
        <f t="shared" si="65"/>
        <v>0.52</v>
      </c>
      <c r="AX48" s="502">
        <f t="shared" si="65"/>
        <v>0</v>
      </c>
    </row>
    <row r="49" spans="1:50" ht="12.95" customHeight="1" x14ac:dyDescent="0.25">
      <c r="A49" s="83">
        <v>8</v>
      </c>
      <c r="B49" s="526">
        <v>5410</v>
      </c>
      <c r="C49" s="527">
        <v>600099318</v>
      </c>
      <c r="D49" s="83">
        <v>854778</v>
      </c>
      <c r="E49" s="536" t="s">
        <v>451</v>
      </c>
      <c r="F49" s="526">
        <v>3141</v>
      </c>
      <c r="G49" s="535" t="s">
        <v>321</v>
      </c>
      <c r="H49" s="493" t="s">
        <v>284</v>
      </c>
      <c r="I49" s="495">
        <v>1988268</v>
      </c>
      <c r="J49" s="496">
        <v>1453697</v>
      </c>
      <c r="K49" s="496">
        <v>0</v>
      </c>
      <c r="L49" s="496">
        <v>0</v>
      </c>
      <c r="M49" s="411">
        <v>491349</v>
      </c>
      <c r="N49" s="411">
        <v>29074</v>
      </c>
      <c r="O49" s="496">
        <v>14148</v>
      </c>
      <c r="P49" s="497">
        <v>4.9400000000000004</v>
      </c>
      <c r="Q49" s="412">
        <v>0</v>
      </c>
      <c r="R49" s="498">
        <v>4.9400000000000004</v>
      </c>
      <c r="S49" s="499">
        <f t="shared" si="5"/>
        <v>0</v>
      </c>
      <c r="T49" s="486">
        <v>0</v>
      </c>
      <c r="U49" s="486">
        <v>0</v>
      </c>
      <c r="V49" s="486">
        <f t="shared" si="51"/>
        <v>0</v>
      </c>
      <c r="W49" s="486">
        <v>0</v>
      </c>
      <c r="X49" s="486">
        <v>0</v>
      </c>
      <c r="Y49" s="486">
        <f t="shared" si="52"/>
        <v>0</v>
      </c>
      <c r="Z49" s="486">
        <f t="shared" si="53"/>
        <v>0</v>
      </c>
      <c r="AA49" s="319">
        <f t="shared" si="54"/>
        <v>0</v>
      </c>
      <c r="AB49" s="178">
        <f t="shared" si="55"/>
        <v>0</v>
      </c>
      <c r="AC49" s="486">
        <v>0</v>
      </c>
      <c r="AD49" s="486">
        <v>0</v>
      </c>
      <c r="AE49" s="486">
        <f t="shared" si="0"/>
        <v>0</v>
      </c>
      <c r="AF49" s="486">
        <f t="shared" si="3"/>
        <v>0</v>
      </c>
      <c r="AG49" s="501">
        <v>0</v>
      </c>
      <c r="AH49" s="501">
        <v>0</v>
      </c>
      <c r="AI49" s="501">
        <v>0</v>
      </c>
      <c r="AJ49" s="501">
        <v>0</v>
      </c>
      <c r="AK49" s="501">
        <v>0</v>
      </c>
      <c r="AL49" s="501">
        <f t="shared" si="56"/>
        <v>0</v>
      </c>
      <c r="AM49" s="501">
        <f t="shared" si="57"/>
        <v>0</v>
      </c>
      <c r="AN49" s="502">
        <f t="shared" si="4"/>
        <v>0</v>
      </c>
      <c r="AO49" s="499">
        <f t="shared" si="58"/>
        <v>1988268</v>
      </c>
      <c r="AP49" s="486">
        <f t="shared" si="59"/>
        <v>1453697</v>
      </c>
      <c r="AQ49" s="486">
        <f t="shared" si="60"/>
        <v>0</v>
      </c>
      <c r="AR49" s="480">
        <f t="shared" si="61"/>
        <v>0</v>
      </c>
      <c r="AS49" s="486">
        <f t="shared" si="62"/>
        <v>491349</v>
      </c>
      <c r="AT49" s="486">
        <f t="shared" si="62"/>
        <v>29074</v>
      </c>
      <c r="AU49" s="486">
        <f t="shared" si="63"/>
        <v>14148</v>
      </c>
      <c r="AV49" s="501">
        <f t="shared" si="64"/>
        <v>4.9400000000000004</v>
      </c>
      <c r="AW49" s="501">
        <f t="shared" si="65"/>
        <v>0</v>
      </c>
      <c r="AX49" s="502">
        <f t="shared" si="65"/>
        <v>4.9400000000000004</v>
      </c>
    </row>
    <row r="50" spans="1:50" ht="12.95" customHeight="1" x14ac:dyDescent="0.25">
      <c r="A50" s="83">
        <v>8</v>
      </c>
      <c r="B50" s="526">
        <v>5410</v>
      </c>
      <c r="C50" s="527">
        <v>600099318</v>
      </c>
      <c r="D50" s="83">
        <v>854778</v>
      </c>
      <c r="E50" s="536" t="s">
        <v>451</v>
      </c>
      <c r="F50" s="526">
        <v>3143</v>
      </c>
      <c r="G50" s="493" t="s">
        <v>634</v>
      </c>
      <c r="H50" s="493" t="s">
        <v>283</v>
      </c>
      <c r="I50" s="495">
        <v>823479</v>
      </c>
      <c r="J50" s="496">
        <v>606391</v>
      </c>
      <c r="K50" s="496">
        <v>0</v>
      </c>
      <c r="L50" s="496">
        <v>0</v>
      </c>
      <c r="M50" s="411">
        <v>204960</v>
      </c>
      <c r="N50" s="411">
        <v>12128</v>
      </c>
      <c r="O50" s="496">
        <v>0</v>
      </c>
      <c r="P50" s="497">
        <v>1.2942</v>
      </c>
      <c r="Q50" s="412">
        <v>1.2942</v>
      </c>
      <c r="R50" s="498">
        <v>0</v>
      </c>
      <c r="S50" s="499">
        <f t="shared" si="5"/>
        <v>0</v>
      </c>
      <c r="T50" s="486">
        <v>0</v>
      </c>
      <c r="U50" s="486">
        <v>0</v>
      </c>
      <c r="V50" s="486">
        <f t="shared" si="51"/>
        <v>0</v>
      </c>
      <c r="W50" s="486">
        <v>0</v>
      </c>
      <c r="X50" s="486">
        <v>0</v>
      </c>
      <c r="Y50" s="486">
        <f t="shared" si="52"/>
        <v>0</v>
      </c>
      <c r="Z50" s="486">
        <f t="shared" si="53"/>
        <v>0</v>
      </c>
      <c r="AA50" s="319">
        <f t="shared" si="54"/>
        <v>0</v>
      </c>
      <c r="AB50" s="178">
        <f t="shared" si="55"/>
        <v>0</v>
      </c>
      <c r="AC50" s="486">
        <v>0</v>
      </c>
      <c r="AD50" s="486">
        <v>0</v>
      </c>
      <c r="AE50" s="486">
        <f t="shared" si="0"/>
        <v>0</v>
      </c>
      <c r="AF50" s="486">
        <f t="shared" si="3"/>
        <v>0</v>
      </c>
      <c r="AG50" s="501">
        <v>0</v>
      </c>
      <c r="AH50" s="501">
        <v>0</v>
      </c>
      <c r="AI50" s="501">
        <v>0</v>
      </c>
      <c r="AJ50" s="501">
        <v>0</v>
      </c>
      <c r="AK50" s="501">
        <v>0</v>
      </c>
      <c r="AL50" s="501">
        <f t="shared" si="56"/>
        <v>0</v>
      </c>
      <c r="AM50" s="501">
        <f t="shared" si="57"/>
        <v>0</v>
      </c>
      <c r="AN50" s="502">
        <f t="shared" si="4"/>
        <v>0</v>
      </c>
      <c r="AO50" s="499">
        <f t="shared" si="58"/>
        <v>823479</v>
      </c>
      <c r="AP50" s="486">
        <f t="shared" si="59"/>
        <v>606391</v>
      </c>
      <c r="AQ50" s="486">
        <f t="shared" si="60"/>
        <v>0</v>
      </c>
      <c r="AR50" s="480">
        <f t="shared" si="61"/>
        <v>0</v>
      </c>
      <c r="AS50" s="486">
        <f t="shared" si="62"/>
        <v>204960</v>
      </c>
      <c r="AT50" s="486">
        <f t="shared" si="62"/>
        <v>12128</v>
      </c>
      <c r="AU50" s="486">
        <f t="shared" si="63"/>
        <v>0</v>
      </c>
      <c r="AV50" s="501">
        <f t="shared" si="64"/>
        <v>1.2942</v>
      </c>
      <c r="AW50" s="501">
        <f t="shared" si="65"/>
        <v>1.2942</v>
      </c>
      <c r="AX50" s="502">
        <f t="shared" si="65"/>
        <v>0</v>
      </c>
    </row>
    <row r="51" spans="1:50" ht="12.95" customHeight="1" x14ac:dyDescent="0.25">
      <c r="A51" s="83">
        <v>8</v>
      </c>
      <c r="B51" s="526">
        <v>5410</v>
      </c>
      <c r="C51" s="527">
        <v>600099318</v>
      </c>
      <c r="D51" s="83">
        <v>854778</v>
      </c>
      <c r="E51" s="536" t="s">
        <v>451</v>
      </c>
      <c r="F51" s="526">
        <v>3143</v>
      </c>
      <c r="G51" s="493" t="s">
        <v>635</v>
      </c>
      <c r="H51" s="493" t="s">
        <v>284</v>
      </c>
      <c r="I51" s="495">
        <v>25279</v>
      </c>
      <c r="J51" s="496">
        <v>17820</v>
      </c>
      <c r="K51" s="496">
        <v>0</v>
      </c>
      <c r="L51" s="496">
        <v>0</v>
      </c>
      <c r="M51" s="411">
        <v>6023</v>
      </c>
      <c r="N51" s="411">
        <v>356</v>
      </c>
      <c r="O51" s="496">
        <v>1080</v>
      </c>
      <c r="P51" s="497">
        <v>0.08</v>
      </c>
      <c r="Q51" s="412">
        <v>0</v>
      </c>
      <c r="R51" s="498">
        <v>0.08</v>
      </c>
      <c r="S51" s="499">
        <f t="shared" si="5"/>
        <v>0</v>
      </c>
      <c r="T51" s="486">
        <v>0</v>
      </c>
      <c r="U51" s="486">
        <v>0</v>
      </c>
      <c r="V51" s="486">
        <f t="shared" si="51"/>
        <v>0</v>
      </c>
      <c r="W51" s="486">
        <v>0</v>
      </c>
      <c r="X51" s="486">
        <v>0</v>
      </c>
      <c r="Y51" s="486">
        <f t="shared" si="52"/>
        <v>0</v>
      </c>
      <c r="Z51" s="486">
        <f t="shared" si="53"/>
        <v>0</v>
      </c>
      <c r="AA51" s="319">
        <f t="shared" si="54"/>
        <v>0</v>
      </c>
      <c r="AB51" s="178">
        <f t="shared" si="55"/>
        <v>0</v>
      </c>
      <c r="AC51" s="486">
        <v>0</v>
      </c>
      <c r="AD51" s="486">
        <v>0</v>
      </c>
      <c r="AE51" s="486">
        <f t="shared" si="0"/>
        <v>0</v>
      </c>
      <c r="AF51" s="486">
        <f t="shared" si="3"/>
        <v>0</v>
      </c>
      <c r="AG51" s="501">
        <v>0</v>
      </c>
      <c r="AH51" s="501">
        <v>0</v>
      </c>
      <c r="AI51" s="501">
        <v>0</v>
      </c>
      <c r="AJ51" s="501">
        <v>0</v>
      </c>
      <c r="AK51" s="501">
        <v>0</v>
      </c>
      <c r="AL51" s="501">
        <f t="shared" si="56"/>
        <v>0</v>
      </c>
      <c r="AM51" s="501">
        <f t="shared" si="57"/>
        <v>0</v>
      </c>
      <c r="AN51" s="502">
        <f t="shared" si="4"/>
        <v>0</v>
      </c>
      <c r="AO51" s="499">
        <f t="shared" si="58"/>
        <v>25279</v>
      </c>
      <c r="AP51" s="486">
        <f t="shared" si="59"/>
        <v>17820</v>
      </c>
      <c r="AQ51" s="486">
        <f t="shared" si="60"/>
        <v>0</v>
      </c>
      <c r="AR51" s="480">
        <f t="shared" si="61"/>
        <v>0</v>
      </c>
      <c r="AS51" s="486">
        <f t="shared" si="62"/>
        <v>6023</v>
      </c>
      <c r="AT51" s="486">
        <f t="shared" si="62"/>
        <v>356</v>
      </c>
      <c r="AU51" s="486">
        <f t="shared" si="63"/>
        <v>1080</v>
      </c>
      <c r="AV51" s="501">
        <f t="shared" si="64"/>
        <v>0.08</v>
      </c>
      <c r="AW51" s="501">
        <f t="shared" si="65"/>
        <v>0</v>
      </c>
      <c r="AX51" s="502">
        <f t="shared" si="65"/>
        <v>0.08</v>
      </c>
    </row>
    <row r="52" spans="1:50" ht="12.95" customHeight="1" x14ac:dyDescent="0.25">
      <c r="A52" s="92">
        <v>8</v>
      </c>
      <c r="B52" s="104">
        <v>5410</v>
      </c>
      <c r="C52" s="105">
        <v>600099318</v>
      </c>
      <c r="D52" s="104">
        <v>854778</v>
      </c>
      <c r="E52" s="119" t="s">
        <v>452</v>
      </c>
      <c r="F52" s="104"/>
      <c r="G52" s="122"/>
      <c r="H52" s="123"/>
      <c r="I52" s="130">
        <v>19507528</v>
      </c>
      <c r="J52" s="87">
        <v>13919695</v>
      </c>
      <c r="K52" s="87">
        <v>136018</v>
      </c>
      <c r="L52" s="87">
        <v>70818</v>
      </c>
      <c r="M52" s="87">
        <v>4726893</v>
      </c>
      <c r="N52" s="87">
        <v>278394</v>
      </c>
      <c r="O52" s="87">
        <v>446528</v>
      </c>
      <c r="P52" s="88">
        <v>31.541500000000003</v>
      </c>
      <c r="Q52" s="88">
        <v>19.680999999999997</v>
      </c>
      <c r="R52" s="274">
        <v>11.8605</v>
      </c>
      <c r="S52" s="141">
        <f t="shared" ref="S52:AN52" si="66">SUM(S46:S51)</f>
        <v>0</v>
      </c>
      <c r="T52" s="87">
        <f t="shared" si="66"/>
        <v>0</v>
      </c>
      <c r="U52" s="87">
        <f t="shared" si="66"/>
        <v>-36819</v>
      </c>
      <c r="V52" s="87">
        <f t="shared" si="66"/>
        <v>-36819</v>
      </c>
      <c r="W52" s="87">
        <f t="shared" si="66"/>
        <v>0</v>
      </c>
      <c r="X52" s="87">
        <f t="shared" si="66"/>
        <v>0</v>
      </c>
      <c r="Y52" s="87">
        <f t="shared" si="66"/>
        <v>0</v>
      </c>
      <c r="Z52" s="87">
        <f t="shared" si="66"/>
        <v>-36819</v>
      </c>
      <c r="AA52" s="87">
        <f t="shared" si="66"/>
        <v>-12445</v>
      </c>
      <c r="AB52" s="87">
        <f t="shared" si="66"/>
        <v>-736</v>
      </c>
      <c r="AC52" s="87">
        <f t="shared" si="66"/>
        <v>0</v>
      </c>
      <c r="AD52" s="87">
        <f t="shared" si="66"/>
        <v>50000</v>
      </c>
      <c r="AE52" s="87">
        <f t="shared" si="66"/>
        <v>50000</v>
      </c>
      <c r="AF52" s="87">
        <f t="shared" si="66"/>
        <v>0</v>
      </c>
      <c r="AG52" s="88">
        <f t="shared" si="66"/>
        <v>0</v>
      </c>
      <c r="AH52" s="88">
        <f t="shared" si="66"/>
        <v>0</v>
      </c>
      <c r="AI52" s="88">
        <f t="shared" si="66"/>
        <v>0</v>
      </c>
      <c r="AJ52" s="88">
        <f t="shared" si="66"/>
        <v>0</v>
      </c>
      <c r="AK52" s="88">
        <f t="shared" si="66"/>
        <v>0</v>
      </c>
      <c r="AL52" s="88">
        <f t="shared" si="66"/>
        <v>0</v>
      </c>
      <c r="AM52" s="88">
        <f t="shared" si="66"/>
        <v>0</v>
      </c>
      <c r="AN52" s="274">
        <f t="shared" si="66"/>
        <v>0</v>
      </c>
      <c r="AO52" s="141">
        <f t="shared" ref="AO52:AX52" si="67">SUM(AO46:AO51)</f>
        <v>19507528</v>
      </c>
      <c r="AP52" s="87">
        <f t="shared" si="67"/>
        <v>13882876</v>
      </c>
      <c r="AQ52" s="87">
        <f t="shared" si="67"/>
        <v>136018</v>
      </c>
      <c r="AR52" s="87">
        <f t="shared" si="67"/>
        <v>70818</v>
      </c>
      <c r="AS52" s="87">
        <f t="shared" si="67"/>
        <v>4714448</v>
      </c>
      <c r="AT52" s="87">
        <f t="shared" si="67"/>
        <v>277658</v>
      </c>
      <c r="AU52" s="87">
        <f t="shared" si="67"/>
        <v>496528</v>
      </c>
      <c r="AV52" s="88">
        <f t="shared" si="67"/>
        <v>31.541500000000003</v>
      </c>
      <c r="AW52" s="88">
        <f t="shared" si="67"/>
        <v>19.680999999999997</v>
      </c>
      <c r="AX52" s="274">
        <f t="shared" si="67"/>
        <v>11.8605</v>
      </c>
    </row>
    <row r="53" spans="1:50" ht="12.95" customHeight="1" x14ac:dyDescent="0.25">
      <c r="A53" s="83">
        <v>9</v>
      </c>
      <c r="B53" s="526">
        <v>5476</v>
      </c>
      <c r="C53" s="527">
        <v>650046072</v>
      </c>
      <c r="D53" s="83">
        <v>71002723</v>
      </c>
      <c r="E53" s="536" t="s">
        <v>453</v>
      </c>
      <c r="F53" s="526">
        <v>3111</v>
      </c>
      <c r="G53" s="535" t="s">
        <v>331</v>
      </c>
      <c r="H53" s="493" t="s">
        <v>283</v>
      </c>
      <c r="I53" s="495">
        <v>2306945</v>
      </c>
      <c r="J53" s="496">
        <v>1670888</v>
      </c>
      <c r="K53" s="496">
        <v>10000</v>
      </c>
      <c r="L53" s="496">
        <v>0</v>
      </c>
      <c r="M53" s="411">
        <v>568140</v>
      </c>
      <c r="N53" s="411">
        <v>33417</v>
      </c>
      <c r="O53" s="496">
        <v>24500</v>
      </c>
      <c r="P53" s="497">
        <v>3.8918000000000004</v>
      </c>
      <c r="Q53" s="412">
        <v>2.99</v>
      </c>
      <c r="R53" s="498">
        <v>0.90179999999999993</v>
      </c>
      <c r="S53" s="499">
        <f t="shared" si="5"/>
        <v>0</v>
      </c>
      <c r="T53" s="486">
        <v>0</v>
      </c>
      <c r="U53" s="486">
        <v>0</v>
      </c>
      <c r="V53" s="486">
        <f t="shared" ref="V53:V59" si="68">SUM(S53:U53)</f>
        <v>0</v>
      </c>
      <c r="W53" s="486">
        <v>0</v>
      </c>
      <c r="X53" s="486">
        <v>0</v>
      </c>
      <c r="Y53" s="486">
        <f t="shared" ref="Y53:Y59" si="69">SUM(W53:X53)</f>
        <v>0</v>
      </c>
      <c r="Z53" s="486">
        <f t="shared" ref="Z53:Z59" si="70">V53+Y53</f>
        <v>0</v>
      </c>
      <c r="AA53" s="319">
        <f t="shared" ref="AA53:AA59" si="71">ROUND((V53+W53)*33.8%,0)</f>
        <v>0</v>
      </c>
      <c r="AB53" s="178">
        <f t="shared" ref="AB53:AB59" si="72">ROUND(V53*2%,0)</f>
        <v>0</v>
      </c>
      <c r="AC53" s="486">
        <v>0</v>
      </c>
      <c r="AD53" s="486">
        <v>0</v>
      </c>
      <c r="AE53" s="486">
        <f t="shared" si="0"/>
        <v>0</v>
      </c>
      <c r="AF53" s="486">
        <f t="shared" si="3"/>
        <v>0</v>
      </c>
      <c r="AG53" s="501">
        <v>0</v>
      </c>
      <c r="AH53" s="501">
        <v>0</v>
      </c>
      <c r="AI53" s="501">
        <v>0</v>
      </c>
      <c r="AJ53" s="501">
        <v>0</v>
      </c>
      <c r="AK53" s="501">
        <v>0</v>
      </c>
      <c r="AL53" s="501">
        <f t="shared" ref="AL53:AL59" si="73">AG53+AI53+AJ53</f>
        <v>0</v>
      </c>
      <c r="AM53" s="501">
        <f t="shared" ref="AM53:AM59" si="74">AH53+AK53</f>
        <v>0</v>
      </c>
      <c r="AN53" s="502">
        <f t="shared" si="4"/>
        <v>0</v>
      </c>
      <c r="AO53" s="499">
        <f t="shared" ref="AO53:AO59" si="75">I53+AF53</f>
        <v>2306945</v>
      </c>
      <c r="AP53" s="486">
        <f t="shared" ref="AP53:AP59" si="76">J53+V53</f>
        <v>1670888</v>
      </c>
      <c r="AQ53" s="486">
        <f t="shared" ref="AQ53:AQ59" si="77">K53+Y53</f>
        <v>10000</v>
      </c>
      <c r="AR53" s="480">
        <f t="shared" ref="AR53:AR59" si="78">L53</f>
        <v>0</v>
      </c>
      <c r="AS53" s="486">
        <f t="shared" ref="AS53:AT59" si="79">M53+AA53</f>
        <v>568140</v>
      </c>
      <c r="AT53" s="486">
        <f t="shared" si="79"/>
        <v>33417</v>
      </c>
      <c r="AU53" s="486">
        <f t="shared" ref="AU53:AU59" si="80">O53+AE53</f>
        <v>24500</v>
      </c>
      <c r="AV53" s="501">
        <f t="shared" ref="AV53:AV59" si="81">P53+AN53</f>
        <v>3.8918000000000004</v>
      </c>
      <c r="AW53" s="501">
        <f t="shared" ref="AW53:AX59" si="82">Q53+AL53</f>
        <v>2.99</v>
      </c>
      <c r="AX53" s="502">
        <f t="shared" si="82"/>
        <v>0.90179999999999993</v>
      </c>
    </row>
    <row r="54" spans="1:50" ht="12.95" customHeight="1" x14ac:dyDescent="0.25">
      <c r="A54" s="83">
        <v>9</v>
      </c>
      <c r="B54" s="526">
        <v>5476</v>
      </c>
      <c r="C54" s="527">
        <v>650046072</v>
      </c>
      <c r="D54" s="83">
        <v>71002723</v>
      </c>
      <c r="E54" s="536" t="s">
        <v>453</v>
      </c>
      <c r="F54" s="526">
        <v>3113</v>
      </c>
      <c r="G54" s="535" t="s">
        <v>335</v>
      </c>
      <c r="H54" s="493" t="s">
        <v>283</v>
      </c>
      <c r="I54" s="495">
        <v>10943827</v>
      </c>
      <c r="J54" s="496">
        <v>7801585</v>
      </c>
      <c r="K54" s="496">
        <v>62464</v>
      </c>
      <c r="L54" s="496">
        <v>17464</v>
      </c>
      <c r="M54" s="411">
        <v>2652146</v>
      </c>
      <c r="N54" s="411">
        <v>156032</v>
      </c>
      <c r="O54" s="496">
        <v>271600</v>
      </c>
      <c r="P54" s="497">
        <v>15.822100000000001</v>
      </c>
      <c r="Q54" s="412">
        <v>11.66</v>
      </c>
      <c r="R54" s="498">
        <v>4.1621000000000006</v>
      </c>
      <c r="S54" s="499">
        <f t="shared" si="5"/>
        <v>0</v>
      </c>
      <c r="T54" s="486">
        <v>0</v>
      </c>
      <c r="U54" s="486">
        <v>0</v>
      </c>
      <c r="V54" s="486">
        <f t="shared" si="68"/>
        <v>0</v>
      </c>
      <c r="W54" s="486">
        <v>0</v>
      </c>
      <c r="X54" s="486">
        <v>0</v>
      </c>
      <c r="Y54" s="486">
        <f t="shared" si="69"/>
        <v>0</v>
      </c>
      <c r="Z54" s="486">
        <f t="shared" si="70"/>
        <v>0</v>
      </c>
      <c r="AA54" s="319">
        <f t="shared" si="71"/>
        <v>0</v>
      </c>
      <c r="AB54" s="178">
        <f t="shared" si="72"/>
        <v>0</v>
      </c>
      <c r="AC54" s="486">
        <v>0</v>
      </c>
      <c r="AD54" s="486">
        <v>0</v>
      </c>
      <c r="AE54" s="486">
        <f t="shared" si="0"/>
        <v>0</v>
      </c>
      <c r="AF54" s="486">
        <f t="shared" si="3"/>
        <v>0</v>
      </c>
      <c r="AG54" s="501">
        <v>0</v>
      </c>
      <c r="AH54" s="501">
        <v>0</v>
      </c>
      <c r="AI54" s="501">
        <v>0</v>
      </c>
      <c r="AJ54" s="501">
        <v>0</v>
      </c>
      <c r="AK54" s="501">
        <v>0</v>
      </c>
      <c r="AL54" s="501">
        <f t="shared" si="73"/>
        <v>0</v>
      </c>
      <c r="AM54" s="501">
        <f t="shared" si="74"/>
        <v>0</v>
      </c>
      <c r="AN54" s="502">
        <f t="shared" si="4"/>
        <v>0</v>
      </c>
      <c r="AO54" s="499">
        <f t="shared" si="75"/>
        <v>10943827</v>
      </c>
      <c r="AP54" s="486">
        <f t="shared" si="76"/>
        <v>7801585</v>
      </c>
      <c r="AQ54" s="486">
        <f t="shared" si="77"/>
        <v>62464</v>
      </c>
      <c r="AR54" s="480">
        <f t="shared" si="78"/>
        <v>17464</v>
      </c>
      <c r="AS54" s="486">
        <f t="shared" si="79"/>
        <v>2652146</v>
      </c>
      <c r="AT54" s="486">
        <f t="shared" si="79"/>
        <v>156032</v>
      </c>
      <c r="AU54" s="486">
        <f t="shared" si="80"/>
        <v>271600</v>
      </c>
      <c r="AV54" s="501">
        <f t="shared" si="81"/>
        <v>15.822100000000001</v>
      </c>
      <c r="AW54" s="501">
        <f t="shared" si="82"/>
        <v>11.66</v>
      </c>
      <c r="AX54" s="502">
        <f t="shared" si="82"/>
        <v>4.1621000000000006</v>
      </c>
    </row>
    <row r="55" spans="1:50" ht="12.95" customHeight="1" x14ac:dyDescent="0.25">
      <c r="A55" s="83">
        <v>9</v>
      </c>
      <c r="B55" s="526">
        <v>5476</v>
      </c>
      <c r="C55" s="527">
        <v>650046072</v>
      </c>
      <c r="D55" s="83">
        <v>71002723</v>
      </c>
      <c r="E55" s="536" t="s">
        <v>453</v>
      </c>
      <c r="F55" s="526">
        <v>3113</v>
      </c>
      <c r="G55" s="493" t="s">
        <v>318</v>
      </c>
      <c r="H55" s="493" t="s">
        <v>284</v>
      </c>
      <c r="I55" s="495">
        <v>150729</v>
      </c>
      <c r="J55" s="496">
        <v>109521</v>
      </c>
      <c r="K55" s="496">
        <v>0</v>
      </c>
      <c r="L55" s="496">
        <v>0</v>
      </c>
      <c r="M55" s="411">
        <v>37018</v>
      </c>
      <c r="N55" s="411">
        <v>2190</v>
      </c>
      <c r="O55" s="496">
        <v>2000</v>
      </c>
      <c r="P55" s="497">
        <v>0.28999999999999998</v>
      </c>
      <c r="Q55" s="412">
        <v>0.28999999999999998</v>
      </c>
      <c r="R55" s="498">
        <v>0</v>
      </c>
      <c r="S55" s="499">
        <f t="shared" si="5"/>
        <v>0</v>
      </c>
      <c r="T55" s="486">
        <v>12896</v>
      </c>
      <c r="U55" s="486">
        <v>0</v>
      </c>
      <c r="V55" s="486">
        <f t="shared" si="68"/>
        <v>12896</v>
      </c>
      <c r="W55" s="486">
        <v>0</v>
      </c>
      <c r="X55" s="486">
        <v>0</v>
      </c>
      <c r="Y55" s="486">
        <f t="shared" si="69"/>
        <v>0</v>
      </c>
      <c r="Z55" s="486">
        <f t="shared" si="70"/>
        <v>12896</v>
      </c>
      <c r="AA55" s="319">
        <f t="shared" si="71"/>
        <v>4359</v>
      </c>
      <c r="AB55" s="178">
        <f t="shared" si="72"/>
        <v>258</v>
      </c>
      <c r="AC55" s="486">
        <v>0</v>
      </c>
      <c r="AD55" s="486">
        <v>0</v>
      </c>
      <c r="AE55" s="486">
        <f t="shared" si="0"/>
        <v>0</v>
      </c>
      <c r="AF55" s="486">
        <f t="shared" si="3"/>
        <v>17513</v>
      </c>
      <c r="AG55" s="501">
        <v>0</v>
      </c>
      <c r="AH55" s="501">
        <v>0</v>
      </c>
      <c r="AI55" s="501">
        <v>0.03</v>
      </c>
      <c r="AJ55" s="501">
        <v>0</v>
      </c>
      <c r="AK55" s="501">
        <v>0</v>
      </c>
      <c r="AL55" s="501">
        <f t="shared" si="73"/>
        <v>0.03</v>
      </c>
      <c r="AM55" s="501">
        <f t="shared" si="74"/>
        <v>0</v>
      </c>
      <c r="AN55" s="502">
        <f t="shared" si="4"/>
        <v>0.03</v>
      </c>
      <c r="AO55" s="499">
        <f t="shared" si="75"/>
        <v>168242</v>
      </c>
      <c r="AP55" s="486">
        <f t="shared" si="76"/>
        <v>122417</v>
      </c>
      <c r="AQ55" s="486">
        <f t="shared" si="77"/>
        <v>0</v>
      </c>
      <c r="AR55" s="480">
        <f t="shared" si="78"/>
        <v>0</v>
      </c>
      <c r="AS55" s="486">
        <f t="shared" si="79"/>
        <v>41377</v>
      </c>
      <c r="AT55" s="486">
        <f t="shared" si="79"/>
        <v>2448</v>
      </c>
      <c r="AU55" s="486">
        <f t="shared" si="80"/>
        <v>2000</v>
      </c>
      <c r="AV55" s="501">
        <f t="shared" si="81"/>
        <v>0.31999999999999995</v>
      </c>
      <c r="AW55" s="501">
        <f t="shared" si="82"/>
        <v>0.31999999999999995</v>
      </c>
      <c r="AX55" s="502">
        <f t="shared" si="82"/>
        <v>0</v>
      </c>
    </row>
    <row r="56" spans="1:50" ht="12.95" customHeight="1" x14ac:dyDescent="0.25">
      <c r="A56" s="83">
        <v>9</v>
      </c>
      <c r="B56" s="526">
        <v>5476</v>
      </c>
      <c r="C56" s="527">
        <v>650046072</v>
      </c>
      <c r="D56" s="83">
        <v>71002723</v>
      </c>
      <c r="E56" s="536" t="s">
        <v>453</v>
      </c>
      <c r="F56" s="526">
        <v>3141</v>
      </c>
      <c r="G56" s="535" t="s">
        <v>321</v>
      </c>
      <c r="H56" s="493" t="s">
        <v>284</v>
      </c>
      <c r="I56" s="495">
        <v>1437506</v>
      </c>
      <c r="J56" s="496">
        <v>1051969</v>
      </c>
      <c r="K56" s="496">
        <v>0</v>
      </c>
      <c r="L56" s="496">
        <v>0</v>
      </c>
      <c r="M56" s="411">
        <v>355566</v>
      </c>
      <c r="N56" s="411">
        <v>21039</v>
      </c>
      <c r="O56" s="496">
        <v>8932</v>
      </c>
      <c r="P56" s="497">
        <v>3.57</v>
      </c>
      <c r="Q56" s="412">
        <v>0</v>
      </c>
      <c r="R56" s="498">
        <v>3.57</v>
      </c>
      <c r="S56" s="499">
        <f t="shared" si="5"/>
        <v>0</v>
      </c>
      <c r="T56" s="486">
        <v>0</v>
      </c>
      <c r="U56" s="486">
        <v>0</v>
      </c>
      <c r="V56" s="486">
        <f t="shared" si="68"/>
        <v>0</v>
      </c>
      <c r="W56" s="486">
        <v>0</v>
      </c>
      <c r="X56" s="486">
        <v>0</v>
      </c>
      <c r="Y56" s="486">
        <f t="shared" si="69"/>
        <v>0</v>
      </c>
      <c r="Z56" s="486">
        <f t="shared" si="70"/>
        <v>0</v>
      </c>
      <c r="AA56" s="319">
        <f t="shared" si="71"/>
        <v>0</v>
      </c>
      <c r="AB56" s="178">
        <f t="shared" si="72"/>
        <v>0</v>
      </c>
      <c r="AC56" s="486">
        <v>0</v>
      </c>
      <c r="AD56" s="486">
        <v>0</v>
      </c>
      <c r="AE56" s="486">
        <f t="shared" si="0"/>
        <v>0</v>
      </c>
      <c r="AF56" s="486">
        <f t="shared" si="3"/>
        <v>0</v>
      </c>
      <c r="AG56" s="501">
        <v>0</v>
      </c>
      <c r="AH56" s="501">
        <v>0</v>
      </c>
      <c r="AI56" s="501">
        <v>0</v>
      </c>
      <c r="AJ56" s="501">
        <v>0</v>
      </c>
      <c r="AK56" s="501">
        <v>0</v>
      </c>
      <c r="AL56" s="501">
        <f t="shared" si="73"/>
        <v>0</v>
      </c>
      <c r="AM56" s="501">
        <f t="shared" si="74"/>
        <v>0</v>
      </c>
      <c r="AN56" s="502">
        <f t="shared" si="4"/>
        <v>0</v>
      </c>
      <c r="AO56" s="499">
        <f t="shared" si="75"/>
        <v>1437506</v>
      </c>
      <c r="AP56" s="486">
        <f t="shared" si="76"/>
        <v>1051969</v>
      </c>
      <c r="AQ56" s="486">
        <f t="shared" si="77"/>
        <v>0</v>
      </c>
      <c r="AR56" s="480">
        <f t="shared" si="78"/>
        <v>0</v>
      </c>
      <c r="AS56" s="486">
        <f t="shared" si="79"/>
        <v>355566</v>
      </c>
      <c r="AT56" s="486">
        <f t="shared" si="79"/>
        <v>21039</v>
      </c>
      <c r="AU56" s="486">
        <f t="shared" si="80"/>
        <v>8932</v>
      </c>
      <c r="AV56" s="501">
        <f t="shared" si="81"/>
        <v>3.57</v>
      </c>
      <c r="AW56" s="501">
        <f t="shared" si="82"/>
        <v>0</v>
      </c>
      <c r="AX56" s="502">
        <f t="shared" si="82"/>
        <v>3.57</v>
      </c>
    </row>
    <row r="57" spans="1:50" ht="12.95" customHeight="1" x14ac:dyDescent="0.25">
      <c r="A57" s="83">
        <v>9</v>
      </c>
      <c r="B57" s="526">
        <v>5476</v>
      </c>
      <c r="C57" s="527">
        <v>650046072</v>
      </c>
      <c r="D57" s="83">
        <v>71002723</v>
      </c>
      <c r="E57" s="536" t="s">
        <v>453</v>
      </c>
      <c r="F57" s="526">
        <v>3143</v>
      </c>
      <c r="G57" s="493" t="s">
        <v>634</v>
      </c>
      <c r="H57" s="493" t="s">
        <v>283</v>
      </c>
      <c r="I57" s="495">
        <v>756784</v>
      </c>
      <c r="J57" s="496">
        <v>557278</v>
      </c>
      <c r="K57" s="496">
        <v>0</v>
      </c>
      <c r="L57" s="496">
        <v>0</v>
      </c>
      <c r="M57" s="411">
        <v>188360</v>
      </c>
      <c r="N57" s="411">
        <v>11146</v>
      </c>
      <c r="O57" s="496">
        <v>0</v>
      </c>
      <c r="P57" s="497">
        <v>1.3</v>
      </c>
      <c r="Q57" s="412">
        <v>1.3</v>
      </c>
      <c r="R57" s="498">
        <v>0</v>
      </c>
      <c r="S57" s="499">
        <f t="shared" si="5"/>
        <v>0</v>
      </c>
      <c r="T57" s="486">
        <v>0</v>
      </c>
      <c r="U57" s="486">
        <v>0</v>
      </c>
      <c r="V57" s="486">
        <f t="shared" si="68"/>
        <v>0</v>
      </c>
      <c r="W57" s="486">
        <v>0</v>
      </c>
      <c r="X57" s="486">
        <v>0</v>
      </c>
      <c r="Y57" s="486">
        <f t="shared" si="69"/>
        <v>0</v>
      </c>
      <c r="Z57" s="486">
        <f t="shared" si="70"/>
        <v>0</v>
      </c>
      <c r="AA57" s="319">
        <f t="shared" si="71"/>
        <v>0</v>
      </c>
      <c r="AB57" s="178">
        <f t="shared" si="72"/>
        <v>0</v>
      </c>
      <c r="AC57" s="486">
        <v>0</v>
      </c>
      <c r="AD57" s="486">
        <v>0</v>
      </c>
      <c r="AE57" s="486">
        <f t="shared" si="0"/>
        <v>0</v>
      </c>
      <c r="AF57" s="486">
        <f t="shared" si="3"/>
        <v>0</v>
      </c>
      <c r="AG57" s="501">
        <v>0</v>
      </c>
      <c r="AH57" s="501">
        <v>0</v>
      </c>
      <c r="AI57" s="501">
        <v>0</v>
      </c>
      <c r="AJ57" s="501">
        <v>0</v>
      </c>
      <c r="AK57" s="501">
        <v>0</v>
      </c>
      <c r="AL57" s="501">
        <f t="shared" si="73"/>
        <v>0</v>
      </c>
      <c r="AM57" s="501">
        <f t="shared" si="74"/>
        <v>0</v>
      </c>
      <c r="AN57" s="502">
        <f t="shared" si="4"/>
        <v>0</v>
      </c>
      <c r="AO57" s="499">
        <f t="shared" si="75"/>
        <v>756784</v>
      </c>
      <c r="AP57" s="486">
        <f t="shared" si="76"/>
        <v>557278</v>
      </c>
      <c r="AQ57" s="486">
        <f t="shared" si="77"/>
        <v>0</v>
      </c>
      <c r="AR57" s="480">
        <f t="shared" si="78"/>
        <v>0</v>
      </c>
      <c r="AS57" s="486">
        <f t="shared" si="79"/>
        <v>188360</v>
      </c>
      <c r="AT57" s="486">
        <f t="shared" si="79"/>
        <v>11146</v>
      </c>
      <c r="AU57" s="486">
        <f t="shared" si="80"/>
        <v>0</v>
      </c>
      <c r="AV57" s="501">
        <f t="shared" si="81"/>
        <v>1.3</v>
      </c>
      <c r="AW57" s="501">
        <f t="shared" si="82"/>
        <v>1.3</v>
      </c>
      <c r="AX57" s="502">
        <f t="shared" si="82"/>
        <v>0</v>
      </c>
    </row>
    <row r="58" spans="1:50" ht="12.95" customHeight="1" x14ac:dyDescent="0.25">
      <c r="A58" s="83">
        <v>9</v>
      </c>
      <c r="B58" s="526">
        <v>5476</v>
      </c>
      <c r="C58" s="527">
        <v>650046072</v>
      </c>
      <c r="D58" s="83">
        <v>71002723</v>
      </c>
      <c r="E58" s="536" t="s">
        <v>453</v>
      </c>
      <c r="F58" s="526">
        <v>3143</v>
      </c>
      <c r="G58" s="493" t="s">
        <v>635</v>
      </c>
      <c r="H58" s="493" t="s">
        <v>284</v>
      </c>
      <c r="I58" s="495">
        <v>30898</v>
      </c>
      <c r="J58" s="496">
        <v>21780</v>
      </c>
      <c r="K58" s="496">
        <v>0</v>
      </c>
      <c r="L58" s="496">
        <v>0</v>
      </c>
      <c r="M58" s="411">
        <v>7362</v>
      </c>
      <c r="N58" s="411">
        <v>436</v>
      </c>
      <c r="O58" s="496">
        <v>1320</v>
      </c>
      <c r="P58" s="497">
        <v>0.09</v>
      </c>
      <c r="Q58" s="412">
        <v>0</v>
      </c>
      <c r="R58" s="498">
        <v>0.09</v>
      </c>
      <c r="S58" s="499">
        <f t="shared" si="5"/>
        <v>0</v>
      </c>
      <c r="T58" s="486">
        <v>0</v>
      </c>
      <c r="U58" s="486">
        <v>0</v>
      </c>
      <c r="V58" s="486">
        <f t="shared" si="68"/>
        <v>0</v>
      </c>
      <c r="W58" s="486">
        <v>0</v>
      </c>
      <c r="X58" s="486">
        <v>0</v>
      </c>
      <c r="Y58" s="486">
        <f t="shared" si="69"/>
        <v>0</v>
      </c>
      <c r="Z58" s="486">
        <f t="shared" si="70"/>
        <v>0</v>
      </c>
      <c r="AA58" s="319">
        <f t="shared" si="71"/>
        <v>0</v>
      </c>
      <c r="AB58" s="178">
        <f t="shared" si="72"/>
        <v>0</v>
      </c>
      <c r="AC58" s="486">
        <v>0</v>
      </c>
      <c r="AD58" s="486">
        <v>0</v>
      </c>
      <c r="AE58" s="486">
        <f t="shared" si="0"/>
        <v>0</v>
      </c>
      <c r="AF58" s="486">
        <f t="shared" si="3"/>
        <v>0</v>
      </c>
      <c r="AG58" s="501">
        <v>0</v>
      </c>
      <c r="AH58" s="501">
        <v>0</v>
      </c>
      <c r="AI58" s="501">
        <v>0</v>
      </c>
      <c r="AJ58" s="501">
        <v>0</v>
      </c>
      <c r="AK58" s="501">
        <v>0</v>
      </c>
      <c r="AL58" s="501">
        <f t="shared" si="73"/>
        <v>0</v>
      </c>
      <c r="AM58" s="501">
        <f t="shared" si="74"/>
        <v>0</v>
      </c>
      <c r="AN58" s="502">
        <f t="shared" si="4"/>
        <v>0</v>
      </c>
      <c r="AO58" s="499">
        <f t="shared" si="75"/>
        <v>30898</v>
      </c>
      <c r="AP58" s="486">
        <f t="shared" si="76"/>
        <v>21780</v>
      </c>
      <c r="AQ58" s="486">
        <f t="shared" si="77"/>
        <v>0</v>
      </c>
      <c r="AR58" s="480">
        <f t="shared" si="78"/>
        <v>0</v>
      </c>
      <c r="AS58" s="486">
        <f t="shared" si="79"/>
        <v>7362</v>
      </c>
      <c r="AT58" s="486">
        <f t="shared" si="79"/>
        <v>436</v>
      </c>
      <c r="AU58" s="486">
        <f t="shared" si="80"/>
        <v>1320</v>
      </c>
      <c r="AV58" s="501">
        <f t="shared" si="81"/>
        <v>0.09</v>
      </c>
      <c r="AW58" s="501">
        <f t="shared" si="82"/>
        <v>0</v>
      </c>
      <c r="AX58" s="502">
        <f t="shared" si="82"/>
        <v>0.09</v>
      </c>
    </row>
    <row r="59" spans="1:50" ht="12.95" customHeight="1" x14ac:dyDescent="0.25">
      <c r="A59" s="83">
        <v>9</v>
      </c>
      <c r="B59" s="526">
        <v>5476</v>
      </c>
      <c r="C59" s="527">
        <v>650046072</v>
      </c>
      <c r="D59" s="83">
        <v>71002723</v>
      </c>
      <c r="E59" s="536" t="s">
        <v>453</v>
      </c>
      <c r="F59" s="526">
        <v>3231</v>
      </c>
      <c r="G59" s="535" t="s">
        <v>322</v>
      </c>
      <c r="H59" s="493" t="s">
        <v>283</v>
      </c>
      <c r="I59" s="495">
        <v>6513956</v>
      </c>
      <c r="J59" s="496">
        <v>4773473</v>
      </c>
      <c r="K59" s="496">
        <v>5000</v>
      </c>
      <c r="L59" s="496">
        <v>0</v>
      </c>
      <c r="M59" s="411">
        <v>1615124</v>
      </c>
      <c r="N59" s="411">
        <v>95469</v>
      </c>
      <c r="O59" s="496">
        <v>24890</v>
      </c>
      <c r="P59" s="497">
        <v>9.4157000000000011</v>
      </c>
      <c r="Q59" s="412">
        <v>8.31</v>
      </c>
      <c r="R59" s="498">
        <v>1.1056999999999999</v>
      </c>
      <c r="S59" s="499">
        <f t="shared" si="5"/>
        <v>0</v>
      </c>
      <c r="T59" s="486">
        <v>0</v>
      </c>
      <c r="U59" s="486">
        <v>0</v>
      </c>
      <c r="V59" s="486">
        <f t="shared" si="68"/>
        <v>0</v>
      </c>
      <c r="W59" s="486">
        <v>0</v>
      </c>
      <c r="X59" s="486">
        <v>0</v>
      </c>
      <c r="Y59" s="486">
        <f t="shared" si="69"/>
        <v>0</v>
      </c>
      <c r="Z59" s="486">
        <f t="shared" si="70"/>
        <v>0</v>
      </c>
      <c r="AA59" s="319">
        <f t="shared" si="71"/>
        <v>0</v>
      </c>
      <c r="AB59" s="178">
        <f t="shared" si="72"/>
        <v>0</v>
      </c>
      <c r="AC59" s="486">
        <v>0</v>
      </c>
      <c r="AD59" s="486">
        <v>0</v>
      </c>
      <c r="AE59" s="486">
        <f t="shared" si="0"/>
        <v>0</v>
      </c>
      <c r="AF59" s="486">
        <f t="shared" si="3"/>
        <v>0</v>
      </c>
      <c r="AG59" s="501">
        <v>0</v>
      </c>
      <c r="AH59" s="501">
        <v>0</v>
      </c>
      <c r="AI59" s="501">
        <v>0</v>
      </c>
      <c r="AJ59" s="501">
        <v>0</v>
      </c>
      <c r="AK59" s="501">
        <v>0</v>
      </c>
      <c r="AL59" s="501">
        <f t="shared" si="73"/>
        <v>0</v>
      </c>
      <c r="AM59" s="501">
        <f t="shared" si="74"/>
        <v>0</v>
      </c>
      <c r="AN59" s="502">
        <f t="shared" si="4"/>
        <v>0</v>
      </c>
      <c r="AO59" s="499">
        <f t="shared" si="75"/>
        <v>6513956</v>
      </c>
      <c r="AP59" s="486">
        <f t="shared" si="76"/>
        <v>4773473</v>
      </c>
      <c r="AQ59" s="486">
        <f t="shared" si="77"/>
        <v>5000</v>
      </c>
      <c r="AR59" s="480">
        <f t="shared" si="78"/>
        <v>0</v>
      </c>
      <c r="AS59" s="486">
        <f t="shared" si="79"/>
        <v>1615124</v>
      </c>
      <c r="AT59" s="486">
        <f t="shared" si="79"/>
        <v>95469</v>
      </c>
      <c r="AU59" s="486">
        <f t="shared" si="80"/>
        <v>24890</v>
      </c>
      <c r="AV59" s="501">
        <f t="shared" si="81"/>
        <v>9.4157000000000011</v>
      </c>
      <c r="AW59" s="501">
        <f t="shared" si="82"/>
        <v>8.31</v>
      </c>
      <c r="AX59" s="502">
        <f t="shared" si="82"/>
        <v>1.1056999999999999</v>
      </c>
    </row>
    <row r="60" spans="1:50" ht="12.95" customHeight="1" x14ac:dyDescent="0.25">
      <c r="A60" s="92">
        <v>9</v>
      </c>
      <c r="B60" s="104">
        <v>5476</v>
      </c>
      <c r="C60" s="105">
        <v>650046072</v>
      </c>
      <c r="D60" s="104">
        <v>71002723</v>
      </c>
      <c r="E60" s="119" t="s">
        <v>454</v>
      </c>
      <c r="F60" s="104"/>
      <c r="G60" s="122"/>
      <c r="H60" s="123"/>
      <c r="I60" s="130">
        <v>22140645</v>
      </c>
      <c r="J60" s="87">
        <v>15986494</v>
      </c>
      <c r="K60" s="87">
        <v>77464</v>
      </c>
      <c r="L60" s="87">
        <v>17464</v>
      </c>
      <c r="M60" s="87">
        <v>5423716</v>
      </c>
      <c r="N60" s="87">
        <v>319729</v>
      </c>
      <c r="O60" s="87">
        <v>333242</v>
      </c>
      <c r="P60" s="88">
        <v>34.379600000000003</v>
      </c>
      <c r="Q60" s="88">
        <v>24.549999999999997</v>
      </c>
      <c r="R60" s="274">
        <v>9.829600000000001</v>
      </c>
      <c r="S60" s="141">
        <f t="shared" ref="S60:AN60" si="83">SUM(S53:S59)</f>
        <v>0</v>
      </c>
      <c r="T60" s="87">
        <f t="shared" si="83"/>
        <v>12896</v>
      </c>
      <c r="U60" s="87">
        <f t="shared" si="83"/>
        <v>0</v>
      </c>
      <c r="V60" s="87">
        <f t="shared" si="83"/>
        <v>12896</v>
      </c>
      <c r="W60" s="87">
        <f t="shared" si="83"/>
        <v>0</v>
      </c>
      <c r="X60" s="87">
        <f t="shared" si="83"/>
        <v>0</v>
      </c>
      <c r="Y60" s="87">
        <f t="shared" si="83"/>
        <v>0</v>
      </c>
      <c r="Z60" s="87">
        <f t="shared" si="83"/>
        <v>12896</v>
      </c>
      <c r="AA60" s="87">
        <f t="shared" si="83"/>
        <v>4359</v>
      </c>
      <c r="AB60" s="87">
        <f t="shared" si="83"/>
        <v>258</v>
      </c>
      <c r="AC60" s="87">
        <f t="shared" si="83"/>
        <v>0</v>
      </c>
      <c r="AD60" s="87">
        <f t="shared" si="83"/>
        <v>0</v>
      </c>
      <c r="AE60" s="87">
        <f t="shared" si="83"/>
        <v>0</v>
      </c>
      <c r="AF60" s="87">
        <f t="shared" si="83"/>
        <v>17513</v>
      </c>
      <c r="AG60" s="88">
        <f t="shared" si="83"/>
        <v>0</v>
      </c>
      <c r="AH60" s="88">
        <f t="shared" si="83"/>
        <v>0</v>
      </c>
      <c r="AI60" s="88">
        <f t="shared" si="83"/>
        <v>0.03</v>
      </c>
      <c r="AJ60" s="88">
        <f t="shared" si="83"/>
        <v>0</v>
      </c>
      <c r="AK60" s="88">
        <f t="shared" si="83"/>
        <v>0</v>
      </c>
      <c r="AL60" s="88">
        <f t="shared" si="83"/>
        <v>0.03</v>
      </c>
      <c r="AM60" s="88">
        <f t="shared" si="83"/>
        <v>0</v>
      </c>
      <c r="AN60" s="274">
        <f t="shared" si="83"/>
        <v>0.03</v>
      </c>
      <c r="AO60" s="141">
        <f t="shared" ref="AO60:AX60" si="84">SUM(AO53:AO59)</f>
        <v>22158158</v>
      </c>
      <c r="AP60" s="87">
        <f t="shared" si="84"/>
        <v>15999390</v>
      </c>
      <c r="AQ60" s="87">
        <f t="shared" si="84"/>
        <v>77464</v>
      </c>
      <c r="AR60" s="87">
        <f t="shared" si="84"/>
        <v>17464</v>
      </c>
      <c r="AS60" s="87">
        <f t="shared" si="84"/>
        <v>5428075</v>
      </c>
      <c r="AT60" s="87">
        <f t="shared" si="84"/>
        <v>319987</v>
      </c>
      <c r="AU60" s="87">
        <f t="shared" si="84"/>
        <v>333242</v>
      </c>
      <c r="AV60" s="88">
        <f t="shared" si="84"/>
        <v>34.409600000000005</v>
      </c>
      <c r="AW60" s="88">
        <f t="shared" si="84"/>
        <v>24.58</v>
      </c>
      <c r="AX60" s="274">
        <f t="shared" si="84"/>
        <v>9.829600000000001</v>
      </c>
    </row>
    <row r="61" spans="1:50" ht="12.95" customHeight="1" x14ac:dyDescent="0.25">
      <c r="A61" s="83">
        <v>10</v>
      </c>
      <c r="B61" s="526">
        <v>5414</v>
      </c>
      <c r="C61" s="527">
        <v>600099008</v>
      </c>
      <c r="D61" s="83">
        <v>70695555</v>
      </c>
      <c r="E61" s="536" t="s">
        <v>455</v>
      </c>
      <c r="F61" s="526">
        <v>3111</v>
      </c>
      <c r="G61" s="535" t="s">
        <v>331</v>
      </c>
      <c r="H61" s="493" t="s">
        <v>283</v>
      </c>
      <c r="I61" s="495">
        <v>1672152</v>
      </c>
      <c r="J61" s="496">
        <v>1222056</v>
      </c>
      <c r="K61" s="496">
        <v>0</v>
      </c>
      <c r="L61" s="496">
        <v>0</v>
      </c>
      <c r="M61" s="411">
        <v>413055</v>
      </c>
      <c r="N61" s="411">
        <v>24441</v>
      </c>
      <c r="O61" s="496">
        <v>12600</v>
      </c>
      <c r="P61" s="497">
        <v>2.7848999999999999</v>
      </c>
      <c r="Q61" s="412">
        <v>2</v>
      </c>
      <c r="R61" s="498">
        <v>0.78489999999999993</v>
      </c>
      <c r="S61" s="499">
        <f t="shared" si="5"/>
        <v>0</v>
      </c>
      <c r="T61" s="486">
        <v>0</v>
      </c>
      <c r="U61" s="486">
        <v>0</v>
      </c>
      <c r="V61" s="486">
        <f>SUM(S61:U61)</f>
        <v>0</v>
      </c>
      <c r="W61" s="486">
        <v>0</v>
      </c>
      <c r="X61" s="486">
        <v>0</v>
      </c>
      <c r="Y61" s="486">
        <f>SUM(W61:X61)</f>
        <v>0</v>
      </c>
      <c r="Z61" s="486">
        <f>V61+Y61</f>
        <v>0</v>
      </c>
      <c r="AA61" s="319">
        <f>ROUND((V61+W61)*33.8%,0)</f>
        <v>0</v>
      </c>
      <c r="AB61" s="178">
        <f>ROUND(V61*2%,0)</f>
        <v>0</v>
      </c>
      <c r="AC61" s="486">
        <v>0</v>
      </c>
      <c r="AD61" s="486">
        <v>0</v>
      </c>
      <c r="AE61" s="486">
        <f t="shared" si="0"/>
        <v>0</v>
      </c>
      <c r="AF61" s="486">
        <f t="shared" si="3"/>
        <v>0</v>
      </c>
      <c r="AG61" s="501">
        <v>0</v>
      </c>
      <c r="AH61" s="501">
        <v>0</v>
      </c>
      <c r="AI61" s="501">
        <v>0</v>
      </c>
      <c r="AJ61" s="501">
        <v>0</v>
      </c>
      <c r="AK61" s="501">
        <v>0</v>
      </c>
      <c r="AL61" s="501">
        <f t="shared" ref="AL61:AL62" si="85">AG61+AI61+AJ61</f>
        <v>0</v>
      </c>
      <c r="AM61" s="501">
        <f t="shared" ref="AM61:AM62" si="86">AH61+AK61</f>
        <v>0</v>
      </c>
      <c r="AN61" s="502">
        <f t="shared" si="4"/>
        <v>0</v>
      </c>
      <c r="AO61" s="499">
        <f>I61+AF61</f>
        <v>1672152</v>
      </c>
      <c r="AP61" s="486">
        <f>J61+V61</f>
        <v>1222056</v>
      </c>
      <c r="AQ61" s="486">
        <f>K61+Y61</f>
        <v>0</v>
      </c>
      <c r="AR61" s="480">
        <f>L61</f>
        <v>0</v>
      </c>
      <c r="AS61" s="486">
        <f>M61+AA61</f>
        <v>413055</v>
      </c>
      <c r="AT61" s="486">
        <f>N61+AB61</f>
        <v>24441</v>
      </c>
      <c r="AU61" s="486">
        <f>O61+AE61</f>
        <v>12600</v>
      </c>
      <c r="AV61" s="501">
        <f>P61+AN61</f>
        <v>2.7848999999999999</v>
      </c>
      <c r="AW61" s="501">
        <f>Q61+AL61</f>
        <v>2</v>
      </c>
      <c r="AX61" s="502">
        <f>R61+AM61</f>
        <v>0.78489999999999993</v>
      </c>
    </row>
    <row r="62" spans="1:50" ht="12.95" customHeight="1" x14ac:dyDescent="0.25">
      <c r="A62" s="83">
        <v>10</v>
      </c>
      <c r="B62" s="526">
        <v>5414</v>
      </c>
      <c r="C62" s="527">
        <v>600099008</v>
      </c>
      <c r="D62" s="83">
        <v>70695555</v>
      </c>
      <c r="E62" s="536" t="s">
        <v>455</v>
      </c>
      <c r="F62" s="526">
        <v>3141</v>
      </c>
      <c r="G62" s="535" t="s">
        <v>321</v>
      </c>
      <c r="H62" s="493" t="s">
        <v>284</v>
      </c>
      <c r="I62" s="495">
        <v>126643</v>
      </c>
      <c r="J62" s="496">
        <v>92753</v>
      </c>
      <c r="K62" s="496">
        <v>0</v>
      </c>
      <c r="L62" s="496">
        <v>0</v>
      </c>
      <c r="M62" s="411">
        <v>31351</v>
      </c>
      <c r="N62" s="411">
        <v>1855</v>
      </c>
      <c r="O62" s="496">
        <v>684</v>
      </c>
      <c r="P62" s="497">
        <v>0.32</v>
      </c>
      <c r="Q62" s="412">
        <v>0</v>
      </c>
      <c r="R62" s="498">
        <v>0.32</v>
      </c>
      <c r="S62" s="499">
        <f t="shared" si="5"/>
        <v>0</v>
      </c>
      <c r="T62" s="486">
        <v>0</v>
      </c>
      <c r="U62" s="486">
        <v>0</v>
      </c>
      <c r="V62" s="486">
        <f>SUM(S62:U62)</f>
        <v>0</v>
      </c>
      <c r="W62" s="486">
        <v>0</v>
      </c>
      <c r="X62" s="486">
        <v>0</v>
      </c>
      <c r="Y62" s="486">
        <f>SUM(W62:X62)</f>
        <v>0</v>
      </c>
      <c r="Z62" s="486">
        <f>V62+Y62</f>
        <v>0</v>
      </c>
      <c r="AA62" s="319">
        <f>ROUND((V62+W62)*33.8%,0)</f>
        <v>0</v>
      </c>
      <c r="AB62" s="178">
        <f>ROUND(V62*2%,0)</f>
        <v>0</v>
      </c>
      <c r="AC62" s="486">
        <v>0</v>
      </c>
      <c r="AD62" s="486">
        <v>0</v>
      </c>
      <c r="AE62" s="486">
        <f t="shared" si="0"/>
        <v>0</v>
      </c>
      <c r="AF62" s="486">
        <f t="shared" si="3"/>
        <v>0</v>
      </c>
      <c r="AG62" s="501">
        <v>0</v>
      </c>
      <c r="AH62" s="501">
        <v>0</v>
      </c>
      <c r="AI62" s="501">
        <v>0</v>
      </c>
      <c r="AJ62" s="501">
        <v>0</v>
      </c>
      <c r="AK62" s="501">
        <v>0</v>
      </c>
      <c r="AL62" s="501">
        <f t="shared" si="85"/>
        <v>0</v>
      </c>
      <c r="AM62" s="501">
        <f t="shared" si="86"/>
        <v>0</v>
      </c>
      <c r="AN62" s="502">
        <f t="shared" si="4"/>
        <v>0</v>
      </c>
      <c r="AO62" s="499">
        <f>I62+AF62</f>
        <v>126643</v>
      </c>
      <c r="AP62" s="486">
        <f>J62+V62</f>
        <v>92753</v>
      </c>
      <c r="AQ62" s="486">
        <f>K62+Y62</f>
        <v>0</v>
      </c>
      <c r="AR62" s="480">
        <f>L62</f>
        <v>0</v>
      </c>
      <c r="AS62" s="486">
        <f>M62+AA62</f>
        <v>31351</v>
      </c>
      <c r="AT62" s="486">
        <f>N62+AB62</f>
        <v>1855</v>
      </c>
      <c r="AU62" s="486">
        <f>O62+AE62</f>
        <v>684</v>
      </c>
      <c r="AV62" s="501">
        <f>P62+AN62</f>
        <v>0.32</v>
      </c>
      <c r="AW62" s="501">
        <f>Q62+AL62</f>
        <v>0</v>
      </c>
      <c r="AX62" s="502">
        <f>R62+AM62</f>
        <v>0.32</v>
      </c>
    </row>
    <row r="63" spans="1:50" ht="12.95" customHeight="1" x14ac:dyDescent="0.25">
      <c r="A63" s="117">
        <v>10</v>
      </c>
      <c r="B63" s="104">
        <v>5414</v>
      </c>
      <c r="C63" s="105">
        <v>600099008</v>
      </c>
      <c r="D63" s="104">
        <v>70695555</v>
      </c>
      <c r="E63" s="119" t="s">
        <v>456</v>
      </c>
      <c r="F63" s="104"/>
      <c r="G63" s="122"/>
      <c r="H63" s="123"/>
      <c r="I63" s="130">
        <v>1798795</v>
      </c>
      <c r="J63" s="87">
        <v>1314809</v>
      </c>
      <c r="K63" s="87">
        <v>0</v>
      </c>
      <c r="L63" s="87">
        <v>0</v>
      </c>
      <c r="M63" s="87">
        <v>444406</v>
      </c>
      <c r="N63" s="87">
        <v>26296</v>
      </c>
      <c r="O63" s="87">
        <v>13284</v>
      </c>
      <c r="P63" s="88">
        <v>3.1048999999999998</v>
      </c>
      <c r="Q63" s="88">
        <v>2</v>
      </c>
      <c r="R63" s="274">
        <v>1.1049</v>
      </c>
      <c r="S63" s="141">
        <f t="shared" ref="S63:AN63" si="87">SUM(S61:S62)</f>
        <v>0</v>
      </c>
      <c r="T63" s="87">
        <f t="shared" si="87"/>
        <v>0</v>
      </c>
      <c r="U63" s="87">
        <f t="shared" si="87"/>
        <v>0</v>
      </c>
      <c r="V63" s="87">
        <f t="shared" si="87"/>
        <v>0</v>
      </c>
      <c r="W63" s="87">
        <f t="shared" si="87"/>
        <v>0</v>
      </c>
      <c r="X63" s="87">
        <f t="shared" si="87"/>
        <v>0</v>
      </c>
      <c r="Y63" s="87">
        <f t="shared" si="87"/>
        <v>0</v>
      </c>
      <c r="Z63" s="87">
        <f t="shared" si="87"/>
        <v>0</v>
      </c>
      <c r="AA63" s="87">
        <f t="shared" si="87"/>
        <v>0</v>
      </c>
      <c r="AB63" s="87">
        <f t="shared" si="87"/>
        <v>0</v>
      </c>
      <c r="AC63" s="87">
        <f t="shared" si="87"/>
        <v>0</v>
      </c>
      <c r="AD63" s="87">
        <f t="shared" si="87"/>
        <v>0</v>
      </c>
      <c r="AE63" s="87">
        <f t="shared" si="87"/>
        <v>0</v>
      </c>
      <c r="AF63" s="87">
        <f t="shared" si="87"/>
        <v>0</v>
      </c>
      <c r="AG63" s="88">
        <f t="shared" si="87"/>
        <v>0</v>
      </c>
      <c r="AH63" s="88">
        <f t="shared" si="87"/>
        <v>0</v>
      </c>
      <c r="AI63" s="88">
        <f t="shared" si="87"/>
        <v>0</v>
      </c>
      <c r="AJ63" s="88">
        <f t="shared" si="87"/>
        <v>0</v>
      </c>
      <c r="AK63" s="88">
        <f t="shared" si="87"/>
        <v>0</v>
      </c>
      <c r="AL63" s="88">
        <f t="shared" si="87"/>
        <v>0</v>
      </c>
      <c r="AM63" s="88">
        <f t="shared" si="87"/>
        <v>0</v>
      </c>
      <c r="AN63" s="274">
        <f t="shared" si="87"/>
        <v>0</v>
      </c>
      <c r="AO63" s="141">
        <f t="shared" ref="AO63:AX63" si="88">SUM(AO61:AO62)</f>
        <v>1798795</v>
      </c>
      <c r="AP63" s="87">
        <f t="shared" si="88"/>
        <v>1314809</v>
      </c>
      <c r="AQ63" s="87">
        <f t="shared" si="88"/>
        <v>0</v>
      </c>
      <c r="AR63" s="87">
        <f t="shared" si="88"/>
        <v>0</v>
      </c>
      <c r="AS63" s="87">
        <f t="shared" si="88"/>
        <v>444406</v>
      </c>
      <c r="AT63" s="87">
        <f t="shared" si="88"/>
        <v>26296</v>
      </c>
      <c r="AU63" s="87">
        <f t="shared" si="88"/>
        <v>13284</v>
      </c>
      <c r="AV63" s="88">
        <f t="shared" si="88"/>
        <v>3.1048999999999998</v>
      </c>
      <c r="AW63" s="88">
        <f t="shared" si="88"/>
        <v>2</v>
      </c>
      <c r="AX63" s="274">
        <f t="shared" si="88"/>
        <v>1.1049</v>
      </c>
    </row>
    <row r="64" spans="1:50" ht="12.95" customHeight="1" x14ac:dyDescent="0.25">
      <c r="A64" s="83">
        <v>11</v>
      </c>
      <c r="B64" s="526">
        <v>5483</v>
      </c>
      <c r="C64" s="527">
        <v>600098460</v>
      </c>
      <c r="D64" s="83">
        <v>72745207</v>
      </c>
      <c r="E64" s="536" t="s">
        <v>457</v>
      </c>
      <c r="F64" s="526">
        <v>3111</v>
      </c>
      <c r="G64" s="535" t="s">
        <v>331</v>
      </c>
      <c r="H64" s="493" t="s">
        <v>283</v>
      </c>
      <c r="I64" s="495">
        <v>1831110</v>
      </c>
      <c r="J64" s="496">
        <v>1262975</v>
      </c>
      <c r="K64" s="496">
        <v>75180</v>
      </c>
      <c r="L64" s="496">
        <v>0</v>
      </c>
      <c r="M64" s="411">
        <v>452296</v>
      </c>
      <c r="N64" s="411">
        <v>25259</v>
      </c>
      <c r="O64" s="496">
        <v>15400</v>
      </c>
      <c r="P64" s="497">
        <v>2.9567000000000005</v>
      </c>
      <c r="Q64" s="412">
        <v>2.1718000000000002</v>
      </c>
      <c r="R64" s="498">
        <v>0.78489999999999993</v>
      </c>
      <c r="S64" s="499">
        <f t="shared" si="5"/>
        <v>0</v>
      </c>
      <c r="T64" s="486">
        <v>0</v>
      </c>
      <c r="U64" s="486">
        <v>0</v>
      </c>
      <c r="V64" s="486">
        <f>SUM(S64:U64)</f>
        <v>0</v>
      </c>
      <c r="W64" s="486">
        <v>0</v>
      </c>
      <c r="X64" s="486">
        <v>0</v>
      </c>
      <c r="Y64" s="486">
        <f>SUM(W64:X64)</f>
        <v>0</v>
      </c>
      <c r="Z64" s="486">
        <f>V64+Y64</f>
        <v>0</v>
      </c>
      <c r="AA64" s="319">
        <f>ROUND((V64+W64)*33.8%,0)</f>
        <v>0</v>
      </c>
      <c r="AB64" s="178">
        <f>ROUND(V64*2%,0)</f>
        <v>0</v>
      </c>
      <c r="AC64" s="486">
        <v>0</v>
      </c>
      <c r="AD64" s="486">
        <v>0</v>
      </c>
      <c r="AE64" s="486">
        <f t="shared" si="0"/>
        <v>0</v>
      </c>
      <c r="AF64" s="486">
        <f t="shared" si="3"/>
        <v>0</v>
      </c>
      <c r="AG64" s="501">
        <v>0</v>
      </c>
      <c r="AH64" s="501">
        <v>0</v>
      </c>
      <c r="AI64" s="501">
        <v>0</v>
      </c>
      <c r="AJ64" s="501">
        <v>0</v>
      </c>
      <c r="AK64" s="501">
        <v>0</v>
      </c>
      <c r="AL64" s="501">
        <f t="shared" ref="AL64:AL66" si="89">AG64+AI64+AJ64</f>
        <v>0</v>
      </c>
      <c r="AM64" s="501">
        <f t="shared" ref="AM64:AM66" si="90">AH64+AK64</f>
        <v>0</v>
      </c>
      <c r="AN64" s="502">
        <f t="shared" si="4"/>
        <v>0</v>
      </c>
      <c r="AO64" s="499">
        <f>I64+AF64</f>
        <v>1831110</v>
      </c>
      <c r="AP64" s="486">
        <f>J64+V64</f>
        <v>1262975</v>
      </c>
      <c r="AQ64" s="486">
        <f>K64+Y64</f>
        <v>75180</v>
      </c>
      <c r="AR64" s="480">
        <f>L64</f>
        <v>0</v>
      </c>
      <c r="AS64" s="486">
        <f t="shared" ref="AS64:AT66" si="91">M64+AA64</f>
        <v>452296</v>
      </c>
      <c r="AT64" s="486">
        <f t="shared" si="91"/>
        <v>25259</v>
      </c>
      <c r="AU64" s="486">
        <f>O64+AE64</f>
        <v>15400</v>
      </c>
      <c r="AV64" s="501">
        <f>P64+AN64</f>
        <v>2.9567000000000005</v>
      </c>
      <c r="AW64" s="501">
        <f t="shared" ref="AW64:AX66" si="92">Q64+AL64</f>
        <v>2.1718000000000002</v>
      </c>
      <c r="AX64" s="502">
        <f t="shared" si="92"/>
        <v>0.78489999999999993</v>
      </c>
    </row>
    <row r="65" spans="1:50" ht="12.95" customHeight="1" x14ac:dyDescent="0.25">
      <c r="A65" s="83">
        <v>11</v>
      </c>
      <c r="B65" s="526">
        <v>5483</v>
      </c>
      <c r="C65" s="527">
        <v>600098460</v>
      </c>
      <c r="D65" s="83">
        <v>72745207</v>
      </c>
      <c r="E65" s="536" t="s">
        <v>457</v>
      </c>
      <c r="F65" s="526">
        <v>3111</v>
      </c>
      <c r="G65" s="493" t="s">
        <v>318</v>
      </c>
      <c r="H65" s="493" t="s">
        <v>284</v>
      </c>
      <c r="I65" s="495">
        <v>0</v>
      </c>
      <c r="J65" s="496">
        <v>0</v>
      </c>
      <c r="K65" s="496">
        <v>0</v>
      </c>
      <c r="L65" s="496">
        <v>0</v>
      </c>
      <c r="M65" s="411">
        <v>0</v>
      </c>
      <c r="N65" s="411">
        <v>0</v>
      </c>
      <c r="O65" s="496">
        <v>0</v>
      </c>
      <c r="P65" s="497">
        <v>0</v>
      </c>
      <c r="Q65" s="412">
        <v>0</v>
      </c>
      <c r="R65" s="498">
        <v>0</v>
      </c>
      <c r="S65" s="499">
        <f t="shared" si="5"/>
        <v>0</v>
      </c>
      <c r="T65" s="486">
        <v>0</v>
      </c>
      <c r="U65" s="486">
        <v>0</v>
      </c>
      <c r="V65" s="486">
        <f>SUM(S65:U65)</f>
        <v>0</v>
      </c>
      <c r="W65" s="486">
        <v>0</v>
      </c>
      <c r="X65" s="486">
        <v>0</v>
      </c>
      <c r="Y65" s="486">
        <f>SUM(W65:X65)</f>
        <v>0</v>
      </c>
      <c r="Z65" s="486">
        <f>V65+Y65</f>
        <v>0</v>
      </c>
      <c r="AA65" s="319">
        <f>ROUND((V65+W65)*33.8%,0)</f>
        <v>0</v>
      </c>
      <c r="AB65" s="178">
        <f>ROUND(V65*2%,0)</f>
        <v>0</v>
      </c>
      <c r="AC65" s="486">
        <v>0</v>
      </c>
      <c r="AD65" s="486">
        <v>0</v>
      </c>
      <c r="AE65" s="486">
        <f t="shared" si="0"/>
        <v>0</v>
      </c>
      <c r="AF65" s="486">
        <f t="shared" si="3"/>
        <v>0</v>
      </c>
      <c r="AG65" s="501">
        <v>0</v>
      </c>
      <c r="AH65" s="501">
        <v>0</v>
      </c>
      <c r="AI65" s="501">
        <v>0</v>
      </c>
      <c r="AJ65" s="501">
        <v>0</v>
      </c>
      <c r="AK65" s="501">
        <v>0</v>
      </c>
      <c r="AL65" s="501">
        <f t="shared" si="89"/>
        <v>0</v>
      </c>
      <c r="AM65" s="501">
        <f t="shared" si="90"/>
        <v>0</v>
      </c>
      <c r="AN65" s="502">
        <f t="shared" si="4"/>
        <v>0</v>
      </c>
      <c r="AO65" s="499">
        <f>I65+AF65</f>
        <v>0</v>
      </c>
      <c r="AP65" s="486">
        <f>J65+V65</f>
        <v>0</v>
      </c>
      <c r="AQ65" s="486">
        <f>K65+Y65</f>
        <v>0</v>
      </c>
      <c r="AR65" s="480">
        <f>L65</f>
        <v>0</v>
      </c>
      <c r="AS65" s="486">
        <f t="shared" si="91"/>
        <v>0</v>
      </c>
      <c r="AT65" s="486">
        <f t="shared" si="91"/>
        <v>0</v>
      </c>
      <c r="AU65" s="486">
        <f>O65+AE65</f>
        <v>0</v>
      </c>
      <c r="AV65" s="501">
        <f>P65+AN65</f>
        <v>0</v>
      </c>
      <c r="AW65" s="501">
        <f t="shared" si="92"/>
        <v>0</v>
      </c>
      <c r="AX65" s="502">
        <f t="shared" si="92"/>
        <v>0</v>
      </c>
    </row>
    <row r="66" spans="1:50" ht="12.95" customHeight="1" x14ac:dyDescent="0.25">
      <c r="A66" s="83">
        <v>11</v>
      </c>
      <c r="B66" s="526">
        <v>5483</v>
      </c>
      <c r="C66" s="527">
        <v>600098460</v>
      </c>
      <c r="D66" s="83">
        <v>72745207</v>
      </c>
      <c r="E66" s="536" t="s">
        <v>457</v>
      </c>
      <c r="F66" s="526">
        <v>3141</v>
      </c>
      <c r="G66" s="535" t="s">
        <v>321</v>
      </c>
      <c r="H66" s="493" t="s">
        <v>284</v>
      </c>
      <c r="I66" s="495">
        <v>358543</v>
      </c>
      <c r="J66" s="496">
        <v>263084</v>
      </c>
      <c r="K66" s="496">
        <v>0</v>
      </c>
      <c r="L66" s="496">
        <v>0</v>
      </c>
      <c r="M66" s="411">
        <v>88922</v>
      </c>
      <c r="N66" s="411">
        <v>5261</v>
      </c>
      <c r="O66" s="496">
        <v>1276</v>
      </c>
      <c r="P66" s="497">
        <v>0.89</v>
      </c>
      <c r="Q66" s="412">
        <v>0</v>
      </c>
      <c r="R66" s="498">
        <v>0.89</v>
      </c>
      <c r="S66" s="499">
        <f t="shared" si="5"/>
        <v>0</v>
      </c>
      <c r="T66" s="486">
        <v>0</v>
      </c>
      <c r="U66" s="486">
        <v>0</v>
      </c>
      <c r="V66" s="486">
        <f>SUM(S66:U66)</f>
        <v>0</v>
      </c>
      <c r="W66" s="486">
        <v>0</v>
      </c>
      <c r="X66" s="486">
        <v>0</v>
      </c>
      <c r="Y66" s="486">
        <f>SUM(W66:X66)</f>
        <v>0</v>
      </c>
      <c r="Z66" s="486">
        <f>V66+Y66</f>
        <v>0</v>
      </c>
      <c r="AA66" s="319">
        <f>ROUND((V66+W66)*33.8%,0)</f>
        <v>0</v>
      </c>
      <c r="AB66" s="178">
        <f>ROUND(V66*2%,0)</f>
        <v>0</v>
      </c>
      <c r="AC66" s="486">
        <v>0</v>
      </c>
      <c r="AD66" s="486">
        <v>0</v>
      </c>
      <c r="AE66" s="486">
        <f t="shared" si="0"/>
        <v>0</v>
      </c>
      <c r="AF66" s="486">
        <f t="shared" si="3"/>
        <v>0</v>
      </c>
      <c r="AG66" s="501">
        <v>0</v>
      </c>
      <c r="AH66" s="501">
        <v>0</v>
      </c>
      <c r="AI66" s="501">
        <v>0</v>
      </c>
      <c r="AJ66" s="501">
        <v>0</v>
      </c>
      <c r="AK66" s="501">
        <v>0</v>
      </c>
      <c r="AL66" s="501">
        <f t="shared" si="89"/>
        <v>0</v>
      </c>
      <c r="AM66" s="501">
        <f t="shared" si="90"/>
        <v>0</v>
      </c>
      <c r="AN66" s="502">
        <f t="shared" si="4"/>
        <v>0</v>
      </c>
      <c r="AO66" s="499">
        <f>I66+AF66</f>
        <v>358543</v>
      </c>
      <c r="AP66" s="486">
        <f>J66+V66</f>
        <v>263084</v>
      </c>
      <c r="AQ66" s="486">
        <f>K66+Y66</f>
        <v>0</v>
      </c>
      <c r="AR66" s="480">
        <f>L66</f>
        <v>0</v>
      </c>
      <c r="AS66" s="486">
        <f t="shared" si="91"/>
        <v>88922</v>
      </c>
      <c r="AT66" s="486">
        <f t="shared" si="91"/>
        <v>5261</v>
      </c>
      <c r="AU66" s="486">
        <f>O66+AE66</f>
        <v>1276</v>
      </c>
      <c r="AV66" s="501">
        <f>P66+AN66</f>
        <v>0.89</v>
      </c>
      <c r="AW66" s="501">
        <f t="shared" si="92"/>
        <v>0</v>
      </c>
      <c r="AX66" s="502">
        <f t="shared" si="92"/>
        <v>0.89</v>
      </c>
    </row>
    <row r="67" spans="1:50" ht="12.95" customHeight="1" x14ac:dyDescent="0.25">
      <c r="A67" s="92">
        <v>11</v>
      </c>
      <c r="B67" s="104">
        <v>5483</v>
      </c>
      <c r="C67" s="105">
        <v>600098460</v>
      </c>
      <c r="D67" s="104">
        <v>72745207</v>
      </c>
      <c r="E67" s="119" t="s">
        <v>458</v>
      </c>
      <c r="F67" s="104"/>
      <c r="G67" s="122"/>
      <c r="H67" s="123"/>
      <c r="I67" s="130">
        <v>2189653</v>
      </c>
      <c r="J67" s="87">
        <v>1526059</v>
      </c>
      <c r="K67" s="87">
        <v>75180</v>
      </c>
      <c r="L67" s="87">
        <v>0</v>
      </c>
      <c r="M67" s="87">
        <v>541218</v>
      </c>
      <c r="N67" s="87">
        <v>30520</v>
      </c>
      <c r="O67" s="87">
        <v>16676</v>
      </c>
      <c r="P67" s="88">
        <v>3.8467000000000007</v>
      </c>
      <c r="Q67" s="88">
        <v>2.1718000000000002</v>
      </c>
      <c r="R67" s="274">
        <v>1.6749000000000001</v>
      </c>
      <c r="S67" s="141">
        <f t="shared" ref="S67:AN67" si="93">SUM(S64:S66)</f>
        <v>0</v>
      </c>
      <c r="T67" s="87">
        <f t="shared" si="93"/>
        <v>0</v>
      </c>
      <c r="U67" s="87">
        <f t="shared" si="93"/>
        <v>0</v>
      </c>
      <c r="V67" s="87">
        <f t="shared" si="93"/>
        <v>0</v>
      </c>
      <c r="W67" s="87">
        <f t="shared" si="93"/>
        <v>0</v>
      </c>
      <c r="X67" s="87">
        <f t="shared" si="93"/>
        <v>0</v>
      </c>
      <c r="Y67" s="87">
        <f t="shared" si="93"/>
        <v>0</v>
      </c>
      <c r="Z67" s="87">
        <f t="shared" si="93"/>
        <v>0</v>
      </c>
      <c r="AA67" s="87">
        <f t="shared" si="93"/>
        <v>0</v>
      </c>
      <c r="AB67" s="87">
        <f t="shared" si="93"/>
        <v>0</v>
      </c>
      <c r="AC67" s="87">
        <f t="shared" si="93"/>
        <v>0</v>
      </c>
      <c r="AD67" s="87">
        <f t="shared" si="93"/>
        <v>0</v>
      </c>
      <c r="AE67" s="87">
        <f t="shared" si="93"/>
        <v>0</v>
      </c>
      <c r="AF67" s="87">
        <f t="shared" si="93"/>
        <v>0</v>
      </c>
      <c r="AG67" s="88">
        <f t="shared" si="93"/>
        <v>0</v>
      </c>
      <c r="AH67" s="88">
        <f t="shared" si="93"/>
        <v>0</v>
      </c>
      <c r="AI67" s="88">
        <f t="shared" si="93"/>
        <v>0</v>
      </c>
      <c r="AJ67" s="88">
        <f t="shared" si="93"/>
        <v>0</v>
      </c>
      <c r="AK67" s="88">
        <f t="shared" si="93"/>
        <v>0</v>
      </c>
      <c r="AL67" s="88">
        <f t="shared" si="93"/>
        <v>0</v>
      </c>
      <c r="AM67" s="88">
        <f t="shared" si="93"/>
        <v>0</v>
      </c>
      <c r="AN67" s="274">
        <f t="shared" si="93"/>
        <v>0</v>
      </c>
      <c r="AO67" s="141">
        <f t="shared" ref="AO67:AX67" si="94">SUM(AO64:AO66)</f>
        <v>2189653</v>
      </c>
      <c r="AP67" s="87">
        <f t="shared" si="94"/>
        <v>1526059</v>
      </c>
      <c r="AQ67" s="87">
        <f t="shared" si="94"/>
        <v>75180</v>
      </c>
      <c r="AR67" s="87">
        <f t="shared" si="94"/>
        <v>0</v>
      </c>
      <c r="AS67" s="87">
        <f t="shared" si="94"/>
        <v>541218</v>
      </c>
      <c r="AT67" s="87">
        <f t="shared" si="94"/>
        <v>30520</v>
      </c>
      <c r="AU67" s="87">
        <f t="shared" si="94"/>
        <v>16676</v>
      </c>
      <c r="AV67" s="88">
        <f t="shared" si="94"/>
        <v>3.8467000000000007</v>
      </c>
      <c r="AW67" s="88">
        <f t="shared" si="94"/>
        <v>2.1718000000000002</v>
      </c>
      <c r="AX67" s="274">
        <f t="shared" si="94"/>
        <v>1.6749000000000001</v>
      </c>
    </row>
    <row r="68" spans="1:50" ht="12.95" customHeight="1" x14ac:dyDescent="0.25">
      <c r="A68" s="83">
        <v>12</v>
      </c>
      <c r="B68" s="526">
        <v>5430</v>
      </c>
      <c r="C68" s="527">
        <v>650026144</v>
      </c>
      <c r="D68" s="83">
        <v>70695148</v>
      </c>
      <c r="E68" s="536" t="s">
        <v>459</v>
      </c>
      <c r="F68" s="526">
        <v>3111</v>
      </c>
      <c r="G68" s="535" t="s">
        <v>331</v>
      </c>
      <c r="H68" s="493" t="s">
        <v>283</v>
      </c>
      <c r="I68" s="495">
        <v>2111656</v>
      </c>
      <c r="J68" s="496">
        <v>1541058</v>
      </c>
      <c r="K68" s="496">
        <v>0</v>
      </c>
      <c r="L68" s="496">
        <v>0</v>
      </c>
      <c r="M68" s="411">
        <v>520877</v>
      </c>
      <c r="N68" s="411">
        <v>30821</v>
      </c>
      <c r="O68" s="496">
        <v>18900</v>
      </c>
      <c r="P68" s="497">
        <v>3.9218000000000002</v>
      </c>
      <c r="Q68" s="412">
        <v>3</v>
      </c>
      <c r="R68" s="498">
        <v>0.92179999999999995</v>
      </c>
      <c r="S68" s="499">
        <f t="shared" si="5"/>
        <v>0</v>
      </c>
      <c r="T68" s="486">
        <v>0</v>
      </c>
      <c r="U68" s="486">
        <v>0</v>
      </c>
      <c r="V68" s="486">
        <f t="shared" ref="V68:V73" si="95">SUM(S68:U68)</f>
        <v>0</v>
      </c>
      <c r="W68" s="486">
        <v>0</v>
      </c>
      <c r="X68" s="486">
        <v>0</v>
      </c>
      <c r="Y68" s="486">
        <f t="shared" ref="Y68:Y73" si="96">SUM(W68:X68)</f>
        <v>0</v>
      </c>
      <c r="Z68" s="486">
        <f t="shared" ref="Z68:Z73" si="97">V68+Y68</f>
        <v>0</v>
      </c>
      <c r="AA68" s="319">
        <f t="shared" ref="AA68:AA73" si="98">ROUND((V68+W68)*33.8%,0)</f>
        <v>0</v>
      </c>
      <c r="AB68" s="178">
        <f t="shared" ref="AB68:AB73" si="99">ROUND(V68*2%,0)</f>
        <v>0</v>
      </c>
      <c r="AC68" s="486">
        <v>0</v>
      </c>
      <c r="AD68" s="486">
        <v>0</v>
      </c>
      <c r="AE68" s="486">
        <f t="shared" si="0"/>
        <v>0</v>
      </c>
      <c r="AF68" s="486">
        <f t="shared" si="3"/>
        <v>0</v>
      </c>
      <c r="AG68" s="501">
        <v>0</v>
      </c>
      <c r="AH68" s="501">
        <v>0</v>
      </c>
      <c r="AI68" s="501">
        <v>0</v>
      </c>
      <c r="AJ68" s="501">
        <v>0</v>
      </c>
      <c r="AK68" s="501">
        <v>0</v>
      </c>
      <c r="AL68" s="501">
        <f t="shared" ref="AL68:AL73" si="100">AG68+AI68+AJ68</f>
        <v>0</v>
      </c>
      <c r="AM68" s="501">
        <f t="shared" ref="AM68:AM73" si="101">AH68+AK68</f>
        <v>0</v>
      </c>
      <c r="AN68" s="502">
        <f t="shared" si="4"/>
        <v>0</v>
      </c>
      <c r="AO68" s="499">
        <f t="shared" ref="AO68:AO73" si="102">I68+AF68</f>
        <v>2111656</v>
      </c>
      <c r="AP68" s="486">
        <f t="shared" ref="AP68:AP73" si="103">J68+V68</f>
        <v>1541058</v>
      </c>
      <c r="AQ68" s="486">
        <f t="shared" ref="AQ68:AQ73" si="104">K68+Y68</f>
        <v>0</v>
      </c>
      <c r="AR68" s="480">
        <f t="shared" ref="AR68:AR73" si="105">L68</f>
        <v>0</v>
      </c>
      <c r="AS68" s="486">
        <f t="shared" ref="AS68:AT73" si="106">M68+AA68</f>
        <v>520877</v>
      </c>
      <c r="AT68" s="486">
        <f t="shared" si="106"/>
        <v>30821</v>
      </c>
      <c r="AU68" s="486">
        <f t="shared" ref="AU68:AU73" si="107">O68+AE68</f>
        <v>18900</v>
      </c>
      <c r="AV68" s="501">
        <f t="shared" ref="AV68:AV73" si="108">P68+AN68</f>
        <v>3.9218000000000002</v>
      </c>
      <c r="AW68" s="501">
        <f t="shared" ref="AW68:AX73" si="109">Q68+AL68</f>
        <v>3</v>
      </c>
      <c r="AX68" s="502">
        <f t="shared" si="109"/>
        <v>0.92179999999999995</v>
      </c>
    </row>
    <row r="69" spans="1:50" ht="12.95" customHeight="1" x14ac:dyDescent="0.25">
      <c r="A69" s="83">
        <v>12</v>
      </c>
      <c r="B69" s="526">
        <v>5430</v>
      </c>
      <c r="C69" s="527">
        <v>650026144</v>
      </c>
      <c r="D69" s="83">
        <v>70695148</v>
      </c>
      <c r="E69" s="536" t="s">
        <v>459</v>
      </c>
      <c r="F69" s="526">
        <v>3117</v>
      </c>
      <c r="G69" s="535" t="s">
        <v>335</v>
      </c>
      <c r="H69" s="493" t="s">
        <v>283</v>
      </c>
      <c r="I69" s="495">
        <v>3227518</v>
      </c>
      <c r="J69" s="496">
        <v>2316399</v>
      </c>
      <c r="K69" s="496">
        <v>3848</v>
      </c>
      <c r="L69" s="496">
        <v>3848</v>
      </c>
      <c r="M69" s="411">
        <v>782943</v>
      </c>
      <c r="N69" s="411">
        <v>46328</v>
      </c>
      <c r="O69" s="496">
        <v>78000</v>
      </c>
      <c r="P69" s="497">
        <v>4.7325999999999997</v>
      </c>
      <c r="Q69" s="412">
        <v>2.9091</v>
      </c>
      <c r="R69" s="498">
        <v>1.8234999999999999</v>
      </c>
      <c r="S69" s="499">
        <f t="shared" si="5"/>
        <v>0</v>
      </c>
      <c r="T69" s="486">
        <v>0</v>
      </c>
      <c r="U69" s="486">
        <v>0</v>
      </c>
      <c r="V69" s="486">
        <f t="shared" si="95"/>
        <v>0</v>
      </c>
      <c r="W69" s="486">
        <v>0</v>
      </c>
      <c r="X69" s="486">
        <v>0</v>
      </c>
      <c r="Y69" s="486">
        <f t="shared" si="96"/>
        <v>0</v>
      </c>
      <c r="Z69" s="486">
        <f t="shared" si="97"/>
        <v>0</v>
      </c>
      <c r="AA69" s="319">
        <f t="shared" si="98"/>
        <v>0</v>
      </c>
      <c r="AB69" s="178">
        <f t="shared" si="99"/>
        <v>0</v>
      </c>
      <c r="AC69" s="486">
        <v>0</v>
      </c>
      <c r="AD69" s="486">
        <v>0</v>
      </c>
      <c r="AE69" s="486">
        <f t="shared" si="0"/>
        <v>0</v>
      </c>
      <c r="AF69" s="486">
        <f t="shared" si="3"/>
        <v>0</v>
      </c>
      <c r="AG69" s="501">
        <v>0</v>
      </c>
      <c r="AH69" s="501">
        <v>0</v>
      </c>
      <c r="AI69" s="501">
        <v>0</v>
      </c>
      <c r="AJ69" s="501">
        <v>0</v>
      </c>
      <c r="AK69" s="501">
        <v>0</v>
      </c>
      <c r="AL69" s="501">
        <f t="shared" si="100"/>
        <v>0</v>
      </c>
      <c r="AM69" s="501">
        <f t="shared" si="101"/>
        <v>0</v>
      </c>
      <c r="AN69" s="502">
        <f t="shared" si="4"/>
        <v>0</v>
      </c>
      <c r="AO69" s="499">
        <f t="shared" si="102"/>
        <v>3227518</v>
      </c>
      <c r="AP69" s="486">
        <f t="shared" si="103"/>
        <v>2316399</v>
      </c>
      <c r="AQ69" s="486">
        <f t="shared" si="104"/>
        <v>3848</v>
      </c>
      <c r="AR69" s="480">
        <f t="shared" si="105"/>
        <v>3848</v>
      </c>
      <c r="AS69" s="486">
        <f t="shared" si="106"/>
        <v>782943</v>
      </c>
      <c r="AT69" s="486">
        <f t="shared" si="106"/>
        <v>46328</v>
      </c>
      <c r="AU69" s="486">
        <f t="shared" si="107"/>
        <v>78000</v>
      </c>
      <c r="AV69" s="501">
        <f t="shared" si="108"/>
        <v>4.7325999999999997</v>
      </c>
      <c r="AW69" s="501">
        <f t="shared" si="109"/>
        <v>2.9091</v>
      </c>
      <c r="AX69" s="502">
        <f t="shared" si="109"/>
        <v>1.8234999999999999</v>
      </c>
    </row>
    <row r="70" spans="1:50" ht="12.95" customHeight="1" x14ac:dyDescent="0.25">
      <c r="A70" s="83">
        <v>12</v>
      </c>
      <c r="B70" s="526">
        <v>5430</v>
      </c>
      <c r="C70" s="527">
        <v>650026144</v>
      </c>
      <c r="D70" s="83">
        <v>70695148</v>
      </c>
      <c r="E70" s="536" t="s">
        <v>459</v>
      </c>
      <c r="F70" s="526">
        <v>3117</v>
      </c>
      <c r="G70" s="493" t="s">
        <v>318</v>
      </c>
      <c r="H70" s="493" t="s">
        <v>284</v>
      </c>
      <c r="I70" s="495">
        <v>328715</v>
      </c>
      <c r="J70" s="496">
        <v>241542</v>
      </c>
      <c r="K70" s="496">
        <v>0</v>
      </c>
      <c r="L70" s="496">
        <v>0</v>
      </c>
      <c r="M70" s="411">
        <v>81642</v>
      </c>
      <c r="N70" s="411">
        <v>4831</v>
      </c>
      <c r="O70" s="496">
        <v>700</v>
      </c>
      <c r="P70" s="497">
        <v>0.69</v>
      </c>
      <c r="Q70" s="412">
        <v>0.69</v>
      </c>
      <c r="R70" s="498">
        <v>0</v>
      </c>
      <c r="S70" s="499">
        <f t="shared" si="5"/>
        <v>0</v>
      </c>
      <c r="T70" s="486">
        <v>1890</v>
      </c>
      <c r="U70" s="486">
        <v>0</v>
      </c>
      <c r="V70" s="486">
        <f t="shared" si="95"/>
        <v>1890</v>
      </c>
      <c r="W70" s="486">
        <v>0</v>
      </c>
      <c r="X70" s="486">
        <v>0</v>
      </c>
      <c r="Y70" s="486">
        <f t="shared" si="96"/>
        <v>0</v>
      </c>
      <c r="Z70" s="486">
        <f t="shared" si="97"/>
        <v>1890</v>
      </c>
      <c r="AA70" s="319">
        <f t="shared" si="98"/>
        <v>639</v>
      </c>
      <c r="AB70" s="178">
        <f t="shared" si="99"/>
        <v>38</v>
      </c>
      <c r="AC70" s="486">
        <v>0</v>
      </c>
      <c r="AD70" s="486">
        <v>0</v>
      </c>
      <c r="AE70" s="486">
        <f t="shared" si="0"/>
        <v>0</v>
      </c>
      <c r="AF70" s="486">
        <f t="shared" si="3"/>
        <v>2567</v>
      </c>
      <c r="AG70" s="501">
        <v>0</v>
      </c>
      <c r="AH70" s="501">
        <v>0</v>
      </c>
      <c r="AI70" s="501">
        <v>0</v>
      </c>
      <c r="AJ70" s="501">
        <v>0</v>
      </c>
      <c r="AK70" s="501">
        <v>0</v>
      </c>
      <c r="AL70" s="501">
        <f t="shared" si="100"/>
        <v>0</v>
      </c>
      <c r="AM70" s="501">
        <f t="shared" si="101"/>
        <v>0</v>
      </c>
      <c r="AN70" s="502">
        <f t="shared" si="4"/>
        <v>0</v>
      </c>
      <c r="AO70" s="499">
        <f t="shared" si="102"/>
        <v>331282</v>
      </c>
      <c r="AP70" s="486">
        <f t="shared" si="103"/>
        <v>243432</v>
      </c>
      <c r="AQ70" s="486">
        <f t="shared" si="104"/>
        <v>0</v>
      </c>
      <c r="AR70" s="480">
        <f t="shared" si="105"/>
        <v>0</v>
      </c>
      <c r="AS70" s="486">
        <f t="shared" si="106"/>
        <v>82281</v>
      </c>
      <c r="AT70" s="486">
        <f t="shared" si="106"/>
        <v>4869</v>
      </c>
      <c r="AU70" s="486">
        <f t="shared" si="107"/>
        <v>700</v>
      </c>
      <c r="AV70" s="501">
        <f t="shared" si="108"/>
        <v>0.69</v>
      </c>
      <c r="AW70" s="501">
        <f t="shared" si="109"/>
        <v>0.69</v>
      </c>
      <c r="AX70" s="502">
        <f t="shared" si="109"/>
        <v>0</v>
      </c>
    </row>
    <row r="71" spans="1:50" ht="12.95" customHeight="1" x14ac:dyDescent="0.25">
      <c r="A71" s="83">
        <v>12</v>
      </c>
      <c r="B71" s="83">
        <v>5430</v>
      </c>
      <c r="C71" s="107">
        <v>650026144</v>
      </c>
      <c r="D71" s="83">
        <v>70695148</v>
      </c>
      <c r="E71" s="492" t="s">
        <v>459</v>
      </c>
      <c r="F71" s="83">
        <v>3141</v>
      </c>
      <c r="G71" s="535" t="s">
        <v>321</v>
      </c>
      <c r="H71" s="493" t="s">
        <v>284</v>
      </c>
      <c r="I71" s="495">
        <v>709061</v>
      </c>
      <c r="J71" s="496">
        <v>519872</v>
      </c>
      <c r="K71" s="496">
        <v>0</v>
      </c>
      <c r="L71" s="496">
        <v>0</v>
      </c>
      <c r="M71" s="411">
        <v>175717</v>
      </c>
      <c r="N71" s="411">
        <v>10398</v>
      </c>
      <c r="O71" s="496">
        <v>3074</v>
      </c>
      <c r="P71" s="497">
        <v>1.77</v>
      </c>
      <c r="Q71" s="412">
        <v>0</v>
      </c>
      <c r="R71" s="498">
        <v>1.77</v>
      </c>
      <c r="S71" s="499">
        <f t="shared" si="5"/>
        <v>0</v>
      </c>
      <c r="T71" s="486">
        <v>0</v>
      </c>
      <c r="U71" s="486">
        <v>0</v>
      </c>
      <c r="V71" s="486">
        <f t="shared" si="95"/>
        <v>0</v>
      </c>
      <c r="W71" s="486">
        <v>0</v>
      </c>
      <c r="X71" s="486">
        <v>0</v>
      </c>
      <c r="Y71" s="486">
        <f t="shared" si="96"/>
        <v>0</v>
      </c>
      <c r="Z71" s="486">
        <f t="shared" si="97"/>
        <v>0</v>
      </c>
      <c r="AA71" s="319">
        <f t="shared" si="98"/>
        <v>0</v>
      </c>
      <c r="AB71" s="178">
        <f t="shared" si="99"/>
        <v>0</v>
      </c>
      <c r="AC71" s="486">
        <v>0</v>
      </c>
      <c r="AD71" s="486">
        <v>0</v>
      </c>
      <c r="AE71" s="486">
        <f t="shared" si="0"/>
        <v>0</v>
      </c>
      <c r="AF71" s="486">
        <f t="shared" si="3"/>
        <v>0</v>
      </c>
      <c r="AG71" s="501">
        <v>0</v>
      </c>
      <c r="AH71" s="501">
        <v>0</v>
      </c>
      <c r="AI71" s="501">
        <v>0</v>
      </c>
      <c r="AJ71" s="501">
        <v>0</v>
      </c>
      <c r="AK71" s="501">
        <v>0</v>
      </c>
      <c r="AL71" s="501">
        <f t="shared" si="100"/>
        <v>0</v>
      </c>
      <c r="AM71" s="501">
        <f t="shared" si="101"/>
        <v>0</v>
      </c>
      <c r="AN71" s="502">
        <f t="shared" si="4"/>
        <v>0</v>
      </c>
      <c r="AO71" s="499">
        <f t="shared" si="102"/>
        <v>709061</v>
      </c>
      <c r="AP71" s="486">
        <f t="shared" si="103"/>
        <v>519872</v>
      </c>
      <c r="AQ71" s="486">
        <f t="shared" si="104"/>
        <v>0</v>
      </c>
      <c r="AR71" s="480">
        <f t="shared" si="105"/>
        <v>0</v>
      </c>
      <c r="AS71" s="486">
        <f t="shared" si="106"/>
        <v>175717</v>
      </c>
      <c r="AT71" s="486">
        <f t="shared" si="106"/>
        <v>10398</v>
      </c>
      <c r="AU71" s="486">
        <f t="shared" si="107"/>
        <v>3074</v>
      </c>
      <c r="AV71" s="501">
        <f t="shared" si="108"/>
        <v>1.77</v>
      </c>
      <c r="AW71" s="501">
        <f t="shared" si="109"/>
        <v>0</v>
      </c>
      <c r="AX71" s="502">
        <f t="shared" si="109"/>
        <v>1.77</v>
      </c>
    </row>
    <row r="72" spans="1:50" ht="12.95" customHeight="1" x14ac:dyDescent="0.25">
      <c r="A72" s="83">
        <v>12</v>
      </c>
      <c r="B72" s="526">
        <v>5430</v>
      </c>
      <c r="C72" s="527">
        <v>650026144</v>
      </c>
      <c r="D72" s="83">
        <v>70695148</v>
      </c>
      <c r="E72" s="536" t="s">
        <v>459</v>
      </c>
      <c r="F72" s="526">
        <v>3143</v>
      </c>
      <c r="G72" s="493" t="s">
        <v>634</v>
      </c>
      <c r="H72" s="493" t="s">
        <v>283</v>
      </c>
      <c r="I72" s="495">
        <v>597511</v>
      </c>
      <c r="J72" s="496">
        <v>439993</v>
      </c>
      <c r="K72" s="496">
        <v>0</v>
      </c>
      <c r="L72" s="496">
        <v>0</v>
      </c>
      <c r="M72" s="411">
        <v>148718</v>
      </c>
      <c r="N72" s="411">
        <v>8800</v>
      </c>
      <c r="O72" s="496">
        <v>0</v>
      </c>
      <c r="P72" s="497">
        <v>0.88070000000000004</v>
      </c>
      <c r="Q72" s="412">
        <v>0.88070000000000004</v>
      </c>
      <c r="R72" s="498">
        <v>0</v>
      </c>
      <c r="S72" s="499">
        <f t="shared" si="5"/>
        <v>0</v>
      </c>
      <c r="T72" s="486">
        <v>0</v>
      </c>
      <c r="U72" s="486">
        <v>0</v>
      </c>
      <c r="V72" s="486">
        <f t="shared" si="95"/>
        <v>0</v>
      </c>
      <c r="W72" s="486">
        <v>0</v>
      </c>
      <c r="X72" s="486">
        <v>0</v>
      </c>
      <c r="Y72" s="486">
        <f t="shared" si="96"/>
        <v>0</v>
      </c>
      <c r="Z72" s="486">
        <f t="shared" si="97"/>
        <v>0</v>
      </c>
      <c r="AA72" s="319">
        <f t="shared" si="98"/>
        <v>0</v>
      </c>
      <c r="AB72" s="178">
        <f t="shared" si="99"/>
        <v>0</v>
      </c>
      <c r="AC72" s="486">
        <v>0</v>
      </c>
      <c r="AD72" s="486">
        <v>0</v>
      </c>
      <c r="AE72" s="486">
        <f t="shared" si="0"/>
        <v>0</v>
      </c>
      <c r="AF72" s="486">
        <f t="shared" si="3"/>
        <v>0</v>
      </c>
      <c r="AG72" s="501">
        <v>0</v>
      </c>
      <c r="AH72" s="501">
        <v>0</v>
      </c>
      <c r="AI72" s="501">
        <v>0</v>
      </c>
      <c r="AJ72" s="501">
        <v>0</v>
      </c>
      <c r="AK72" s="501">
        <v>0</v>
      </c>
      <c r="AL72" s="501">
        <f t="shared" si="100"/>
        <v>0</v>
      </c>
      <c r="AM72" s="501">
        <f t="shared" si="101"/>
        <v>0</v>
      </c>
      <c r="AN72" s="502">
        <f t="shared" si="4"/>
        <v>0</v>
      </c>
      <c r="AO72" s="499">
        <f t="shared" si="102"/>
        <v>597511</v>
      </c>
      <c r="AP72" s="486">
        <f t="shared" si="103"/>
        <v>439993</v>
      </c>
      <c r="AQ72" s="486">
        <f t="shared" si="104"/>
        <v>0</v>
      </c>
      <c r="AR72" s="480">
        <f t="shared" si="105"/>
        <v>0</v>
      </c>
      <c r="AS72" s="486">
        <f t="shared" si="106"/>
        <v>148718</v>
      </c>
      <c r="AT72" s="486">
        <f t="shared" si="106"/>
        <v>8800</v>
      </c>
      <c r="AU72" s="486">
        <f t="shared" si="107"/>
        <v>0</v>
      </c>
      <c r="AV72" s="501">
        <f t="shared" si="108"/>
        <v>0.88070000000000004</v>
      </c>
      <c r="AW72" s="501">
        <f t="shared" si="109"/>
        <v>0.88070000000000004</v>
      </c>
      <c r="AX72" s="502">
        <f t="shared" si="109"/>
        <v>0</v>
      </c>
    </row>
    <row r="73" spans="1:50" ht="12.95" customHeight="1" x14ac:dyDescent="0.25">
      <c r="A73" s="83">
        <v>12</v>
      </c>
      <c r="B73" s="526">
        <v>5430</v>
      </c>
      <c r="C73" s="527">
        <v>650026144</v>
      </c>
      <c r="D73" s="83">
        <v>70695148</v>
      </c>
      <c r="E73" s="536" t="s">
        <v>459</v>
      </c>
      <c r="F73" s="526">
        <v>3143</v>
      </c>
      <c r="G73" s="493" t="s">
        <v>635</v>
      </c>
      <c r="H73" s="493" t="s">
        <v>284</v>
      </c>
      <c r="I73" s="495">
        <v>17556</v>
      </c>
      <c r="J73" s="496">
        <v>12375</v>
      </c>
      <c r="K73" s="496">
        <v>0</v>
      </c>
      <c r="L73" s="496">
        <v>0</v>
      </c>
      <c r="M73" s="411">
        <v>4183</v>
      </c>
      <c r="N73" s="411">
        <v>248</v>
      </c>
      <c r="O73" s="496">
        <v>750</v>
      </c>
      <c r="P73" s="497">
        <v>0.05</v>
      </c>
      <c r="Q73" s="412">
        <v>0</v>
      </c>
      <c r="R73" s="498">
        <v>0.05</v>
      </c>
      <c r="S73" s="499">
        <f t="shared" si="5"/>
        <v>0</v>
      </c>
      <c r="T73" s="486">
        <v>0</v>
      </c>
      <c r="U73" s="486">
        <v>0</v>
      </c>
      <c r="V73" s="486">
        <f t="shared" si="95"/>
        <v>0</v>
      </c>
      <c r="W73" s="486">
        <v>0</v>
      </c>
      <c r="X73" s="486">
        <v>0</v>
      </c>
      <c r="Y73" s="486">
        <f t="shared" si="96"/>
        <v>0</v>
      </c>
      <c r="Z73" s="486">
        <f t="shared" si="97"/>
        <v>0</v>
      </c>
      <c r="AA73" s="319">
        <f t="shared" si="98"/>
        <v>0</v>
      </c>
      <c r="AB73" s="178">
        <f t="shared" si="99"/>
        <v>0</v>
      </c>
      <c r="AC73" s="486">
        <v>0</v>
      </c>
      <c r="AD73" s="486">
        <v>0</v>
      </c>
      <c r="AE73" s="486">
        <f t="shared" si="0"/>
        <v>0</v>
      </c>
      <c r="AF73" s="486">
        <f t="shared" si="3"/>
        <v>0</v>
      </c>
      <c r="AG73" s="501">
        <v>0</v>
      </c>
      <c r="AH73" s="501">
        <v>0</v>
      </c>
      <c r="AI73" s="501">
        <v>0</v>
      </c>
      <c r="AJ73" s="501">
        <v>0</v>
      </c>
      <c r="AK73" s="501">
        <v>0</v>
      </c>
      <c r="AL73" s="501">
        <f t="shared" si="100"/>
        <v>0</v>
      </c>
      <c r="AM73" s="501">
        <f t="shared" si="101"/>
        <v>0</v>
      </c>
      <c r="AN73" s="502">
        <f t="shared" si="4"/>
        <v>0</v>
      </c>
      <c r="AO73" s="499">
        <f t="shared" si="102"/>
        <v>17556</v>
      </c>
      <c r="AP73" s="486">
        <f t="shared" si="103"/>
        <v>12375</v>
      </c>
      <c r="AQ73" s="486">
        <f t="shared" si="104"/>
        <v>0</v>
      </c>
      <c r="AR73" s="480">
        <f t="shared" si="105"/>
        <v>0</v>
      </c>
      <c r="AS73" s="486">
        <f t="shared" si="106"/>
        <v>4183</v>
      </c>
      <c r="AT73" s="486">
        <f t="shared" si="106"/>
        <v>248</v>
      </c>
      <c r="AU73" s="486">
        <f t="shared" si="107"/>
        <v>750</v>
      </c>
      <c r="AV73" s="501">
        <f t="shared" si="108"/>
        <v>0.05</v>
      </c>
      <c r="AW73" s="501">
        <f t="shared" si="109"/>
        <v>0</v>
      </c>
      <c r="AX73" s="502">
        <f t="shared" si="109"/>
        <v>0.05</v>
      </c>
    </row>
    <row r="74" spans="1:50" ht="12.95" customHeight="1" x14ac:dyDescent="0.25">
      <c r="A74" s="92">
        <v>12</v>
      </c>
      <c r="B74" s="104">
        <v>5430</v>
      </c>
      <c r="C74" s="105">
        <v>650026144</v>
      </c>
      <c r="D74" s="104">
        <v>70695148</v>
      </c>
      <c r="E74" s="119" t="s">
        <v>460</v>
      </c>
      <c r="F74" s="104"/>
      <c r="G74" s="122"/>
      <c r="H74" s="123"/>
      <c r="I74" s="130">
        <v>6992017</v>
      </c>
      <c r="J74" s="87">
        <v>5071239</v>
      </c>
      <c r="K74" s="87">
        <v>3848</v>
      </c>
      <c r="L74" s="87">
        <v>3848</v>
      </c>
      <c r="M74" s="87">
        <v>1714080</v>
      </c>
      <c r="N74" s="87">
        <v>101426</v>
      </c>
      <c r="O74" s="87">
        <v>101424</v>
      </c>
      <c r="P74" s="88">
        <v>12.045099999999998</v>
      </c>
      <c r="Q74" s="88">
        <v>7.4798</v>
      </c>
      <c r="R74" s="274">
        <v>4.5652999999999997</v>
      </c>
      <c r="S74" s="141">
        <f t="shared" ref="S74:AN74" si="110">SUM(S68:S73)</f>
        <v>0</v>
      </c>
      <c r="T74" s="87">
        <f t="shared" si="110"/>
        <v>1890</v>
      </c>
      <c r="U74" s="87">
        <f t="shared" si="110"/>
        <v>0</v>
      </c>
      <c r="V74" s="87">
        <f t="shared" si="110"/>
        <v>1890</v>
      </c>
      <c r="W74" s="87">
        <f t="shared" si="110"/>
        <v>0</v>
      </c>
      <c r="X74" s="87">
        <f t="shared" si="110"/>
        <v>0</v>
      </c>
      <c r="Y74" s="87">
        <f t="shared" si="110"/>
        <v>0</v>
      </c>
      <c r="Z74" s="87">
        <f t="shared" si="110"/>
        <v>1890</v>
      </c>
      <c r="AA74" s="87">
        <f t="shared" si="110"/>
        <v>639</v>
      </c>
      <c r="AB74" s="87">
        <f t="shared" si="110"/>
        <v>38</v>
      </c>
      <c r="AC74" s="87">
        <f t="shared" si="110"/>
        <v>0</v>
      </c>
      <c r="AD74" s="87">
        <f t="shared" si="110"/>
        <v>0</v>
      </c>
      <c r="AE74" s="87">
        <f t="shared" si="110"/>
        <v>0</v>
      </c>
      <c r="AF74" s="87">
        <f t="shared" si="110"/>
        <v>2567</v>
      </c>
      <c r="AG74" s="88">
        <f t="shared" si="110"/>
        <v>0</v>
      </c>
      <c r="AH74" s="88">
        <f t="shared" si="110"/>
        <v>0</v>
      </c>
      <c r="AI74" s="88">
        <f t="shared" si="110"/>
        <v>0</v>
      </c>
      <c r="AJ74" s="88">
        <f t="shared" si="110"/>
        <v>0</v>
      </c>
      <c r="AK74" s="88">
        <f t="shared" si="110"/>
        <v>0</v>
      </c>
      <c r="AL74" s="88">
        <f t="shared" si="110"/>
        <v>0</v>
      </c>
      <c r="AM74" s="88">
        <f t="shared" si="110"/>
        <v>0</v>
      </c>
      <c r="AN74" s="274">
        <f t="shared" si="110"/>
        <v>0</v>
      </c>
      <c r="AO74" s="141">
        <f t="shared" ref="AO74:AX74" si="111">SUM(AO68:AO73)</f>
        <v>6994584</v>
      </c>
      <c r="AP74" s="87">
        <f t="shared" si="111"/>
        <v>5073129</v>
      </c>
      <c r="AQ74" s="87">
        <f t="shared" si="111"/>
        <v>3848</v>
      </c>
      <c r="AR74" s="87">
        <f t="shared" si="111"/>
        <v>3848</v>
      </c>
      <c r="AS74" s="87">
        <f t="shared" si="111"/>
        <v>1714719</v>
      </c>
      <c r="AT74" s="87">
        <f t="shared" si="111"/>
        <v>101464</v>
      </c>
      <c r="AU74" s="87">
        <f t="shared" si="111"/>
        <v>101424</v>
      </c>
      <c r="AV74" s="88">
        <f t="shared" si="111"/>
        <v>12.045099999999998</v>
      </c>
      <c r="AW74" s="88">
        <f t="shared" si="111"/>
        <v>7.4798</v>
      </c>
      <c r="AX74" s="274">
        <f t="shared" si="111"/>
        <v>4.5652999999999997</v>
      </c>
    </row>
    <row r="75" spans="1:50" ht="12.95" customHeight="1" x14ac:dyDescent="0.25">
      <c r="A75" s="83">
        <v>13</v>
      </c>
      <c r="B75" s="526">
        <v>5431</v>
      </c>
      <c r="C75" s="527">
        <v>600099016</v>
      </c>
      <c r="D75" s="83">
        <v>70698112</v>
      </c>
      <c r="E75" s="536" t="s">
        <v>461</v>
      </c>
      <c r="F75" s="526">
        <v>3111</v>
      </c>
      <c r="G75" s="535" t="s">
        <v>331</v>
      </c>
      <c r="H75" s="493" t="s">
        <v>283</v>
      </c>
      <c r="I75" s="495">
        <v>1574378</v>
      </c>
      <c r="J75" s="496">
        <v>1146965</v>
      </c>
      <c r="K75" s="496">
        <v>0</v>
      </c>
      <c r="L75" s="496">
        <v>0</v>
      </c>
      <c r="M75" s="411">
        <v>387674</v>
      </c>
      <c r="N75" s="411">
        <v>22939</v>
      </c>
      <c r="O75" s="496">
        <v>16800</v>
      </c>
      <c r="P75" s="497">
        <v>2.4464000000000001</v>
      </c>
      <c r="Q75" s="412">
        <v>1.9355</v>
      </c>
      <c r="R75" s="498">
        <v>0.51090000000000002</v>
      </c>
      <c r="S75" s="499">
        <f t="shared" si="5"/>
        <v>0</v>
      </c>
      <c r="T75" s="486">
        <v>0</v>
      </c>
      <c r="U75" s="486">
        <v>0</v>
      </c>
      <c r="V75" s="486">
        <f t="shared" ref="V75:V80" si="112">SUM(S75:U75)</f>
        <v>0</v>
      </c>
      <c r="W75" s="486">
        <v>0</v>
      </c>
      <c r="X75" s="486">
        <v>0</v>
      </c>
      <c r="Y75" s="486">
        <f t="shared" ref="Y75:Y80" si="113">SUM(W75:X75)</f>
        <v>0</v>
      </c>
      <c r="Z75" s="486">
        <f t="shared" ref="Z75:Z80" si="114">V75+Y75</f>
        <v>0</v>
      </c>
      <c r="AA75" s="319">
        <f t="shared" ref="AA75:AA80" si="115">ROUND((V75+W75)*33.8%,0)</f>
        <v>0</v>
      </c>
      <c r="AB75" s="178">
        <f t="shared" ref="AB75:AB80" si="116">ROUND(V75*2%,0)</f>
        <v>0</v>
      </c>
      <c r="AC75" s="486">
        <v>0</v>
      </c>
      <c r="AD75" s="486">
        <v>0</v>
      </c>
      <c r="AE75" s="486">
        <f t="shared" si="0"/>
        <v>0</v>
      </c>
      <c r="AF75" s="486">
        <f t="shared" si="3"/>
        <v>0</v>
      </c>
      <c r="AG75" s="501">
        <v>0</v>
      </c>
      <c r="AH75" s="501">
        <v>0</v>
      </c>
      <c r="AI75" s="501">
        <v>0</v>
      </c>
      <c r="AJ75" s="501">
        <v>0</v>
      </c>
      <c r="AK75" s="501">
        <v>0</v>
      </c>
      <c r="AL75" s="501">
        <f t="shared" ref="AL75:AL80" si="117">AG75+AI75+AJ75</f>
        <v>0</v>
      </c>
      <c r="AM75" s="501">
        <f t="shared" ref="AM75:AM80" si="118">AH75+AK75</f>
        <v>0</v>
      </c>
      <c r="AN75" s="502">
        <f t="shared" si="4"/>
        <v>0</v>
      </c>
      <c r="AO75" s="499">
        <f t="shared" ref="AO75:AO80" si="119">I75+AF75</f>
        <v>1574378</v>
      </c>
      <c r="AP75" s="486">
        <f t="shared" ref="AP75:AP80" si="120">J75+V75</f>
        <v>1146965</v>
      </c>
      <c r="AQ75" s="486">
        <f t="shared" ref="AQ75:AQ80" si="121">K75+Y75</f>
        <v>0</v>
      </c>
      <c r="AR75" s="480">
        <f t="shared" ref="AR75:AR80" si="122">L75</f>
        <v>0</v>
      </c>
      <c r="AS75" s="486">
        <f t="shared" ref="AS75:AT80" si="123">M75+AA75</f>
        <v>387674</v>
      </c>
      <c r="AT75" s="486">
        <f t="shared" si="123"/>
        <v>22939</v>
      </c>
      <c r="AU75" s="486">
        <f t="shared" ref="AU75:AU80" si="124">O75+AE75</f>
        <v>16800</v>
      </c>
      <c r="AV75" s="501">
        <f t="shared" ref="AV75:AV80" si="125">P75+AN75</f>
        <v>2.4464000000000001</v>
      </c>
      <c r="AW75" s="501">
        <f t="shared" ref="AW75:AX80" si="126">Q75+AL75</f>
        <v>1.9355</v>
      </c>
      <c r="AX75" s="502">
        <f t="shared" si="126"/>
        <v>0.51090000000000002</v>
      </c>
    </row>
    <row r="76" spans="1:50" ht="12.95" customHeight="1" x14ac:dyDescent="0.25">
      <c r="A76" s="83">
        <v>13</v>
      </c>
      <c r="B76" s="526">
        <v>5431</v>
      </c>
      <c r="C76" s="527">
        <v>600099016</v>
      </c>
      <c r="D76" s="83">
        <v>70698112</v>
      </c>
      <c r="E76" s="536" t="s">
        <v>461</v>
      </c>
      <c r="F76" s="526">
        <v>3117</v>
      </c>
      <c r="G76" s="535" t="s">
        <v>335</v>
      </c>
      <c r="H76" s="493" t="s">
        <v>283</v>
      </c>
      <c r="I76" s="495">
        <v>3530645</v>
      </c>
      <c r="J76" s="496">
        <v>2513535</v>
      </c>
      <c r="K76" s="496">
        <v>14884</v>
      </c>
      <c r="L76" s="496">
        <v>4884</v>
      </c>
      <c r="M76" s="411">
        <v>852955</v>
      </c>
      <c r="N76" s="411">
        <v>50271</v>
      </c>
      <c r="O76" s="496">
        <v>99000</v>
      </c>
      <c r="P76" s="497">
        <v>5.1660000000000004</v>
      </c>
      <c r="Q76" s="412">
        <v>3.5909</v>
      </c>
      <c r="R76" s="498">
        <v>1.5751000000000002</v>
      </c>
      <c r="S76" s="499">
        <f t="shared" si="5"/>
        <v>0</v>
      </c>
      <c r="T76" s="486">
        <v>0</v>
      </c>
      <c r="U76" s="486">
        <v>0</v>
      </c>
      <c r="V76" s="486">
        <f t="shared" si="112"/>
        <v>0</v>
      </c>
      <c r="W76" s="486">
        <v>0</v>
      </c>
      <c r="X76" s="486">
        <v>0</v>
      </c>
      <c r="Y76" s="486">
        <f t="shared" si="113"/>
        <v>0</v>
      </c>
      <c r="Z76" s="486">
        <f t="shared" si="114"/>
        <v>0</v>
      </c>
      <c r="AA76" s="319">
        <f t="shared" si="115"/>
        <v>0</v>
      </c>
      <c r="AB76" s="178">
        <f t="shared" si="116"/>
        <v>0</v>
      </c>
      <c r="AC76" s="486">
        <v>0</v>
      </c>
      <c r="AD76" s="486">
        <v>0</v>
      </c>
      <c r="AE76" s="486">
        <f t="shared" si="0"/>
        <v>0</v>
      </c>
      <c r="AF76" s="486">
        <f t="shared" si="3"/>
        <v>0</v>
      </c>
      <c r="AG76" s="501">
        <v>0</v>
      </c>
      <c r="AH76" s="501">
        <v>0</v>
      </c>
      <c r="AI76" s="501">
        <v>0</v>
      </c>
      <c r="AJ76" s="501">
        <v>0</v>
      </c>
      <c r="AK76" s="501">
        <v>0</v>
      </c>
      <c r="AL76" s="501">
        <f t="shared" si="117"/>
        <v>0</v>
      </c>
      <c r="AM76" s="501">
        <f t="shared" si="118"/>
        <v>0</v>
      </c>
      <c r="AN76" s="502">
        <f t="shared" si="4"/>
        <v>0</v>
      </c>
      <c r="AO76" s="499">
        <f t="shared" si="119"/>
        <v>3530645</v>
      </c>
      <c r="AP76" s="486">
        <f t="shared" si="120"/>
        <v>2513535</v>
      </c>
      <c r="AQ76" s="486">
        <f t="shared" si="121"/>
        <v>14884</v>
      </c>
      <c r="AR76" s="480">
        <f t="shared" si="122"/>
        <v>4884</v>
      </c>
      <c r="AS76" s="486">
        <f t="shared" si="123"/>
        <v>852955</v>
      </c>
      <c r="AT76" s="486">
        <f t="shared" si="123"/>
        <v>50271</v>
      </c>
      <c r="AU76" s="486">
        <f t="shared" si="124"/>
        <v>99000</v>
      </c>
      <c r="AV76" s="501">
        <f t="shared" si="125"/>
        <v>5.1660000000000004</v>
      </c>
      <c r="AW76" s="501">
        <f t="shared" si="126"/>
        <v>3.5909</v>
      </c>
      <c r="AX76" s="502">
        <f t="shared" si="126"/>
        <v>1.5751000000000002</v>
      </c>
    </row>
    <row r="77" spans="1:50" ht="12.95" customHeight="1" x14ac:dyDescent="0.25">
      <c r="A77" s="83">
        <v>13</v>
      </c>
      <c r="B77" s="526">
        <v>5431</v>
      </c>
      <c r="C77" s="527">
        <v>600099016</v>
      </c>
      <c r="D77" s="83">
        <v>70698112</v>
      </c>
      <c r="E77" s="536" t="s">
        <v>461</v>
      </c>
      <c r="F77" s="526">
        <v>3117</v>
      </c>
      <c r="G77" s="493" t="s">
        <v>318</v>
      </c>
      <c r="H77" s="493" t="s">
        <v>284</v>
      </c>
      <c r="I77" s="495">
        <v>449654</v>
      </c>
      <c r="J77" s="496">
        <v>329716</v>
      </c>
      <c r="K77" s="496">
        <v>0</v>
      </c>
      <c r="L77" s="496">
        <v>0</v>
      </c>
      <c r="M77" s="411">
        <v>111444</v>
      </c>
      <c r="N77" s="411">
        <v>6594</v>
      </c>
      <c r="O77" s="496">
        <v>1900</v>
      </c>
      <c r="P77" s="497">
        <v>0.97</v>
      </c>
      <c r="Q77" s="412">
        <v>0.97</v>
      </c>
      <c r="R77" s="498">
        <v>0</v>
      </c>
      <c r="S77" s="499">
        <f t="shared" si="5"/>
        <v>0</v>
      </c>
      <c r="T77" s="486">
        <v>0</v>
      </c>
      <c r="U77" s="486">
        <v>0</v>
      </c>
      <c r="V77" s="486">
        <f t="shared" si="112"/>
        <v>0</v>
      </c>
      <c r="W77" s="486">
        <v>0</v>
      </c>
      <c r="X77" s="486">
        <v>0</v>
      </c>
      <c r="Y77" s="486">
        <f t="shared" si="113"/>
        <v>0</v>
      </c>
      <c r="Z77" s="486">
        <f t="shared" si="114"/>
        <v>0</v>
      </c>
      <c r="AA77" s="319">
        <f t="shared" si="115"/>
        <v>0</v>
      </c>
      <c r="AB77" s="178">
        <f t="shared" si="116"/>
        <v>0</v>
      </c>
      <c r="AC77" s="486">
        <v>0</v>
      </c>
      <c r="AD77" s="486">
        <v>0</v>
      </c>
      <c r="AE77" s="486">
        <f t="shared" ref="AE77:AE140" si="127">SUM(AC77:AD77)</f>
        <v>0</v>
      </c>
      <c r="AF77" s="486">
        <f t="shared" ref="AF77:AF140" si="128">Z77+AA77+AB77+AE77</f>
        <v>0</v>
      </c>
      <c r="AG77" s="501">
        <v>0</v>
      </c>
      <c r="AH77" s="501">
        <v>0</v>
      </c>
      <c r="AI77" s="501">
        <v>0</v>
      </c>
      <c r="AJ77" s="501">
        <v>0</v>
      </c>
      <c r="AK77" s="501">
        <v>0</v>
      </c>
      <c r="AL77" s="501">
        <f t="shared" si="117"/>
        <v>0</v>
      </c>
      <c r="AM77" s="501">
        <f t="shared" si="118"/>
        <v>0</v>
      </c>
      <c r="AN77" s="502">
        <f t="shared" ref="AN77:AN140" si="129">SUM(AL77:AM77)</f>
        <v>0</v>
      </c>
      <c r="AO77" s="499">
        <f t="shared" si="119"/>
        <v>449654</v>
      </c>
      <c r="AP77" s="486">
        <f t="shared" si="120"/>
        <v>329716</v>
      </c>
      <c r="AQ77" s="486">
        <f t="shared" si="121"/>
        <v>0</v>
      </c>
      <c r="AR77" s="480">
        <f t="shared" si="122"/>
        <v>0</v>
      </c>
      <c r="AS77" s="486">
        <f t="shared" si="123"/>
        <v>111444</v>
      </c>
      <c r="AT77" s="486">
        <f t="shared" si="123"/>
        <v>6594</v>
      </c>
      <c r="AU77" s="486">
        <f t="shared" si="124"/>
        <v>1900</v>
      </c>
      <c r="AV77" s="501">
        <f t="shared" si="125"/>
        <v>0.97</v>
      </c>
      <c r="AW77" s="501">
        <f t="shared" si="126"/>
        <v>0.97</v>
      </c>
      <c r="AX77" s="502">
        <f t="shared" si="126"/>
        <v>0</v>
      </c>
    </row>
    <row r="78" spans="1:50" ht="12.95" customHeight="1" x14ac:dyDescent="0.25">
      <c r="A78" s="83">
        <v>13</v>
      </c>
      <c r="B78" s="526">
        <v>5431</v>
      </c>
      <c r="C78" s="527">
        <v>600099016</v>
      </c>
      <c r="D78" s="83">
        <v>70698112</v>
      </c>
      <c r="E78" s="536" t="s">
        <v>461</v>
      </c>
      <c r="F78" s="526">
        <v>3141</v>
      </c>
      <c r="G78" s="535" t="s">
        <v>321</v>
      </c>
      <c r="H78" s="493" t="s">
        <v>284</v>
      </c>
      <c r="I78" s="495">
        <v>737467</v>
      </c>
      <c r="J78" s="496">
        <v>520914</v>
      </c>
      <c r="K78" s="496">
        <v>20000</v>
      </c>
      <c r="L78" s="496">
        <v>0</v>
      </c>
      <c r="M78" s="411">
        <v>182829</v>
      </c>
      <c r="N78" s="411">
        <v>10418</v>
      </c>
      <c r="O78" s="496">
        <v>3306</v>
      </c>
      <c r="P78" s="497">
        <v>1.77</v>
      </c>
      <c r="Q78" s="412">
        <v>0</v>
      </c>
      <c r="R78" s="498">
        <v>1.77</v>
      </c>
      <c r="S78" s="499">
        <f t="shared" ref="S78:S80" si="130">W78*-1</f>
        <v>0</v>
      </c>
      <c r="T78" s="486">
        <v>0</v>
      </c>
      <c r="U78" s="486">
        <v>0</v>
      </c>
      <c r="V78" s="486">
        <f t="shared" si="112"/>
        <v>0</v>
      </c>
      <c r="W78" s="486">
        <v>0</v>
      </c>
      <c r="X78" s="486">
        <v>0</v>
      </c>
      <c r="Y78" s="486">
        <f t="shared" si="113"/>
        <v>0</v>
      </c>
      <c r="Z78" s="486">
        <f t="shared" si="114"/>
        <v>0</v>
      </c>
      <c r="AA78" s="319">
        <f t="shared" si="115"/>
        <v>0</v>
      </c>
      <c r="AB78" s="178">
        <f t="shared" si="116"/>
        <v>0</v>
      </c>
      <c r="AC78" s="486">
        <v>0</v>
      </c>
      <c r="AD78" s="486">
        <v>0</v>
      </c>
      <c r="AE78" s="486">
        <f t="shared" si="127"/>
        <v>0</v>
      </c>
      <c r="AF78" s="486">
        <f t="shared" si="128"/>
        <v>0</v>
      </c>
      <c r="AG78" s="501">
        <v>0</v>
      </c>
      <c r="AH78" s="501">
        <v>0</v>
      </c>
      <c r="AI78" s="501">
        <v>0</v>
      </c>
      <c r="AJ78" s="501">
        <v>0</v>
      </c>
      <c r="AK78" s="501">
        <v>0</v>
      </c>
      <c r="AL78" s="501">
        <f t="shared" si="117"/>
        <v>0</v>
      </c>
      <c r="AM78" s="501">
        <f t="shared" si="118"/>
        <v>0</v>
      </c>
      <c r="AN78" s="502">
        <f t="shared" si="129"/>
        <v>0</v>
      </c>
      <c r="AO78" s="499">
        <f t="shared" si="119"/>
        <v>737467</v>
      </c>
      <c r="AP78" s="486">
        <f t="shared" si="120"/>
        <v>520914</v>
      </c>
      <c r="AQ78" s="486">
        <f t="shared" si="121"/>
        <v>20000</v>
      </c>
      <c r="AR78" s="480">
        <f t="shared" si="122"/>
        <v>0</v>
      </c>
      <c r="AS78" s="486">
        <f t="shared" si="123"/>
        <v>182829</v>
      </c>
      <c r="AT78" s="486">
        <f t="shared" si="123"/>
        <v>10418</v>
      </c>
      <c r="AU78" s="486">
        <f t="shared" si="124"/>
        <v>3306</v>
      </c>
      <c r="AV78" s="501">
        <f t="shared" si="125"/>
        <v>1.77</v>
      </c>
      <c r="AW78" s="501">
        <f t="shared" si="126"/>
        <v>0</v>
      </c>
      <c r="AX78" s="502">
        <f t="shared" si="126"/>
        <v>1.77</v>
      </c>
    </row>
    <row r="79" spans="1:50" ht="12.95" customHeight="1" x14ac:dyDescent="0.25">
      <c r="A79" s="83">
        <v>13</v>
      </c>
      <c r="B79" s="526">
        <v>5431</v>
      </c>
      <c r="C79" s="527">
        <v>600099016</v>
      </c>
      <c r="D79" s="83">
        <v>70698112</v>
      </c>
      <c r="E79" s="536" t="s">
        <v>461</v>
      </c>
      <c r="F79" s="526">
        <v>3143</v>
      </c>
      <c r="G79" s="493" t="s">
        <v>634</v>
      </c>
      <c r="H79" s="493" t="s">
        <v>283</v>
      </c>
      <c r="I79" s="495">
        <v>437231</v>
      </c>
      <c r="J79" s="496">
        <v>321967</v>
      </c>
      <c r="K79" s="496">
        <v>0</v>
      </c>
      <c r="L79" s="496">
        <v>0</v>
      </c>
      <c r="M79" s="411">
        <v>108825</v>
      </c>
      <c r="N79" s="411">
        <v>6439</v>
      </c>
      <c r="O79" s="496">
        <v>0</v>
      </c>
      <c r="P79" s="497">
        <v>0.71430000000000005</v>
      </c>
      <c r="Q79" s="412">
        <v>0.71430000000000005</v>
      </c>
      <c r="R79" s="498">
        <v>0</v>
      </c>
      <c r="S79" s="499">
        <f t="shared" si="130"/>
        <v>0</v>
      </c>
      <c r="T79" s="486">
        <v>0</v>
      </c>
      <c r="U79" s="486">
        <v>0</v>
      </c>
      <c r="V79" s="486">
        <f t="shared" si="112"/>
        <v>0</v>
      </c>
      <c r="W79" s="486">
        <v>0</v>
      </c>
      <c r="X79" s="486">
        <v>0</v>
      </c>
      <c r="Y79" s="486">
        <f t="shared" si="113"/>
        <v>0</v>
      </c>
      <c r="Z79" s="486">
        <f t="shared" si="114"/>
        <v>0</v>
      </c>
      <c r="AA79" s="319">
        <f t="shared" si="115"/>
        <v>0</v>
      </c>
      <c r="AB79" s="178">
        <f t="shared" si="116"/>
        <v>0</v>
      </c>
      <c r="AC79" s="486">
        <v>0</v>
      </c>
      <c r="AD79" s="486">
        <v>0</v>
      </c>
      <c r="AE79" s="486">
        <f t="shared" si="127"/>
        <v>0</v>
      </c>
      <c r="AF79" s="486">
        <f t="shared" si="128"/>
        <v>0</v>
      </c>
      <c r="AG79" s="501">
        <v>0</v>
      </c>
      <c r="AH79" s="501">
        <v>0</v>
      </c>
      <c r="AI79" s="501">
        <v>0</v>
      </c>
      <c r="AJ79" s="501">
        <v>0</v>
      </c>
      <c r="AK79" s="501">
        <v>0</v>
      </c>
      <c r="AL79" s="501">
        <f t="shared" si="117"/>
        <v>0</v>
      </c>
      <c r="AM79" s="501">
        <f t="shared" si="118"/>
        <v>0</v>
      </c>
      <c r="AN79" s="502">
        <f t="shared" si="129"/>
        <v>0</v>
      </c>
      <c r="AO79" s="499">
        <f t="shared" si="119"/>
        <v>437231</v>
      </c>
      <c r="AP79" s="486">
        <f t="shared" si="120"/>
        <v>321967</v>
      </c>
      <c r="AQ79" s="486">
        <f t="shared" si="121"/>
        <v>0</v>
      </c>
      <c r="AR79" s="480">
        <f t="shared" si="122"/>
        <v>0</v>
      </c>
      <c r="AS79" s="486">
        <f t="shared" si="123"/>
        <v>108825</v>
      </c>
      <c r="AT79" s="486">
        <f t="shared" si="123"/>
        <v>6439</v>
      </c>
      <c r="AU79" s="486">
        <f t="shared" si="124"/>
        <v>0</v>
      </c>
      <c r="AV79" s="501">
        <f t="shared" si="125"/>
        <v>0.71430000000000005</v>
      </c>
      <c r="AW79" s="501">
        <f t="shared" si="126"/>
        <v>0.71430000000000005</v>
      </c>
      <c r="AX79" s="502">
        <f t="shared" si="126"/>
        <v>0</v>
      </c>
    </row>
    <row r="80" spans="1:50" ht="12.95" customHeight="1" x14ac:dyDescent="0.25">
      <c r="A80" s="83">
        <v>13</v>
      </c>
      <c r="B80" s="526">
        <v>5431</v>
      </c>
      <c r="C80" s="527">
        <v>600099016</v>
      </c>
      <c r="D80" s="83">
        <v>70698112</v>
      </c>
      <c r="E80" s="536" t="s">
        <v>461</v>
      </c>
      <c r="F80" s="526">
        <v>3143</v>
      </c>
      <c r="G80" s="493" t="s">
        <v>635</v>
      </c>
      <c r="H80" s="493" t="s">
        <v>284</v>
      </c>
      <c r="I80" s="495">
        <v>14044</v>
      </c>
      <c r="J80" s="496">
        <v>9900</v>
      </c>
      <c r="K80" s="496">
        <v>0</v>
      </c>
      <c r="L80" s="496">
        <v>0</v>
      </c>
      <c r="M80" s="411">
        <v>3346</v>
      </c>
      <c r="N80" s="411">
        <v>198</v>
      </c>
      <c r="O80" s="496">
        <v>600</v>
      </c>
      <c r="P80" s="497">
        <v>0.04</v>
      </c>
      <c r="Q80" s="412">
        <v>0</v>
      </c>
      <c r="R80" s="498">
        <v>0.04</v>
      </c>
      <c r="S80" s="499">
        <f t="shared" si="130"/>
        <v>0</v>
      </c>
      <c r="T80" s="486">
        <v>0</v>
      </c>
      <c r="U80" s="486">
        <v>0</v>
      </c>
      <c r="V80" s="486">
        <f t="shared" si="112"/>
        <v>0</v>
      </c>
      <c r="W80" s="486">
        <v>0</v>
      </c>
      <c r="X80" s="486">
        <v>0</v>
      </c>
      <c r="Y80" s="486">
        <f t="shared" si="113"/>
        <v>0</v>
      </c>
      <c r="Z80" s="486">
        <f t="shared" si="114"/>
        <v>0</v>
      </c>
      <c r="AA80" s="319">
        <f t="shared" si="115"/>
        <v>0</v>
      </c>
      <c r="AB80" s="178">
        <f t="shared" si="116"/>
        <v>0</v>
      </c>
      <c r="AC80" s="486">
        <v>0</v>
      </c>
      <c r="AD80" s="486">
        <v>0</v>
      </c>
      <c r="AE80" s="486">
        <f t="shared" si="127"/>
        <v>0</v>
      </c>
      <c r="AF80" s="486">
        <f t="shared" si="128"/>
        <v>0</v>
      </c>
      <c r="AG80" s="501">
        <v>0</v>
      </c>
      <c r="AH80" s="501">
        <v>0</v>
      </c>
      <c r="AI80" s="501">
        <v>0</v>
      </c>
      <c r="AJ80" s="501">
        <v>0</v>
      </c>
      <c r="AK80" s="501">
        <v>0</v>
      </c>
      <c r="AL80" s="501">
        <f t="shared" si="117"/>
        <v>0</v>
      </c>
      <c r="AM80" s="501">
        <f t="shared" si="118"/>
        <v>0</v>
      </c>
      <c r="AN80" s="502">
        <f t="shared" si="129"/>
        <v>0</v>
      </c>
      <c r="AO80" s="499">
        <f t="shared" si="119"/>
        <v>14044</v>
      </c>
      <c r="AP80" s="486">
        <f t="shared" si="120"/>
        <v>9900</v>
      </c>
      <c r="AQ80" s="486">
        <f t="shared" si="121"/>
        <v>0</v>
      </c>
      <c r="AR80" s="480">
        <f t="shared" si="122"/>
        <v>0</v>
      </c>
      <c r="AS80" s="486">
        <f t="shared" si="123"/>
        <v>3346</v>
      </c>
      <c r="AT80" s="486">
        <f t="shared" si="123"/>
        <v>198</v>
      </c>
      <c r="AU80" s="486">
        <f t="shared" si="124"/>
        <v>600</v>
      </c>
      <c r="AV80" s="501">
        <f t="shared" si="125"/>
        <v>0.04</v>
      </c>
      <c r="AW80" s="501">
        <f t="shared" si="126"/>
        <v>0</v>
      </c>
      <c r="AX80" s="502">
        <f t="shared" si="126"/>
        <v>0.04</v>
      </c>
    </row>
    <row r="81" spans="1:50" ht="12.95" customHeight="1" x14ac:dyDescent="0.25">
      <c r="A81" s="92">
        <v>13</v>
      </c>
      <c r="B81" s="104">
        <v>5431</v>
      </c>
      <c r="C81" s="105">
        <v>600099016</v>
      </c>
      <c r="D81" s="104">
        <v>70698112</v>
      </c>
      <c r="E81" s="119" t="s">
        <v>462</v>
      </c>
      <c r="F81" s="117"/>
      <c r="G81" s="120"/>
      <c r="H81" s="121"/>
      <c r="I81" s="136">
        <v>6743419</v>
      </c>
      <c r="J81" s="116">
        <v>4842997</v>
      </c>
      <c r="K81" s="116">
        <v>34884</v>
      </c>
      <c r="L81" s="116">
        <v>4884</v>
      </c>
      <c r="M81" s="116">
        <v>1647073</v>
      </c>
      <c r="N81" s="116">
        <v>96859</v>
      </c>
      <c r="O81" s="116">
        <v>121606</v>
      </c>
      <c r="P81" s="303">
        <v>11.1067</v>
      </c>
      <c r="Q81" s="303">
        <v>7.2106999999999992</v>
      </c>
      <c r="R81" s="304">
        <v>3.8960000000000004</v>
      </c>
      <c r="S81" s="240">
        <f t="shared" ref="S81:AN81" si="131">SUM(S75:S80)</f>
        <v>0</v>
      </c>
      <c r="T81" s="116">
        <f t="shared" si="131"/>
        <v>0</v>
      </c>
      <c r="U81" s="116">
        <f t="shared" si="131"/>
        <v>0</v>
      </c>
      <c r="V81" s="116">
        <f t="shared" si="131"/>
        <v>0</v>
      </c>
      <c r="W81" s="116">
        <f t="shared" si="131"/>
        <v>0</v>
      </c>
      <c r="X81" s="116">
        <f t="shared" si="131"/>
        <v>0</v>
      </c>
      <c r="Y81" s="116">
        <f t="shared" si="131"/>
        <v>0</v>
      </c>
      <c r="Z81" s="116">
        <f t="shared" si="131"/>
        <v>0</v>
      </c>
      <c r="AA81" s="116">
        <f t="shared" si="131"/>
        <v>0</v>
      </c>
      <c r="AB81" s="116">
        <f t="shared" si="131"/>
        <v>0</v>
      </c>
      <c r="AC81" s="116">
        <f t="shared" si="131"/>
        <v>0</v>
      </c>
      <c r="AD81" s="116">
        <f t="shared" si="131"/>
        <v>0</v>
      </c>
      <c r="AE81" s="116">
        <f t="shared" si="131"/>
        <v>0</v>
      </c>
      <c r="AF81" s="116">
        <f t="shared" si="131"/>
        <v>0</v>
      </c>
      <c r="AG81" s="303">
        <f t="shared" si="131"/>
        <v>0</v>
      </c>
      <c r="AH81" s="303">
        <f t="shared" si="131"/>
        <v>0</v>
      </c>
      <c r="AI81" s="303">
        <f t="shared" si="131"/>
        <v>0</v>
      </c>
      <c r="AJ81" s="303">
        <f t="shared" si="131"/>
        <v>0</v>
      </c>
      <c r="AK81" s="303">
        <f t="shared" si="131"/>
        <v>0</v>
      </c>
      <c r="AL81" s="303">
        <f t="shared" si="131"/>
        <v>0</v>
      </c>
      <c r="AM81" s="303">
        <f t="shared" si="131"/>
        <v>0</v>
      </c>
      <c r="AN81" s="304">
        <f t="shared" si="131"/>
        <v>0</v>
      </c>
      <c r="AO81" s="240">
        <f t="shared" ref="AO81:AX81" si="132">SUM(AO75:AO80)</f>
        <v>6743419</v>
      </c>
      <c r="AP81" s="116">
        <f t="shared" si="132"/>
        <v>4842997</v>
      </c>
      <c r="AQ81" s="116">
        <f t="shared" si="132"/>
        <v>34884</v>
      </c>
      <c r="AR81" s="116">
        <f t="shared" si="132"/>
        <v>4884</v>
      </c>
      <c r="AS81" s="116">
        <f t="shared" si="132"/>
        <v>1647073</v>
      </c>
      <c r="AT81" s="116">
        <f t="shared" si="132"/>
        <v>96859</v>
      </c>
      <c r="AU81" s="116">
        <f t="shared" si="132"/>
        <v>121606</v>
      </c>
      <c r="AV81" s="303">
        <f t="shared" si="132"/>
        <v>11.1067</v>
      </c>
      <c r="AW81" s="303">
        <f t="shared" si="132"/>
        <v>7.2106999999999992</v>
      </c>
      <c r="AX81" s="304">
        <f t="shared" si="132"/>
        <v>3.8960000000000004</v>
      </c>
    </row>
    <row r="82" spans="1:50" ht="12.95" customHeight="1" x14ac:dyDescent="0.25">
      <c r="A82" s="83">
        <v>14</v>
      </c>
      <c r="B82" s="526">
        <v>5487</v>
      </c>
      <c r="C82" s="527">
        <v>600098796</v>
      </c>
      <c r="D82" s="83">
        <v>71006753</v>
      </c>
      <c r="E82" s="536" t="s">
        <v>463</v>
      </c>
      <c r="F82" s="526">
        <v>3111</v>
      </c>
      <c r="G82" s="535" t="s">
        <v>331</v>
      </c>
      <c r="H82" s="493" t="s">
        <v>283</v>
      </c>
      <c r="I82" s="495">
        <v>1275558</v>
      </c>
      <c r="J82" s="496">
        <v>934137</v>
      </c>
      <c r="K82" s="496">
        <v>0</v>
      </c>
      <c r="L82" s="496">
        <v>0</v>
      </c>
      <c r="M82" s="411">
        <v>315738</v>
      </c>
      <c r="N82" s="411">
        <v>18683</v>
      </c>
      <c r="O82" s="496">
        <v>7000</v>
      </c>
      <c r="P82" s="497">
        <v>2.4541000000000004</v>
      </c>
      <c r="Q82" s="412">
        <v>1.7755000000000001</v>
      </c>
      <c r="R82" s="498">
        <v>0.67860000000000009</v>
      </c>
      <c r="S82" s="499">
        <f t="shared" ref="S82:S84" si="133">W82*-1</f>
        <v>0</v>
      </c>
      <c r="T82" s="486">
        <v>0</v>
      </c>
      <c r="U82" s="486">
        <v>-3681</v>
      </c>
      <c r="V82" s="486">
        <f>SUM(S82:U82)</f>
        <v>-3681</v>
      </c>
      <c r="W82" s="486">
        <v>0</v>
      </c>
      <c r="X82" s="486">
        <v>0</v>
      </c>
      <c r="Y82" s="486">
        <f>SUM(W82:X82)</f>
        <v>0</v>
      </c>
      <c r="Z82" s="486">
        <f>V82+Y82</f>
        <v>-3681</v>
      </c>
      <c r="AA82" s="319">
        <f>ROUND((V82+W82)*33.8%,0)</f>
        <v>-1244</v>
      </c>
      <c r="AB82" s="178">
        <f>ROUND(V82*2%,0)</f>
        <v>-74</v>
      </c>
      <c r="AC82" s="486">
        <v>0</v>
      </c>
      <c r="AD82" s="486">
        <v>4999</v>
      </c>
      <c r="AE82" s="486">
        <f t="shared" si="127"/>
        <v>4999</v>
      </c>
      <c r="AF82" s="486">
        <f t="shared" si="128"/>
        <v>0</v>
      </c>
      <c r="AG82" s="501">
        <v>0</v>
      </c>
      <c r="AH82" s="501">
        <v>0</v>
      </c>
      <c r="AI82" s="501">
        <v>0</v>
      </c>
      <c r="AJ82" s="501">
        <v>0</v>
      </c>
      <c r="AK82" s="501">
        <v>0</v>
      </c>
      <c r="AL82" s="501">
        <f t="shared" ref="AL82:AL84" si="134">AG82+AI82+AJ82</f>
        <v>0</v>
      </c>
      <c r="AM82" s="501">
        <f t="shared" ref="AM82:AM84" si="135">AH82+AK82</f>
        <v>0</v>
      </c>
      <c r="AN82" s="502">
        <f t="shared" si="129"/>
        <v>0</v>
      </c>
      <c r="AO82" s="499">
        <f>I82+AF82</f>
        <v>1275558</v>
      </c>
      <c r="AP82" s="486">
        <f>J82+V82</f>
        <v>930456</v>
      </c>
      <c r="AQ82" s="486">
        <f>K82+Y82</f>
        <v>0</v>
      </c>
      <c r="AR82" s="480">
        <f>L82</f>
        <v>0</v>
      </c>
      <c r="AS82" s="486">
        <f t="shared" ref="AS82:AT84" si="136">M82+AA82</f>
        <v>314494</v>
      </c>
      <c r="AT82" s="486">
        <f t="shared" si="136"/>
        <v>18609</v>
      </c>
      <c r="AU82" s="486">
        <f>O82+AE82</f>
        <v>11999</v>
      </c>
      <c r="AV82" s="501">
        <f>P82+AN82</f>
        <v>2.4541000000000004</v>
      </c>
      <c r="AW82" s="501">
        <f t="shared" ref="AW82:AX84" si="137">Q82+AL82</f>
        <v>1.7755000000000001</v>
      </c>
      <c r="AX82" s="502">
        <f t="shared" si="137"/>
        <v>0.67860000000000009</v>
      </c>
    </row>
    <row r="83" spans="1:50" ht="12.95" customHeight="1" x14ac:dyDescent="0.25">
      <c r="A83" s="83">
        <v>14</v>
      </c>
      <c r="B83" s="526">
        <v>5487</v>
      </c>
      <c r="C83" s="527">
        <v>600098796</v>
      </c>
      <c r="D83" s="83">
        <v>71006753</v>
      </c>
      <c r="E83" s="536" t="s">
        <v>463</v>
      </c>
      <c r="F83" s="526">
        <v>3111</v>
      </c>
      <c r="G83" s="493" t="s">
        <v>318</v>
      </c>
      <c r="H83" s="493" t="s">
        <v>284</v>
      </c>
      <c r="I83" s="495">
        <v>230590</v>
      </c>
      <c r="J83" s="496">
        <v>169801</v>
      </c>
      <c r="K83" s="496">
        <v>0</v>
      </c>
      <c r="L83" s="496">
        <v>0</v>
      </c>
      <c r="M83" s="411">
        <v>57393</v>
      </c>
      <c r="N83" s="411">
        <v>3396</v>
      </c>
      <c r="O83" s="496">
        <v>0</v>
      </c>
      <c r="P83" s="497">
        <v>0.5</v>
      </c>
      <c r="Q83" s="412">
        <v>0.5</v>
      </c>
      <c r="R83" s="498">
        <v>0</v>
      </c>
      <c r="S83" s="499">
        <f t="shared" si="133"/>
        <v>0</v>
      </c>
      <c r="T83" s="486">
        <v>0</v>
      </c>
      <c r="U83" s="486">
        <v>0</v>
      </c>
      <c r="V83" s="486">
        <f>SUM(S83:U83)</f>
        <v>0</v>
      </c>
      <c r="W83" s="486">
        <v>0</v>
      </c>
      <c r="X83" s="486">
        <v>0</v>
      </c>
      <c r="Y83" s="486">
        <f>SUM(W83:X83)</f>
        <v>0</v>
      </c>
      <c r="Z83" s="486">
        <f>V83+Y83</f>
        <v>0</v>
      </c>
      <c r="AA83" s="319">
        <f>ROUND((V83+W83)*33.8%,0)</f>
        <v>0</v>
      </c>
      <c r="AB83" s="178">
        <f>ROUND(V83*2%,0)</f>
        <v>0</v>
      </c>
      <c r="AC83" s="486">
        <v>6000</v>
      </c>
      <c r="AD83" s="486">
        <v>0</v>
      </c>
      <c r="AE83" s="486">
        <f t="shared" si="127"/>
        <v>6000</v>
      </c>
      <c r="AF83" s="486">
        <f t="shared" si="128"/>
        <v>6000</v>
      </c>
      <c r="AG83" s="501">
        <v>0</v>
      </c>
      <c r="AH83" s="501">
        <v>0</v>
      </c>
      <c r="AI83" s="501">
        <v>0</v>
      </c>
      <c r="AJ83" s="501">
        <v>0</v>
      </c>
      <c r="AK83" s="501">
        <v>0</v>
      </c>
      <c r="AL83" s="501">
        <f t="shared" si="134"/>
        <v>0</v>
      </c>
      <c r="AM83" s="501">
        <f t="shared" si="135"/>
        <v>0</v>
      </c>
      <c r="AN83" s="502">
        <f t="shared" si="129"/>
        <v>0</v>
      </c>
      <c r="AO83" s="499">
        <f>I83+AF83</f>
        <v>236590</v>
      </c>
      <c r="AP83" s="486">
        <f>J83+V83</f>
        <v>169801</v>
      </c>
      <c r="AQ83" s="486">
        <f>K83+Y83</f>
        <v>0</v>
      </c>
      <c r="AR83" s="480">
        <f>L83</f>
        <v>0</v>
      </c>
      <c r="AS83" s="486">
        <f t="shared" si="136"/>
        <v>57393</v>
      </c>
      <c r="AT83" s="486">
        <f t="shared" si="136"/>
        <v>3396</v>
      </c>
      <c r="AU83" s="486">
        <f>O83+AE83</f>
        <v>6000</v>
      </c>
      <c r="AV83" s="501">
        <f>P83+AN83</f>
        <v>0.5</v>
      </c>
      <c r="AW83" s="501">
        <f t="shared" si="137"/>
        <v>0.5</v>
      </c>
      <c r="AX83" s="502">
        <f t="shared" si="137"/>
        <v>0</v>
      </c>
    </row>
    <row r="84" spans="1:50" ht="12.95" customHeight="1" x14ac:dyDescent="0.25">
      <c r="A84" s="83">
        <v>14</v>
      </c>
      <c r="B84" s="526">
        <v>5487</v>
      </c>
      <c r="C84" s="527">
        <v>600098796</v>
      </c>
      <c r="D84" s="83">
        <v>71006753</v>
      </c>
      <c r="E84" s="536" t="s">
        <v>463</v>
      </c>
      <c r="F84" s="526">
        <v>3141</v>
      </c>
      <c r="G84" s="535" t="s">
        <v>321</v>
      </c>
      <c r="H84" s="493" t="s">
        <v>284</v>
      </c>
      <c r="I84" s="495">
        <v>174010</v>
      </c>
      <c r="J84" s="496">
        <v>127710</v>
      </c>
      <c r="K84" s="496">
        <v>0</v>
      </c>
      <c r="L84" s="496">
        <v>0</v>
      </c>
      <c r="M84" s="411">
        <v>43166</v>
      </c>
      <c r="N84" s="411">
        <v>2554</v>
      </c>
      <c r="O84" s="496">
        <v>580</v>
      </c>
      <c r="P84" s="497">
        <v>0.43</v>
      </c>
      <c r="Q84" s="412">
        <v>0</v>
      </c>
      <c r="R84" s="498">
        <v>0.43</v>
      </c>
      <c r="S84" s="499">
        <f t="shared" si="133"/>
        <v>0</v>
      </c>
      <c r="T84" s="486">
        <v>0</v>
      </c>
      <c r="U84" s="486">
        <v>0</v>
      </c>
      <c r="V84" s="486">
        <f>SUM(S84:U84)</f>
        <v>0</v>
      </c>
      <c r="W84" s="486">
        <v>0</v>
      </c>
      <c r="X84" s="486">
        <v>0</v>
      </c>
      <c r="Y84" s="486">
        <f>SUM(W84:X84)</f>
        <v>0</v>
      </c>
      <c r="Z84" s="486">
        <f>V84+Y84</f>
        <v>0</v>
      </c>
      <c r="AA84" s="319">
        <f>ROUND((V84+W84)*33.8%,0)</f>
        <v>0</v>
      </c>
      <c r="AB84" s="178">
        <f>ROUND(V84*2%,0)</f>
        <v>0</v>
      </c>
      <c r="AC84" s="486">
        <v>0</v>
      </c>
      <c r="AD84" s="486">
        <v>0</v>
      </c>
      <c r="AE84" s="486">
        <f t="shared" si="127"/>
        <v>0</v>
      </c>
      <c r="AF84" s="486">
        <f t="shared" si="128"/>
        <v>0</v>
      </c>
      <c r="AG84" s="501">
        <v>0</v>
      </c>
      <c r="AH84" s="501">
        <v>0</v>
      </c>
      <c r="AI84" s="501">
        <v>0</v>
      </c>
      <c r="AJ84" s="501">
        <v>0</v>
      </c>
      <c r="AK84" s="501">
        <v>0</v>
      </c>
      <c r="AL84" s="501">
        <f t="shared" si="134"/>
        <v>0</v>
      </c>
      <c r="AM84" s="501">
        <f t="shared" si="135"/>
        <v>0</v>
      </c>
      <c r="AN84" s="502">
        <f t="shared" si="129"/>
        <v>0</v>
      </c>
      <c r="AO84" s="499">
        <f>I84+AF84</f>
        <v>174010</v>
      </c>
      <c r="AP84" s="486">
        <f>J84+V84</f>
        <v>127710</v>
      </c>
      <c r="AQ84" s="486">
        <f>K84+Y84</f>
        <v>0</v>
      </c>
      <c r="AR84" s="480">
        <f>L84</f>
        <v>0</v>
      </c>
      <c r="AS84" s="486">
        <f t="shared" si="136"/>
        <v>43166</v>
      </c>
      <c r="AT84" s="486">
        <f t="shared" si="136"/>
        <v>2554</v>
      </c>
      <c r="AU84" s="486">
        <f>O84+AE84</f>
        <v>580</v>
      </c>
      <c r="AV84" s="501">
        <f>P84+AN84</f>
        <v>0.43</v>
      </c>
      <c r="AW84" s="501">
        <f t="shared" si="137"/>
        <v>0</v>
      </c>
      <c r="AX84" s="502">
        <f t="shared" si="137"/>
        <v>0.43</v>
      </c>
    </row>
    <row r="85" spans="1:50" ht="12.95" customHeight="1" x14ac:dyDescent="0.25">
      <c r="A85" s="92">
        <v>14</v>
      </c>
      <c r="B85" s="104">
        <v>5487</v>
      </c>
      <c r="C85" s="105">
        <v>600098796</v>
      </c>
      <c r="D85" s="104">
        <v>71006753</v>
      </c>
      <c r="E85" s="119" t="s">
        <v>464</v>
      </c>
      <c r="F85" s="104"/>
      <c r="G85" s="122"/>
      <c r="H85" s="123"/>
      <c r="I85" s="130">
        <v>1680158</v>
      </c>
      <c r="J85" s="87">
        <v>1231648</v>
      </c>
      <c r="K85" s="87">
        <v>0</v>
      </c>
      <c r="L85" s="87">
        <v>0</v>
      </c>
      <c r="M85" s="87">
        <v>416297</v>
      </c>
      <c r="N85" s="87">
        <v>24633</v>
      </c>
      <c r="O85" s="87">
        <v>7580</v>
      </c>
      <c r="P85" s="88">
        <v>3.3841000000000006</v>
      </c>
      <c r="Q85" s="88">
        <v>2.2755000000000001</v>
      </c>
      <c r="R85" s="274">
        <v>1.1086</v>
      </c>
      <c r="S85" s="141">
        <f t="shared" ref="S85:AN85" si="138">SUM(S82:S84)</f>
        <v>0</v>
      </c>
      <c r="T85" s="87">
        <f t="shared" si="138"/>
        <v>0</v>
      </c>
      <c r="U85" s="87">
        <f t="shared" si="138"/>
        <v>-3681</v>
      </c>
      <c r="V85" s="87">
        <f t="shared" si="138"/>
        <v>-3681</v>
      </c>
      <c r="W85" s="87">
        <f t="shared" si="138"/>
        <v>0</v>
      </c>
      <c r="X85" s="87">
        <f t="shared" si="138"/>
        <v>0</v>
      </c>
      <c r="Y85" s="87">
        <f t="shared" si="138"/>
        <v>0</v>
      </c>
      <c r="Z85" s="87">
        <f t="shared" si="138"/>
        <v>-3681</v>
      </c>
      <c r="AA85" s="87">
        <f t="shared" si="138"/>
        <v>-1244</v>
      </c>
      <c r="AB85" s="87">
        <f t="shared" si="138"/>
        <v>-74</v>
      </c>
      <c r="AC85" s="87">
        <f t="shared" si="138"/>
        <v>6000</v>
      </c>
      <c r="AD85" s="87">
        <f t="shared" si="138"/>
        <v>4999</v>
      </c>
      <c r="AE85" s="87">
        <f t="shared" si="138"/>
        <v>10999</v>
      </c>
      <c r="AF85" s="87">
        <f t="shared" si="138"/>
        <v>6000</v>
      </c>
      <c r="AG85" s="88">
        <f t="shared" si="138"/>
        <v>0</v>
      </c>
      <c r="AH85" s="88">
        <f t="shared" si="138"/>
        <v>0</v>
      </c>
      <c r="AI85" s="88">
        <f t="shared" si="138"/>
        <v>0</v>
      </c>
      <c r="AJ85" s="88">
        <f t="shared" si="138"/>
        <v>0</v>
      </c>
      <c r="AK85" s="88">
        <f t="shared" si="138"/>
        <v>0</v>
      </c>
      <c r="AL85" s="88">
        <f t="shared" si="138"/>
        <v>0</v>
      </c>
      <c r="AM85" s="88">
        <f t="shared" si="138"/>
        <v>0</v>
      </c>
      <c r="AN85" s="274">
        <f t="shared" si="138"/>
        <v>0</v>
      </c>
      <c r="AO85" s="141">
        <f t="shared" ref="AO85:AX85" si="139">SUM(AO82:AO84)</f>
        <v>1686158</v>
      </c>
      <c r="AP85" s="87">
        <f t="shared" si="139"/>
        <v>1227967</v>
      </c>
      <c r="AQ85" s="87">
        <f t="shared" si="139"/>
        <v>0</v>
      </c>
      <c r="AR85" s="87">
        <f t="shared" si="139"/>
        <v>0</v>
      </c>
      <c r="AS85" s="87">
        <f t="shared" si="139"/>
        <v>415053</v>
      </c>
      <c r="AT85" s="87">
        <f t="shared" si="139"/>
        <v>24559</v>
      </c>
      <c r="AU85" s="87">
        <f t="shared" si="139"/>
        <v>18579</v>
      </c>
      <c r="AV85" s="88">
        <f t="shared" si="139"/>
        <v>3.3841000000000006</v>
      </c>
      <c r="AW85" s="88">
        <f t="shared" si="139"/>
        <v>2.2755000000000001</v>
      </c>
      <c r="AX85" s="274">
        <f t="shared" si="139"/>
        <v>1.1086</v>
      </c>
    </row>
    <row r="86" spans="1:50" ht="12.95" customHeight="1" x14ac:dyDescent="0.25">
      <c r="A86" s="83">
        <v>15</v>
      </c>
      <c r="B86" s="526">
        <v>5436</v>
      </c>
      <c r="C86" s="527">
        <v>600098800</v>
      </c>
      <c r="D86" s="83">
        <v>72742992</v>
      </c>
      <c r="E86" s="536" t="s">
        <v>465</v>
      </c>
      <c r="F86" s="526">
        <v>3111</v>
      </c>
      <c r="G86" s="535" t="s">
        <v>331</v>
      </c>
      <c r="H86" s="493" t="s">
        <v>283</v>
      </c>
      <c r="I86" s="495">
        <v>3430599</v>
      </c>
      <c r="J86" s="496">
        <v>2501987</v>
      </c>
      <c r="K86" s="496">
        <v>0</v>
      </c>
      <c r="L86" s="496">
        <v>0</v>
      </c>
      <c r="M86" s="411">
        <v>845672</v>
      </c>
      <c r="N86" s="411">
        <v>50040</v>
      </c>
      <c r="O86" s="496">
        <v>32900</v>
      </c>
      <c r="P86" s="497">
        <v>5.6827999999999994</v>
      </c>
      <c r="Q86" s="412">
        <v>4.1929999999999996</v>
      </c>
      <c r="R86" s="498">
        <v>1.4898</v>
      </c>
      <c r="S86" s="499">
        <f t="shared" ref="S86:S88" si="140">W86*-1</f>
        <v>0</v>
      </c>
      <c r="T86" s="486">
        <v>0</v>
      </c>
      <c r="U86" s="486">
        <v>0</v>
      </c>
      <c r="V86" s="486">
        <f>SUM(S86:U86)</f>
        <v>0</v>
      </c>
      <c r="W86" s="486">
        <v>0</v>
      </c>
      <c r="X86" s="486">
        <v>0</v>
      </c>
      <c r="Y86" s="486">
        <f>SUM(W86:X86)</f>
        <v>0</v>
      </c>
      <c r="Z86" s="486">
        <f>V86+Y86</f>
        <v>0</v>
      </c>
      <c r="AA86" s="319">
        <f>ROUND((V86+W86)*33.8%,0)</f>
        <v>0</v>
      </c>
      <c r="AB86" s="178">
        <f>ROUND(V86*2%,0)</f>
        <v>0</v>
      </c>
      <c r="AC86" s="486">
        <v>0</v>
      </c>
      <c r="AD86" s="486">
        <v>0</v>
      </c>
      <c r="AE86" s="486">
        <f t="shared" si="127"/>
        <v>0</v>
      </c>
      <c r="AF86" s="486">
        <f t="shared" si="128"/>
        <v>0</v>
      </c>
      <c r="AG86" s="501">
        <v>0</v>
      </c>
      <c r="AH86" s="501">
        <v>0</v>
      </c>
      <c r="AI86" s="501">
        <v>0</v>
      </c>
      <c r="AJ86" s="501">
        <v>0</v>
      </c>
      <c r="AK86" s="501">
        <v>0</v>
      </c>
      <c r="AL86" s="501">
        <f t="shared" ref="AL86:AL88" si="141">AG86+AI86+AJ86</f>
        <v>0</v>
      </c>
      <c r="AM86" s="501">
        <f t="shared" ref="AM86:AM88" si="142">AH86+AK86</f>
        <v>0</v>
      </c>
      <c r="AN86" s="502">
        <f t="shared" si="129"/>
        <v>0</v>
      </c>
      <c r="AO86" s="499">
        <f>I86+AF86</f>
        <v>3430599</v>
      </c>
      <c r="AP86" s="486">
        <f>J86+V86</f>
        <v>2501987</v>
      </c>
      <c r="AQ86" s="486">
        <f>K86+Y86</f>
        <v>0</v>
      </c>
      <c r="AR86" s="480">
        <f>L86</f>
        <v>0</v>
      </c>
      <c r="AS86" s="486">
        <f t="shared" ref="AS86:AT88" si="143">M86+AA86</f>
        <v>845672</v>
      </c>
      <c r="AT86" s="486">
        <f t="shared" si="143"/>
        <v>50040</v>
      </c>
      <c r="AU86" s="486">
        <f>O86+AE86</f>
        <v>32900</v>
      </c>
      <c r="AV86" s="501">
        <f>P86+AN86</f>
        <v>5.6827999999999994</v>
      </c>
      <c r="AW86" s="501">
        <f t="shared" ref="AW86:AX88" si="144">Q86+AL86</f>
        <v>4.1929999999999996</v>
      </c>
      <c r="AX86" s="502">
        <f t="shared" si="144"/>
        <v>1.4898</v>
      </c>
    </row>
    <row r="87" spans="1:50" ht="12.95" customHeight="1" x14ac:dyDescent="0.25">
      <c r="A87" s="83">
        <v>15</v>
      </c>
      <c r="B87" s="526">
        <v>5436</v>
      </c>
      <c r="C87" s="527">
        <v>600098800</v>
      </c>
      <c r="D87" s="83">
        <v>72742992</v>
      </c>
      <c r="E87" s="536" t="s">
        <v>465</v>
      </c>
      <c r="F87" s="526">
        <v>3111</v>
      </c>
      <c r="G87" s="535" t="s">
        <v>318</v>
      </c>
      <c r="H87" s="493" t="s">
        <v>840</v>
      </c>
      <c r="I87" s="495">
        <v>28824</v>
      </c>
      <c r="J87" s="496">
        <v>21225</v>
      </c>
      <c r="K87" s="496">
        <v>0</v>
      </c>
      <c r="L87" s="496">
        <v>0</v>
      </c>
      <c r="M87" s="411">
        <v>7174</v>
      </c>
      <c r="N87" s="411">
        <v>425</v>
      </c>
      <c r="O87" s="496">
        <v>0</v>
      </c>
      <c r="P87" s="497">
        <v>0.06</v>
      </c>
      <c r="Q87" s="412">
        <v>0.06</v>
      </c>
      <c r="R87" s="498">
        <v>0</v>
      </c>
      <c r="S87" s="499">
        <f t="shared" si="140"/>
        <v>0</v>
      </c>
      <c r="T87" s="486">
        <v>0</v>
      </c>
      <c r="U87" s="486">
        <v>0</v>
      </c>
      <c r="V87" s="486">
        <f>SUM(S87:U87)</f>
        <v>0</v>
      </c>
      <c r="W87" s="486">
        <v>0</v>
      </c>
      <c r="X87" s="486">
        <v>0</v>
      </c>
      <c r="Y87" s="486">
        <f>SUM(W87:X87)</f>
        <v>0</v>
      </c>
      <c r="Z87" s="486">
        <f>V87+Y87</f>
        <v>0</v>
      </c>
      <c r="AA87" s="319">
        <f>ROUND((V87+W87)*33.8%,0)</f>
        <v>0</v>
      </c>
      <c r="AB87" s="178">
        <f>ROUND(V87*2%,0)</f>
        <v>0</v>
      </c>
      <c r="AC87" s="486">
        <v>0</v>
      </c>
      <c r="AD87" s="486">
        <v>0</v>
      </c>
      <c r="AE87" s="486">
        <f t="shared" ref="AE87" si="145">SUM(AC87:AD87)</f>
        <v>0</v>
      </c>
      <c r="AF87" s="486">
        <f t="shared" si="128"/>
        <v>0</v>
      </c>
      <c r="AG87" s="501">
        <v>0</v>
      </c>
      <c r="AH87" s="501">
        <v>0</v>
      </c>
      <c r="AI87" s="501">
        <v>0</v>
      </c>
      <c r="AJ87" s="501">
        <v>0</v>
      </c>
      <c r="AK87" s="501">
        <v>0</v>
      </c>
      <c r="AL87" s="501">
        <f t="shared" si="141"/>
        <v>0</v>
      </c>
      <c r="AM87" s="501">
        <f t="shared" si="142"/>
        <v>0</v>
      </c>
      <c r="AN87" s="502">
        <f t="shared" si="129"/>
        <v>0</v>
      </c>
      <c r="AO87" s="499">
        <f>I87+AF87</f>
        <v>28824</v>
      </c>
      <c r="AP87" s="486">
        <f>J87+V87</f>
        <v>21225</v>
      </c>
      <c r="AQ87" s="486">
        <f>K87+Y87</f>
        <v>0</v>
      </c>
      <c r="AR87" s="480">
        <f>L87</f>
        <v>0</v>
      </c>
      <c r="AS87" s="486">
        <f t="shared" si="143"/>
        <v>7174</v>
      </c>
      <c r="AT87" s="486">
        <f t="shared" si="143"/>
        <v>425</v>
      </c>
      <c r="AU87" s="486">
        <f>O87+AE87</f>
        <v>0</v>
      </c>
      <c r="AV87" s="501">
        <f>P87+AN87</f>
        <v>0.06</v>
      </c>
      <c r="AW87" s="501">
        <f t="shared" si="144"/>
        <v>0.06</v>
      </c>
      <c r="AX87" s="502">
        <f t="shared" si="144"/>
        <v>0</v>
      </c>
    </row>
    <row r="88" spans="1:50" ht="12.95" customHeight="1" x14ac:dyDescent="0.25">
      <c r="A88" s="83">
        <v>15</v>
      </c>
      <c r="B88" s="83">
        <v>5436</v>
      </c>
      <c r="C88" s="107">
        <v>600098800</v>
      </c>
      <c r="D88" s="83">
        <v>72742992</v>
      </c>
      <c r="E88" s="492" t="s">
        <v>465</v>
      </c>
      <c r="F88" s="83">
        <v>3141</v>
      </c>
      <c r="G88" s="535" t="s">
        <v>321</v>
      </c>
      <c r="H88" s="493" t="s">
        <v>284</v>
      </c>
      <c r="I88" s="495">
        <v>601516</v>
      </c>
      <c r="J88" s="496">
        <v>440936</v>
      </c>
      <c r="K88" s="496">
        <v>0</v>
      </c>
      <c r="L88" s="496">
        <v>0</v>
      </c>
      <c r="M88" s="411">
        <v>149036</v>
      </c>
      <c r="N88" s="411">
        <v>8818</v>
      </c>
      <c r="O88" s="496">
        <v>2726</v>
      </c>
      <c r="P88" s="497">
        <v>1.49</v>
      </c>
      <c r="Q88" s="412">
        <v>0</v>
      </c>
      <c r="R88" s="498">
        <v>1.49</v>
      </c>
      <c r="S88" s="499">
        <f t="shared" si="140"/>
        <v>0</v>
      </c>
      <c r="T88" s="486">
        <v>0</v>
      </c>
      <c r="U88" s="486">
        <v>0</v>
      </c>
      <c r="V88" s="486">
        <f>SUM(S88:U88)</f>
        <v>0</v>
      </c>
      <c r="W88" s="486">
        <v>0</v>
      </c>
      <c r="X88" s="486">
        <v>0</v>
      </c>
      <c r="Y88" s="486">
        <f>SUM(W88:X88)</f>
        <v>0</v>
      </c>
      <c r="Z88" s="486">
        <f>V88+Y88</f>
        <v>0</v>
      </c>
      <c r="AA88" s="319">
        <f>ROUND((V88+W88)*33.8%,0)</f>
        <v>0</v>
      </c>
      <c r="AB88" s="178">
        <f>ROUND(V88*2%,0)</f>
        <v>0</v>
      </c>
      <c r="AC88" s="486">
        <v>0</v>
      </c>
      <c r="AD88" s="486">
        <v>0</v>
      </c>
      <c r="AE88" s="486">
        <f t="shared" si="127"/>
        <v>0</v>
      </c>
      <c r="AF88" s="486">
        <f t="shared" si="128"/>
        <v>0</v>
      </c>
      <c r="AG88" s="501">
        <v>0</v>
      </c>
      <c r="AH88" s="501">
        <v>0</v>
      </c>
      <c r="AI88" s="501">
        <v>0</v>
      </c>
      <c r="AJ88" s="501">
        <v>0</v>
      </c>
      <c r="AK88" s="501">
        <v>0</v>
      </c>
      <c r="AL88" s="501">
        <f t="shared" si="141"/>
        <v>0</v>
      </c>
      <c r="AM88" s="501">
        <f t="shared" si="142"/>
        <v>0</v>
      </c>
      <c r="AN88" s="502">
        <f t="shared" si="129"/>
        <v>0</v>
      </c>
      <c r="AO88" s="499">
        <f>I88+AF88</f>
        <v>601516</v>
      </c>
      <c r="AP88" s="486">
        <f>J88+V88</f>
        <v>440936</v>
      </c>
      <c r="AQ88" s="486">
        <f>K88+Y88</f>
        <v>0</v>
      </c>
      <c r="AR88" s="480">
        <f>L88</f>
        <v>0</v>
      </c>
      <c r="AS88" s="486">
        <f t="shared" si="143"/>
        <v>149036</v>
      </c>
      <c r="AT88" s="486">
        <f t="shared" si="143"/>
        <v>8818</v>
      </c>
      <c r="AU88" s="486">
        <f>O88+AE88</f>
        <v>2726</v>
      </c>
      <c r="AV88" s="501">
        <f>P88+AN88</f>
        <v>1.49</v>
      </c>
      <c r="AW88" s="501">
        <f t="shared" si="144"/>
        <v>0</v>
      </c>
      <c r="AX88" s="502">
        <f t="shared" si="144"/>
        <v>1.49</v>
      </c>
    </row>
    <row r="89" spans="1:50" ht="12.95" customHeight="1" x14ac:dyDescent="0.25">
      <c r="A89" s="92">
        <v>15</v>
      </c>
      <c r="B89" s="85">
        <v>5436</v>
      </c>
      <c r="C89" s="113">
        <v>600098800</v>
      </c>
      <c r="D89" s="85">
        <v>72742992</v>
      </c>
      <c r="E89" s="89" t="s">
        <v>466</v>
      </c>
      <c r="F89" s="85"/>
      <c r="G89" s="114"/>
      <c r="H89" s="115"/>
      <c r="I89" s="130">
        <v>4060939</v>
      </c>
      <c r="J89" s="87">
        <v>2964148</v>
      </c>
      <c r="K89" s="87">
        <v>0</v>
      </c>
      <c r="L89" s="87">
        <v>0</v>
      </c>
      <c r="M89" s="87">
        <v>1001882</v>
      </c>
      <c r="N89" s="87">
        <v>59283</v>
      </c>
      <c r="O89" s="87">
        <v>35626</v>
      </c>
      <c r="P89" s="88">
        <v>7.2327999999999992</v>
      </c>
      <c r="Q89" s="88">
        <v>4.2529999999999992</v>
      </c>
      <c r="R89" s="274">
        <v>2.9798</v>
      </c>
      <c r="S89" s="141">
        <f t="shared" ref="S89:AN89" si="146">SUM(S86:S88)</f>
        <v>0</v>
      </c>
      <c r="T89" s="87">
        <f t="shared" si="146"/>
        <v>0</v>
      </c>
      <c r="U89" s="87">
        <f t="shared" si="146"/>
        <v>0</v>
      </c>
      <c r="V89" s="87">
        <f t="shared" si="146"/>
        <v>0</v>
      </c>
      <c r="W89" s="87">
        <f t="shared" si="146"/>
        <v>0</v>
      </c>
      <c r="X89" s="87">
        <f t="shared" si="146"/>
        <v>0</v>
      </c>
      <c r="Y89" s="87">
        <f t="shared" si="146"/>
        <v>0</v>
      </c>
      <c r="Z89" s="87">
        <f t="shared" si="146"/>
        <v>0</v>
      </c>
      <c r="AA89" s="87">
        <f t="shared" si="146"/>
        <v>0</v>
      </c>
      <c r="AB89" s="87">
        <f t="shared" si="146"/>
        <v>0</v>
      </c>
      <c r="AC89" s="87">
        <f t="shared" si="146"/>
        <v>0</v>
      </c>
      <c r="AD89" s="87">
        <f t="shared" si="146"/>
        <v>0</v>
      </c>
      <c r="AE89" s="87">
        <f t="shared" si="146"/>
        <v>0</v>
      </c>
      <c r="AF89" s="87">
        <f t="shared" si="146"/>
        <v>0</v>
      </c>
      <c r="AG89" s="88">
        <f t="shared" si="146"/>
        <v>0</v>
      </c>
      <c r="AH89" s="88">
        <f t="shared" si="146"/>
        <v>0</v>
      </c>
      <c r="AI89" s="88">
        <f t="shared" si="146"/>
        <v>0</v>
      </c>
      <c r="AJ89" s="88">
        <f t="shared" si="146"/>
        <v>0</v>
      </c>
      <c r="AK89" s="88">
        <f t="shared" si="146"/>
        <v>0</v>
      </c>
      <c r="AL89" s="88">
        <f t="shared" si="146"/>
        <v>0</v>
      </c>
      <c r="AM89" s="88">
        <f t="shared" si="146"/>
        <v>0</v>
      </c>
      <c r="AN89" s="274">
        <f t="shared" si="146"/>
        <v>0</v>
      </c>
      <c r="AO89" s="141">
        <f t="shared" ref="AO89:AX89" si="147">SUM(AO86:AO88)</f>
        <v>4060939</v>
      </c>
      <c r="AP89" s="87">
        <f t="shared" si="147"/>
        <v>2964148</v>
      </c>
      <c r="AQ89" s="87">
        <f t="shared" si="147"/>
        <v>0</v>
      </c>
      <c r="AR89" s="87">
        <f t="shared" si="147"/>
        <v>0</v>
      </c>
      <c r="AS89" s="87">
        <f t="shared" si="147"/>
        <v>1001882</v>
      </c>
      <c r="AT89" s="87">
        <f t="shared" si="147"/>
        <v>59283</v>
      </c>
      <c r="AU89" s="87">
        <f t="shared" si="147"/>
        <v>35626</v>
      </c>
      <c r="AV89" s="88">
        <f t="shared" si="147"/>
        <v>7.2327999999999992</v>
      </c>
      <c r="AW89" s="88">
        <f t="shared" si="147"/>
        <v>4.2529999999999992</v>
      </c>
      <c r="AX89" s="274">
        <f t="shared" si="147"/>
        <v>2.9798</v>
      </c>
    </row>
    <row r="90" spans="1:50" ht="12.95" customHeight="1" x14ac:dyDescent="0.25">
      <c r="A90" s="83">
        <v>16</v>
      </c>
      <c r="B90" s="526">
        <v>5435</v>
      </c>
      <c r="C90" s="527">
        <v>600099199</v>
      </c>
      <c r="D90" s="83">
        <v>72743077</v>
      </c>
      <c r="E90" s="536" t="s">
        <v>467</v>
      </c>
      <c r="F90" s="526">
        <v>3113</v>
      </c>
      <c r="G90" s="535" t="s">
        <v>335</v>
      </c>
      <c r="H90" s="493" t="s">
        <v>283</v>
      </c>
      <c r="I90" s="495">
        <v>7407625</v>
      </c>
      <c r="J90" s="496">
        <v>5271111</v>
      </c>
      <c r="K90" s="496">
        <v>39057</v>
      </c>
      <c r="L90" s="496">
        <v>39057</v>
      </c>
      <c r="M90" s="411">
        <v>1781635</v>
      </c>
      <c r="N90" s="411">
        <v>105422</v>
      </c>
      <c r="O90" s="496">
        <v>210400</v>
      </c>
      <c r="P90" s="497">
        <v>10.770099999999999</v>
      </c>
      <c r="Q90" s="412">
        <v>7.7558999999999996</v>
      </c>
      <c r="R90" s="498">
        <v>3.0141999999999998</v>
      </c>
      <c r="S90" s="499">
        <f t="shared" ref="S90:S94" si="148">W90*-1</f>
        <v>0</v>
      </c>
      <c r="T90" s="486">
        <v>0</v>
      </c>
      <c r="U90" s="486">
        <v>0</v>
      </c>
      <c r="V90" s="486">
        <f>SUM(S90:U90)</f>
        <v>0</v>
      </c>
      <c r="W90" s="486">
        <v>0</v>
      </c>
      <c r="X90" s="486">
        <v>0</v>
      </c>
      <c r="Y90" s="486">
        <f>SUM(W90:X90)</f>
        <v>0</v>
      </c>
      <c r="Z90" s="486">
        <f>V90+Y90</f>
        <v>0</v>
      </c>
      <c r="AA90" s="319">
        <f>ROUND((V90+W90)*33.8%,0)</f>
        <v>0</v>
      </c>
      <c r="AB90" s="178">
        <f>ROUND(V90*2%,0)</f>
        <v>0</v>
      </c>
      <c r="AC90" s="486">
        <v>0</v>
      </c>
      <c r="AD90" s="486">
        <v>0</v>
      </c>
      <c r="AE90" s="486">
        <f t="shared" si="127"/>
        <v>0</v>
      </c>
      <c r="AF90" s="486">
        <f t="shared" si="128"/>
        <v>0</v>
      </c>
      <c r="AG90" s="501">
        <v>0</v>
      </c>
      <c r="AH90" s="501">
        <v>0</v>
      </c>
      <c r="AI90" s="501">
        <v>0</v>
      </c>
      <c r="AJ90" s="501">
        <v>0</v>
      </c>
      <c r="AK90" s="501">
        <v>0</v>
      </c>
      <c r="AL90" s="501">
        <f t="shared" ref="AL90:AL94" si="149">AG90+AI90+AJ90</f>
        <v>0</v>
      </c>
      <c r="AM90" s="501">
        <f t="shared" ref="AM90:AM94" si="150">AH90+AK90</f>
        <v>0</v>
      </c>
      <c r="AN90" s="502">
        <f t="shared" si="129"/>
        <v>0</v>
      </c>
      <c r="AO90" s="499">
        <f>I90+AF90</f>
        <v>7407625</v>
      </c>
      <c r="AP90" s="486">
        <f>J90+V90</f>
        <v>5271111</v>
      </c>
      <c r="AQ90" s="486">
        <f>K90+Y90</f>
        <v>39057</v>
      </c>
      <c r="AR90" s="480">
        <f>L90</f>
        <v>39057</v>
      </c>
      <c r="AS90" s="486">
        <f t="shared" ref="AS90:AT94" si="151">M90+AA90</f>
        <v>1781635</v>
      </c>
      <c r="AT90" s="486">
        <f t="shared" si="151"/>
        <v>105422</v>
      </c>
      <c r="AU90" s="486">
        <f>O90+AE90</f>
        <v>210400</v>
      </c>
      <c r="AV90" s="501">
        <f>P90+AN90</f>
        <v>10.770099999999999</v>
      </c>
      <c r="AW90" s="501">
        <f t="shared" ref="AW90:AX94" si="152">Q90+AL90</f>
        <v>7.7558999999999996</v>
      </c>
      <c r="AX90" s="502">
        <f t="shared" si="152"/>
        <v>3.0141999999999998</v>
      </c>
    </row>
    <row r="91" spans="1:50" ht="12.95" customHeight="1" x14ac:dyDescent="0.25">
      <c r="A91" s="83">
        <v>16</v>
      </c>
      <c r="B91" s="526">
        <v>5435</v>
      </c>
      <c r="C91" s="527">
        <v>600099199</v>
      </c>
      <c r="D91" s="83">
        <v>72743077</v>
      </c>
      <c r="E91" s="536" t="s">
        <v>467</v>
      </c>
      <c r="F91" s="526">
        <v>3113</v>
      </c>
      <c r="G91" s="493" t="s">
        <v>318</v>
      </c>
      <c r="H91" s="493" t="s">
        <v>284</v>
      </c>
      <c r="I91" s="495">
        <v>10266</v>
      </c>
      <c r="J91" s="496">
        <v>7560</v>
      </c>
      <c r="K91" s="496">
        <v>0</v>
      </c>
      <c r="L91" s="496">
        <v>0</v>
      </c>
      <c r="M91" s="411">
        <v>2555</v>
      </c>
      <c r="N91" s="411">
        <v>151</v>
      </c>
      <c r="O91" s="496">
        <v>0</v>
      </c>
      <c r="P91" s="497">
        <v>0.02</v>
      </c>
      <c r="Q91" s="412">
        <v>0.02</v>
      </c>
      <c r="R91" s="498">
        <v>0</v>
      </c>
      <c r="S91" s="499">
        <f t="shared" si="148"/>
        <v>0</v>
      </c>
      <c r="T91" s="486">
        <v>0</v>
      </c>
      <c r="U91" s="486">
        <v>0</v>
      </c>
      <c r="V91" s="486">
        <f>SUM(S91:U91)</f>
        <v>0</v>
      </c>
      <c r="W91" s="486">
        <v>0</v>
      </c>
      <c r="X91" s="486">
        <v>0</v>
      </c>
      <c r="Y91" s="486">
        <f>SUM(W91:X91)</f>
        <v>0</v>
      </c>
      <c r="Z91" s="486">
        <f>V91+Y91</f>
        <v>0</v>
      </c>
      <c r="AA91" s="319">
        <f>ROUND((V91+W91)*33.8%,0)</f>
        <v>0</v>
      </c>
      <c r="AB91" s="178">
        <f>ROUND(V91*2%,0)</f>
        <v>0</v>
      </c>
      <c r="AC91" s="486">
        <v>0</v>
      </c>
      <c r="AD91" s="486">
        <v>0</v>
      </c>
      <c r="AE91" s="486">
        <f t="shared" si="127"/>
        <v>0</v>
      </c>
      <c r="AF91" s="486">
        <f t="shared" si="128"/>
        <v>0</v>
      </c>
      <c r="AG91" s="501">
        <v>0</v>
      </c>
      <c r="AH91" s="501">
        <v>0</v>
      </c>
      <c r="AI91" s="501">
        <v>0</v>
      </c>
      <c r="AJ91" s="501">
        <v>0</v>
      </c>
      <c r="AK91" s="501">
        <v>0</v>
      </c>
      <c r="AL91" s="501">
        <f t="shared" si="149"/>
        <v>0</v>
      </c>
      <c r="AM91" s="501">
        <f t="shared" si="150"/>
        <v>0</v>
      </c>
      <c r="AN91" s="502">
        <f t="shared" si="129"/>
        <v>0</v>
      </c>
      <c r="AO91" s="499">
        <f>I91+AF91</f>
        <v>10266</v>
      </c>
      <c r="AP91" s="486">
        <f>J91+V91</f>
        <v>7560</v>
      </c>
      <c r="AQ91" s="486">
        <f>K91+Y91</f>
        <v>0</v>
      </c>
      <c r="AR91" s="480">
        <f>L91</f>
        <v>0</v>
      </c>
      <c r="AS91" s="486">
        <f t="shared" si="151"/>
        <v>2555</v>
      </c>
      <c r="AT91" s="486">
        <f t="shared" si="151"/>
        <v>151</v>
      </c>
      <c r="AU91" s="486">
        <f>O91+AE91</f>
        <v>0</v>
      </c>
      <c r="AV91" s="501">
        <f>P91+AN91</f>
        <v>0.02</v>
      </c>
      <c r="AW91" s="501">
        <f t="shared" si="152"/>
        <v>0.02</v>
      </c>
      <c r="AX91" s="502">
        <f t="shared" si="152"/>
        <v>0</v>
      </c>
    </row>
    <row r="92" spans="1:50" ht="12.95" customHeight="1" x14ac:dyDescent="0.25">
      <c r="A92" s="83">
        <v>16</v>
      </c>
      <c r="B92" s="526">
        <v>5435</v>
      </c>
      <c r="C92" s="527">
        <v>600099199</v>
      </c>
      <c r="D92" s="83">
        <v>72743077</v>
      </c>
      <c r="E92" s="536" t="s">
        <v>467</v>
      </c>
      <c r="F92" s="526">
        <v>3141</v>
      </c>
      <c r="G92" s="535" t="s">
        <v>321</v>
      </c>
      <c r="H92" s="493" t="s">
        <v>284</v>
      </c>
      <c r="I92" s="495">
        <v>782052</v>
      </c>
      <c r="J92" s="496">
        <v>571998</v>
      </c>
      <c r="K92" s="496">
        <v>0</v>
      </c>
      <c r="L92" s="496">
        <v>0</v>
      </c>
      <c r="M92" s="411">
        <v>193336</v>
      </c>
      <c r="N92" s="411">
        <v>11440</v>
      </c>
      <c r="O92" s="496">
        <v>5278</v>
      </c>
      <c r="P92" s="497">
        <v>1.94</v>
      </c>
      <c r="Q92" s="412">
        <v>0</v>
      </c>
      <c r="R92" s="498">
        <v>1.94</v>
      </c>
      <c r="S92" s="499">
        <f t="shared" si="148"/>
        <v>0</v>
      </c>
      <c r="T92" s="486">
        <v>0</v>
      </c>
      <c r="U92" s="486">
        <v>0</v>
      </c>
      <c r="V92" s="486">
        <f>SUM(S92:U92)</f>
        <v>0</v>
      </c>
      <c r="W92" s="486">
        <v>0</v>
      </c>
      <c r="X92" s="486">
        <v>0</v>
      </c>
      <c r="Y92" s="486">
        <f>SUM(W92:X92)</f>
        <v>0</v>
      </c>
      <c r="Z92" s="486">
        <f>V92+Y92</f>
        <v>0</v>
      </c>
      <c r="AA92" s="319">
        <f>ROUND((V92+W92)*33.8%,0)</f>
        <v>0</v>
      </c>
      <c r="AB92" s="178">
        <f>ROUND(V92*2%,0)</f>
        <v>0</v>
      </c>
      <c r="AC92" s="486">
        <v>0</v>
      </c>
      <c r="AD92" s="486">
        <v>0</v>
      </c>
      <c r="AE92" s="486">
        <f t="shared" si="127"/>
        <v>0</v>
      </c>
      <c r="AF92" s="486">
        <f t="shared" si="128"/>
        <v>0</v>
      </c>
      <c r="AG92" s="501">
        <v>0</v>
      </c>
      <c r="AH92" s="501">
        <v>0</v>
      </c>
      <c r="AI92" s="501">
        <v>0</v>
      </c>
      <c r="AJ92" s="501">
        <v>0</v>
      </c>
      <c r="AK92" s="501">
        <v>0</v>
      </c>
      <c r="AL92" s="501">
        <f t="shared" si="149"/>
        <v>0</v>
      </c>
      <c r="AM92" s="501">
        <f t="shared" si="150"/>
        <v>0</v>
      </c>
      <c r="AN92" s="502">
        <f t="shared" si="129"/>
        <v>0</v>
      </c>
      <c r="AO92" s="499">
        <f>I92+AF92</f>
        <v>782052</v>
      </c>
      <c r="AP92" s="486">
        <f>J92+V92</f>
        <v>571998</v>
      </c>
      <c r="AQ92" s="486">
        <f>K92+Y92</f>
        <v>0</v>
      </c>
      <c r="AR92" s="480">
        <f>L92</f>
        <v>0</v>
      </c>
      <c r="AS92" s="486">
        <f t="shared" si="151"/>
        <v>193336</v>
      </c>
      <c r="AT92" s="486">
        <f t="shared" si="151"/>
        <v>11440</v>
      </c>
      <c r="AU92" s="486">
        <f>O92+AE92</f>
        <v>5278</v>
      </c>
      <c r="AV92" s="501">
        <f>P92+AN92</f>
        <v>1.94</v>
      </c>
      <c r="AW92" s="501">
        <f t="shared" si="152"/>
        <v>0</v>
      </c>
      <c r="AX92" s="502">
        <f t="shared" si="152"/>
        <v>1.94</v>
      </c>
    </row>
    <row r="93" spans="1:50" ht="12.95" customHeight="1" x14ac:dyDescent="0.25">
      <c r="A93" s="83">
        <v>16</v>
      </c>
      <c r="B93" s="526">
        <v>5435</v>
      </c>
      <c r="C93" s="527">
        <v>600099199</v>
      </c>
      <c r="D93" s="83">
        <v>72743077</v>
      </c>
      <c r="E93" s="536" t="s">
        <v>467</v>
      </c>
      <c r="F93" s="526">
        <v>3143</v>
      </c>
      <c r="G93" s="493" t="s">
        <v>634</v>
      </c>
      <c r="H93" s="493" t="s">
        <v>283</v>
      </c>
      <c r="I93" s="495">
        <v>575100</v>
      </c>
      <c r="J93" s="496">
        <v>423490</v>
      </c>
      <c r="K93" s="496">
        <v>0</v>
      </c>
      <c r="L93" s="496">
        <v>0</v>
      </c>
      <c r="M93" s="411">
        <v>143140</v>
      </c>
      <c r="N93" s="411">
        <v>8470</v>
      </c>
      <c r="O93" s="496">
        <v>0</v>
      </c>
      <c r="P93" s="497">
        <v>0.875</v>
      </c>
      <c r="Q93" s="412">
        <v>0.875</v>
      </c>
      <c r="R93" s="498">
        <v>0</v>
      </c>
      <c r="S93" s="499">
        <f t="shared" si="148"/>
        <v>0</v>
      </c>
      <c r="T93" s="486">
        <v>0</v>
      </c>
      <c r="U93" s="486">
        <v>0</v>
      </c>
      <c r="V93" s="486">
        <f>SUM(S93:U93)</f>
        <v>0</v>
      </c>
      <c r="W93" s="486">
        <v>0</v>
      </c>
      <c r="X93" s="486">
        <v>0</v>
      </c>
      <c r="Y93" s="486">
        <f>SUM(W93:X93)</f>
        <v>0</v>
      </c>
      <c r="Z93" s="486">
        <f>V93+Y93</f>
        <v>0</v>
      </c>
      <c r="AA93" s="319">
        <f>ROUND((V93+W93)*33.8%,0)</f>
        <v>0</v>
      </c>
      <c r="AB93" s="178">
        <f>ROUND(V93*2%,0)</f>
        <v>0</v>
      </c>
      <c r="AC93" s="486">
        <v>0</v>
      </c>
      <c r="AD93" s="486">
        <v>0</v>
      </c>
      <c r="AE93" s="486">
        <f t="shared" si="127"/>
        <v>0</v>
      </c>
      <c r="AF93" s="486">
        <f t="shared" si="128"/>
        <v>0</v>
      </c>
      <c r="AG93" s="501">
        <v>0</v>
      </c>
      <c r="AH93" s="501">
        <v>0</v>
      </c>
      <c r="AI93" s="501">
        <v>0</v>
      </c>
      <c r="AJ93" s="501">
        <v>0</v>
      </c>
      <c r="AK93" s="501">
        <v>0</v>
      </c>
      <c r="AL93" s="501">
        <f t="shared" si="149"/>
        <v>0</v>
      </c>
      <c r="AM93" s="501">
        <f t="shared" si="150"/>
        <v>0</v>
      </c>
      <c r="AN93" s="502">
        <f t="shared" si="129"/>
        <v>0</v>
      </c>
      <c r="AO93" s="499">
        <f>I93+AF93</f>
        <v>575100</v>
      </c>
      <c r="AP93" s="486">
        <f>J93+V93</f>
        <v>423490</v>
      </c>
      <c r="AQ93" s="486">
        <f>K93+Y93</f>
        <v>0</v>
      </c>
      <c r="AR93" s="480">
        <f>L93</f>
        <v>0</v>
      </c>
      <c r="AS93" s="486">
        <f t="shared" si="151"/>
        <v>143140</v>
      </c>
      <c r="AT93" s="486">
        <f t="shared" si="151"/>
        <v>8470</v>
      </c>
      <c r="AU93" s="486">
        <f>O93+AE93</f>
        <v>0</v>
      </c>
      <c r="AV93" s="501">
        <f>P93+AN93</f>
        <v>0.875</v>
      </c>
      <c r="AW93" s="501">
        <f t="shared" si="152"/>
        <v>0.875</v>
      </c>
      <c r="AX93" s="502">
        <f t="shared" si="152"/>
        <v>0</v>
      </c>
    </row>
    <row r="94" spans="1:50" ht="12.95" customHeight="1" x14ac:dyDescent="0.25">
      <c r="A94" s="83">
        <v>16</v>
      </c>
      <c r="B94" s="526">
        <v>5435</v>
      </c>
      <c r="C94" s="527">
        <v>600099199</v>
      </c>
      <c r="D94" s="83">
        <v>72743077</v>
      </c>
      <c r="E94" s="536" t="s">
        <v>467</v>
      </c>
      <c r="F94" s="526">
        <v>3143</v>
      </c>
      <c r="G94" s="493" t="s">
        <v>635</v>
      </c>
      <c r="H94" s="493" t="s">
        <v>284</v>
      </c>
      <c r="I94" s="495">
        <v>21066</v>
      </c>
      <c r="J94" s="496">
        <v>14850</v>
      </c>
      <c r="K94" s="496">
        <v>0</v>
      </c>
      <c r="L94" s="496">
        <v>0</v>
      </c>
      <c r="M94" s="411">
        <v>5019</v>
      </c>
      <c r="N94" s="411">
        <v>297</v>
      </c>
      <c r="O94" s="496">
        <v>900</v>
      </c>
      <c r="P94" s="497">
        <v>0.06</v>
      </c>
      <c r="Q94" s="412">
        <v>0</v>
      </c>
      <c r="R94" s="498">
        <v>0.06</v>
      </c>
      <c r="S94" s="499">
        <f t="shared" si="148"/>
        <v>0</v>
      </c>
      <c r="T94" s="486">
        <v>0</v>
      </c>
      <c r="U94" s="486">
        <v>0</v>
      </c>
      <c r="V94" s="486">
        <f>SUM(S94:U94)</f>
        <v>0</v>
      </c>
      <c r="W94" s="486">
        <v>0</v>
      </c>
      <c r="X94" s="486">
        <v>0</v>
      </c>
      <c r="Y94" s="486">
        <f>SUM(W94:X94)</f>
        <v>0</v>
      </c>
      <c r="Z94" s="486">
        <f>V94+Y94</f>
        <v>0</v>
      </c>
      <c r="AA94" s="319">
        <f>ROUND((V94+W94)*33.8%,0)</f>
        <v>0</v>
      </c>
      <c r="AB94" s="178">
        <f>ROUND(V94*2%,0)</f>
        <v>0</v>
      </c>
      <c r="AC94" s="486">
        <v>0</v>
      </c>
      <c r="AD94" s="486">
        <v>0</v>
      </c>
      <c r="AE94" s="486">
        <f t="shared" si="127"/>
        <v>0</v>
      </c>
      <c r="AF94" s="486">
        <f t="shared" si="128"/>
        <v>0</v>
      </c>
      <c r="AG94" s="501">
        <v>0</v>
      </c>
      <c r="AH94" s="501">
        <v>0</v>
      </c>
      <c r="AI94" s="501">
        <v>0</v>
      </c>
      <c r="AJ94" s="501">
        <v>0</v>
      </c>
      <c r="AK94" s="501">
        <v>0</v>
      </c>
      <c r="AL94" s="501">
        <f t="shared" si="149"/>
        <v>0</v>
      </c>
      <c r="AM94" s="501">
        <f t="shared" si="150"/>
        <v>0</v>
      </c>
      <c r="AN94" s="502">
        <f t="shared" si="129"/>
        <v>0</v>
      </c>
      <c r="AO94" s="499">
        <f>I94+AF94</f>
        <v>21066</v>
      </c>
      <c r="AP94" s="486">
        <f>J94+V94</f>
        <v>14850</v>
      </c>
      <c r="AQ94" s="486">
        <f>K94+Y94</f>
        <v>0</v>
      </c>
      <c r="AR94" s="480">
        <f>L94</f>
        <v>0</v>
      </c>
      <c r="AS94" s="486">
        <f t="shared" si="151"/>
        <v>5019</v>
      </c>
      <c r="AT94" s="486">
        <f t="shared" si="151"/>
        <v>297</v>
      </c>
      <c r="AU94" s="486">
        <f>O94+AE94</f>
        <v>900</v>
      </c>
      <c r="AV94" s="501">
        <f>P94+AN94</f>
        <v>0.06</v>
      </c>
      <c r="AW94" s="501">
        <f t="shared" si="152"/>
        <v>0</v>
      </c>
      <c r="AX94" s="502">
        <f t="shared" si="152"/>
        <v>0.06</v>
      </c>
    </row>
    <row r="95" spans="1:50" ht="12.95" customHeight="1" x14ac:dyDescent="0.25">
      <c r="A95" s="92">
        <v>16</v>
      </c>
      <c r="B95" s="104">
        <v>5435</v>
      </c>
      <c r="C95" s="105">
        <v>600099199</v>
      </c>
      <c r="D95" s="104">
        <v>72743077</v>
      </c>
      <c r="E95" s="119" t="s">
        <v>468</v>
      </c>
      <c r="F95" s="104"/>
      <c r="G95" s="122"/>
      <c r="H95" s="123"/>
      <c r="I95" s="130">
        <v>8796109</v>
      </c>
      <c r="J95" s="87">
        <v>6289009</v>
      </c>
      <c r="K95" s="87">
        <v>39057</v>
      </c>
      <c r="L95" s="87">
        <v>39057</v>
      </c>
      <c r="M95" s="87">
        <v>2125685</v>
      </c>
      <c r="N95" s="87">
        <v>125780</v>
      </c>
      <c r="O95" s="87">
        <v>216578</v>
      </c>
      <c r="P95" s="88">
        <v>13.665099999999999</v>
      </c>
      <c r="Q95" s="88">
        <v>8.6509</v>
      </c>
      <c r="R95" s="274">
        <v>5.0141999999999998</v>
      </c>
      <c r="S95" s="141">
        <f t="shared" ref="S95:AN95" si="153">SUM(S90:S94)</f>
        <v>0</v>
      </c>
      <c r="T95" s="87">
        <f t="shared" si="153"/>
        <v>0</v>
      </c>
      <c r="U95" s="87">
        <f t="shared" si="153"/>
        <v>0</v>
      </c>
      <c r="V95" s="87">
        <f t="shared" si="153"/>
        <v>0</v>
      </c>
      <c r="W95" s="87">
        <f t="shared" si="153"/>
        <v>0</v>
      </c>
      <c r="X95" s="87">
        <f t="shared" si="153"/>
        <v>0</v>
      </c>
      <c r="Y95" s="87">
        <f t="shared" si="153"/>
        <v>0</v>
      </c>
      <c r="Z95" s="87">
        <f t="shared" si="153"/>
        <v>0</v>
      </c>
      <c r="AA95" s="87">
        <f t="shared" si="153"/>
        <v>0</v>
      </c>
      <c r="AB95" s="87">
        <f t="shared" si="153"/>
        <v>0</v>
      </c>
      <c r="AC95" s="87">
        <f t="shared" si="153"/>
        <v>0</v>
      </c>
      <c r="AD95" s="87">
        <f t="shared" si="153"/>
        <v>0</v>
      </c>
      <c r="AE95" s="87">
        <f t="shared" si="153"/>
        <v>0</v>
      </c>
      <c r="AF95" s="87">
        <f t="shared" si="153"/>
        <v>0</v>
      </c>
      <c r="AG95" s="88">
        <f t="shared" si="153"/>
        <v>0</v>
      </c>
      <c r="AH95" s="88">
        <f t="shared" si="153"/>
        <v>0</v>
      </c>
      <c r="AI95" s="88">
        <f t="shared" si="153"/>
        <v>0</v>
      </c>
      <c r="AJ95" s="88">
        <f t="shared" si="153"/>
        <v>0</v>
      </c>
      <c r="AK95" s="88">
        <f t="shared" si="153"/>
        <v>0</v>
      </c>
      <c r="AL95" s="88">
        <f t="shared" si="153"/>
        <v>0</v>
      </c>
      <c r="AM95" s="88">
        <f t="shared" si="153"/>
        <v>0</v>
      </c>
      <c r="AN95" s="274">
        <f t="shared" si="153"/>
        <v>0</v>
      </c>
      <c r="AO95" s="141">
        <f t="shared" ref="AO95:AX95" si="154">SUM(AO90:AO94)</f>
        <v>8796109</v>
      </c>
      <c r="AP95" s="87">
        <f t="shared" si="154"/>
        <v>6289009</v>
      </c>
      <c r="AQ95" s="87">
        <f t="shared" si="154"/>
        <v>39057</v>
      </c>
      <c r="AR95" s="87">
        <f t="shared" si="154"/>
        <v>39057</v>
      </c>
      <c r="AS95" s="87">
        <f t="shared" si="154"/>
        <v>2125685</v>
      </c>
      <c r="AT95" s="87">
        <f t="shared" si="154"/>
        <v>125780</v>
      </c>
      <c r="AU95" s="87">
        <f t="shared" si="154"/>
        <v>216578</v>
      </c>
      <c r="AV95" s="88">
        <f t="shared" si="154"/>
        <v>13.665099999999999</v>
      </c>
      <c r="AW95" s="88">
        <f t="shared" si="154"/>
        <v>8.6509</v>
      </c>
      <c r="AX95" s="274">
        <f t="shared" si="154"/>
        <v>5.0141999999999998</v>
      </c>
    </row>
    <row r="96" spans="1:50" ht="12.95" customHeight="1" x14ac:dyDescent="0.25">
      <c r="A96" s="83">
        <v>17</v>
      </c>
      <c r="B96" s="526">
        <v>5474</v>
      </c>
      <c r="C96" s="83">
        <v>600099539</v>
      </c>
      <c r="D96" s="83">
        <v>70151504</v>
      </c>
      <c r="E96" s="536" t="s">
        <v>469</v>
      </c>
      <c r="F96" s="526">
        <v>3233</v>
      </c>
      <c r="G96" s="535" t="s">
        <v>324</v>
      </c>
      <c r="H96" s="493" t="s">
        <v>284</v>
      </c>
      <c r="I96" s="495">
        <v>2480569</v>
      </c>
      <c r="J96" s="496">
        <v>1812101</v>
      </c>
      <c r="K96" s="496">
        <v>0</v>
      </c>
      <c r="L96" s="496">
        <v>0</v>
      </c>
      <c r="M96" s="411">
        <v>612490</v>
      </c>
      <c r="N96" s="411">
        <v>36242</v>
      </c>
      <c r="O96" s="496">
        <v>19736</v>
      </c>
      <c r="P96" s="497">
        <v>4.12</v>
      </c>
      <c r="Q96" s="412">
        <v>2.9</v>
      </c>
      <c r="R96" s="498">
        <v>1.22</v>
      </c>
      <c r="S96" s="499">
        <f t="shared" ref="S96" si="155">W96*-1</f>
        <v>0</v>
      </c>
      <c r="T96" s="486">
        <v>0</v>
      </c>
      <c r="U96" s="486">
        <v>0</v>
      </c>
      <c r="V96" s="486">
        <f>SUM(S96:U96)</f>
        <v>0</v>
      </c>
      <c r="W96" s="486">
        <v>0</v>
      </c>
      <c r="X96" s="486">
        <v>0</v>
      </c>
      <c r="Y96" s="486">
        <f>SUM(W96:X96)</f>
        <v>0</v>
      </c>
      <c r="Z96" s="486">
        <f>V96+Y96</f>
        <v>0</v>
      </c>
      <c r="AA96" s="319">
        <f>ROUND((V96+W96)*33.8%,0)</f>
        <v>0</v>
      </c>
      <c r="AB96" s="178">
        <f>ROUND(V96*2%,0)</f>
        <v>0</v>
      </c>
      <c r="AC96" s="486">
        <v>0</v>
      </c>
      <c r="AD96" s="486">
        <v>0</v>
      </c>
      <c r="AE96" s="486">
        <f t="shared" si="127"/>
        <v>0</v>
      </c>
      <c r="AF96" s="486">
        <f t="shared" si="128"/>
        <v>0</v>
      </c>
      <c r="AG96" s="501">
        <v>0</v>
      </c>
      <c r="AH96" s="501">
        <v>0</v>
      </c>
      <c r="AI96" s="501">
        <v>0</v>
      </c>
      <c r="AJ96" s="501">
        <v>0</v>
      </c>
      <c r="AK96" s="501">
        <v>0</v>
      </c>
      <c r="AL96" s="501">
        <f>AG96+AI96+AJ96</f>
        <v>0</v>
      </c>
      <c r="AM96" s="501">
        <f>AH96+AK96</f>
        <v>0</v>
      </c>
      <c r="AN96" s="502">
        <f t="shared" si="129"/>
        <v>0</v>
      </c>
      <c r="AO96" s="499">
        <f>I96+AF96</f>
        <v>2480569</v>
      </c>
      <c r="AP96" s="486">
        <f>J96+V96</f>
        <v>1812101</v>
      </c>
      <c r="AQ96" s="486">
        <f>K96+Y96</f>
        <v>0</v>
      </c>
      <c r="AR96" s="480">
        <f>L96</f>
        <v>0</v>
      </c>
      <c r="AS96" s="486">
        <f>M96+AA96</f>
        <v>612490</v>
      </c>
      <c r="AT96" s="486">
        <f>N96+AB96</f>
        <v>36242</v>
      </c>
      <c r="AU96" s="486">
        <f>O96+AE96</f>
        <v>19736</v>
      </c>
      <c r="AV96" s="501">
        <f>P96+AN96</f>
        <v>4.12</v>
      </c>
      <c r="AW96" s="501">
        <f>Q96+AL96</f>
        <v>2.9</v>
      </c>
      <c r="AX96" s="502">
        <f>R96+AM96</f>
        <v>1.22</v>
      </c>
    </row>
    <row r="97" spans="1:50" ht="12.95" customHeight="1" x14ac:dyDescent="0.25">
      <c r="A97" s="92">
        <v>17</v>
      </c>
      <c r="B97" s="104">
        <v>5474</v>
      </c>
      <c r="C97" s="105">
        <v>600099539</v>
      </c>
      <c r="D97" s="104">
        <v>70151504</v>
      </c>
      <c r="E97" s="119" t="s">
        <v>470</v>
      </c>
      <c r="F97" s="104"/>
      <c r="G97" s="122"/>
      <c r="H97" s="123"/>
      <c r="I97" s="136">
        <v>2480569</v>
      </c>
      <c r="J97" s="116">
        <v>1812101</v>
      </c>
      <c r="K97" s="116">
        <v>0</v>
      </c>
      <c r="L97" s="116">
        <v>0</v>
      </c>
      <c r="M97" s="116">
        <v>612490</v>
      </c>
      <c r="N97" s="116">
        <v>36242</v>
      </c>
      <c r="O97" s="116">
        <v>19736</v>
      </c>
      <c r="P97" s="303">
        <v>4.12</v>
      </c>
      <c r="Q97" s="303">
        <v>2.9</v>
      </c>
      <c r="R97" s="304">
        <v>1.22</v>
      </c>
      <c r="S97" s="240">
        <f t="shared" ref="S97:AN97" si="156">SUM(S96)</f>
        <v>0</v>
      </c>
      <c r="T97" s="116">
        <f t="shared" si="156"/>
        <v>0</v>
      </c>
      <c r="U97" s="116">
        <f t="shared" si="156"/>
        <v>0</v>
      </c>
      <c r="V97" s="116">
        <f t="shared" si="156"/>
        <v>0</v>
      </c>
      <c r="W97" s="116">
        <f t="shared" si="156"/>
        <v>0</v>
      </c>
      <c r="X97" s="116">
        <f t="shared" si="156"/>
        <v>0</v>
      </c>
      <c r="Y97" s="116">
        <f t="shared" si="156"/>
        <v>0</v>
      </c>
      <c r="Z97" s="116">
        <f t="shared" si="156"/>
        <v>0</v>
      </c>
      <c r="AA97" s="116">
        <f t="shared" si="156"/>
        <v>0</v>
      </c>
      <c r="AB97" s="116">
        <f t="shared" si="156"/>
        <v>0</v>
      </c>
      <c r="AC97" s="116">
        <f t="shared" si="156"/>
        <v>0</v>
      </c>
      <c r="AD97" s="116">
        <f t="shared" si="156"/>
        <v>0</v>
      </c>
      <c r="AE97" s="116">
        <f t="shared" si="156"/>
        <v>0</v>
      </c>
      <c r="AF97" s="116">
        <f t="shared" si="156"/>
        <v>0</v>
      </c>
      <c r="AG97" s="303">
        <f t="shared" si="156"/>
        <v>0</v>
      </c>
      <c r="AH97" s="303">
        <f t="shared" si="156"/>
        <v>0</v>
      </c>
      <c r="AI97" s="303">
        <f t="shared" si="156"/>
        <v>0</v>
      </c>
      <c r="AJ97" s="303">
        <f t="shared" si="156"/>
        <v>0</v>
      </c>
      <c r="AK97" s="303">
        <f t="shared" si="156"/>
        <v>0</v>
      </c>
      <c r="AL97" s="303">
        <f t="shared" si="156"/>
        <v>0</v>
      </c>
      <c r="AM97" s="303">
        <f t="shared" si="156"/>
        <v>0</v>
      </c>
      <c r="AN97" s="304">
        <f t="shared" si="156"/>
        <v>0</v>
      </c>
      <c r="AO97" s="240">
        <f t="shared" ref="AO97:AX97" si="157">SUM(AO96)</f>
        <v>2480569</v>
      </c>
      <c r="AP97" s="116">
        <f t="shared" si="157"/>
        <v>1812101</v>
      </c>
      <c r="AQ97" s="116">
        <f t="shared" si="157"/>
        <v>0</v>
      </c>
      <c r="AR97" s="116">
        <f t="shared" si="157"/>
        <v>0</v>
      </c>
      <c r="AS97" s="116">
        <f t="shared" si="157"/>
        <v>612490</v>
      </c>
      <c r="AT97" s="116">
        <f t="shared" si="157"/>
        <v>36242</v>
      </c>
      <c r="AU97" s="116">
        <f t="shared" si="157"/>
        <v>19736</v>
      </c>
      <c r="AV97" s="303">
        <f t="shared" si="157"/>
        <v>4.12</v>
      </c>
      <c r="AW97" s="303">
        <f t="shared" si="157"/>
        <v>2.9</v>
      </c>
      <c r="AX97" s="304">
        <f t="shared" si="157"/>
        <v>1.22</v>
      </c>
    </row>
    <row r="98" spans="1:50" ht="12.95" customHeight="1" x14ac:dyDescent="0.25">
      <c r="A98" s="83">
        <v>18</v>
      </c>
      <c r="B98" s="526">
        <v>5477</v>
      </c>
      <c r="C98" s="527">
        <v>600098541</v>
      </c>
      <c r="D98" s="83">
        <v>70698040</v>
      </c>
      <c r="E98" s="536" t="s">
        <v>471</v>
      </c>
      <c r="F98" s="526">
        <v>3111</v>
      </c>
      <c r="G98" s="535" t="s">
        <v>331</v>
      </c>
      <c r="H98" s="493" t="s">
        <v>283</v>
      </c>
      <c r="I98" s="495">
        <v>4796928</v>
      </c>
      <c r="J98" s="496">
        <v>3497812</v>
      </c>
      <c r="K98" s="496">
        <v>0</v>
      </c>
      <c r="L98" s="496">
        <v>0</v>
      </c>
      <c r="M98" s="411">
        <v>1182260</v>
      </c>
      <c r="N98" s="411">
        <v>69956</v>
      </c>
      <c r="O98" s="496">
        <v>46900</v>
      </c>
      <c r="P98" s="497">
        <v>8.2792999999999992</v>
      </c>
      <c r="Q98" s="412">
        <v>6.1451000000000002</v>
      </c>
      <c r="R98" s="498">
        <v>2.1341999999999999</v>
      </c>
      <c r="S98" s="499">
        <f t="shared" ref="S98:S99" si="158">W98*-1</f>
        <v>0</v>
      </c>
      <c r="T98" s="486">
        <v>0</v>
      </c>
      <c r="U98" s="486">
        <v>0</v>
      </c>
      <c r="V98" s="486">
        <f>SUM(S98:U98)</f>
        <v>0</v>
      </c>
      <c r="W98" s="486">
        <v>0</v>
      </c>
      <c r="X98" s="486">
        <v>0</v>
      </c>
      <c r="Y98" s="486">
        <f>SUM(W98:X98)</f>
        <v>0</v>
      </c>
      <c r="Z98" s="486">
        <f>V98+Y98</f>
        <v>0</v>
      </c>
      <c r="AA98" s="319">
        <f>ROUND((V98+W98)*33.8%,0)</f>
        <v>0</v>
      </c>
      <c r="AB98" s="178">
        <f>ROUND(V98*2%,0)</f>
        <v>0</v>
      </c>
      <c r="AC98" s="486">
        <v>0</v>
      </c>
      <c r="AD98" s="486">
        <v>0</v>
      </c>
      <c r="AE98" s="486">
        <f t="shared" si="127"/>
        <v>0</v>
      </c>
      <c r="AF98" s="486">
        <f t="shared" si="128"/>
        <v>0</v>
      </c>
      <c r="AG98" s="501">
        <v>0</v>
      </c>
      <c r="AH98" s="501">
        <v>0</v>
      </c>
      <c r="AI98" s="501">
        <v>0</v>
      </c>
      <c r="AJ98" s="501">
        <v>0</v>
      </c>
      <c r="AK98" s="501">
        <v>0</v>
      </c>
      <c r="AL98" s="501">
        <f t="shared" ref="AL98:AL99" si="159">AG98+AI98+AJ98</f>
        <v>0</v>
      </c>
      <c r="AM98" s="501">
        <f t="shared" ref="AM98:AM99" si="160">AH98+AK98</f>
        <v>0</v>
      </c>
      <c r="AN98" s="502">
        <f t="shared" si="129"/>
        <v>0</v>
      </c>
      <c r="AO98" s="499">
        <f>I98+AF98</f>
        <v>4796928</v>
      </c>
      <c r="AP98" s="486">
        <f>J98+V98</f>
        <v>3497812</v>
      </c>
      <c r="AQ98" s="486">
        <f>K98+Y98</f>
        <v>0</v>
      </c>
      <c r="AR98" s="480">
        <f>L98</f>
        <v>0</v>
      </c>
      <c r="AS98" s="486">
        <f>M98+AA98</f>
        <v>1182260</v>
      </c>
      <c r="AT98" s="486">
        <f>N98+AB98</f>
        <v>69956</v>
      </c>
      <c r="AU98" s="486">
        <f>O98+AE98</f>
        <v>46900</v>
      </c>
      <c r="AV98" s="501">
        <f>P98+AN98</f>
        <v>8.2792999999999992</v>
      </c>
      <c r="AW98" s="501">
        <f>Q98+AL98</f>
        <v>6.1451000000000002</v>
      </c>
      <c r="AX98" s="502">
        <f>R98+AM98</f>
        <v>2.1341999999999999</v>
      </c>
    </row>
    <row r="99" spans="1:50" ht="12.95" customHeight="1" x14ac:dyDescent="0.25">
      <c r="A99" s="83">
        <v>18</v>
      </c>
      <c r="B99" s="526">
        <v>5477</v>
      </c>
      <c r="C99" s="527">
        <v>600098541</v>
      </c>
      <c r="D99" s="83">
        <v>70698040</v>
      </c>
      <c r="E99" s="536" t="s">
        <v>471</v>
      </c>
      <c r="F99" s="526">
        <v>3141</v>
      </c>
      <c r="G99" s="535" t="s">
        <v>321</v>
      </c>
      <c r="H99" s="493" t="s">
        <v>284</v>
      </c>
      <c r="I99" s="495">
        <v>781590</v>
      </c>
      <c r="J99" s="496">
        <v>567757</v>
      </c>
      <c r="K99" s="496">
        <v>5000</v>
      </c>
      <c r="L99" s="496">
        <v>0</v>
      </c>
      <c r="M99" s="411">
        <v>193592</v>
      </c>
      <c r="N99" s="411">
        <v>11355</v>
      </c>
      <c r="O99" s="496">
        <v>3886</v>
      </c>
      <c r="P99" s="497">
        <v>1.95</v>
      </c>
      <c r="Q99" s="412">
        <v>0</v>
      </c>
      <c r="R99" s="498">
        <v>1.95</v>
      </c>
      <c r="S99" s="499">
        <f t="shared" si="158"/>
        <v>0</v>
      </c>
      <c r="T99" s="486">
        <v>0</v>
      </c>
      <c r="U99" s="486">
        <v>0</v>
      </c>
      <c r="V99" s="486">
        <f>SUM(S99:U99)</f>
        <v>0</v>
      </c>
      <c r="W99" s="486">
        <v>0</v>
      </c>
      <c r="X99" s="486">
        <v>0</v>
      </c>
      <c r="Y99" s="486">
        <f>SUM(W99:X99)</f>
        <v>0</v>
      </c>
      <c r="Z99" s="486">
        <f>V99+Y99</f>
        <v>0</v>
      </c>
      <c r="AA99" s="319">
        <f>ROUND((V99+W99)*33.8%,0)</f>
        <v>0</v>
      </c>
      <c r="AB99" s="178">
        <f>ROUND(V99*2%,0)</f>
        <v>0</v>
      </c>
      <c r="AC99" s="486">
        <v>0</v>
      </c>
      <c r="AD99" s="486">
        <v>0</v>
      </c>
      <c r="AE99" s="486">
        <f t="shared" si="127"/>
        <v>0</v>
      </c>
      <c r="AF99" s="486">
        <f t="shared" si="128"/>
        <v>0</v>
      </c>
      <c r="AG99" s="501">
        <v>0</v>
      </c>
      <c r="AH99" s="501">
        <v>0</v>
      </c>
      <c r="AI99" s="501">
        <v>0</v>
      </c>
      <c r="AJ99" s="501">
        <v>0</v>
      </c>
      <c r="AK99" s="501">
        <v>0</v>
      </c>
      <c r="AL99" s="501">
        <f t="shared" si="159"/>
        <v>0</v>
      </c>
      <c r="AM99" s="501">
        <f t="shared" si="160"/>
        <v>0</v>
      </c>
      <c r="AN99" s="502">
        <f t="shared" si="129"/>
        <v>0</v>
      </c>
      <c r="AO99" s="499">
        <f>I99+AF99</f>
        <v>781590</v>
      </c>
      <c r="AP99" s="486">
        <f>J99+V99</f>
        <v>567757</v>
      </c>
      <c r="AQ99" s="486">
        <f>K99+Y99</f>
        <v>5000</v>
      </c>
      <c r="AR99" s="480">
        <f>L99</f>
        <v>0</v>
      </c>
      <c r="AS99" s="486">
        <f>M99+AA99</f>
        <v>193592</v>
      </c>
      <c r="AT99" s="486">
        <f>N99+AB99</f>
        <v>11355</v>
      </c>
      <c r="AU99" s="486">
        <f>O99+AE99</f>
        <v>3886</v>
      </c>
      <c r="AV99" s="501">
        <f>P99+AN99</f>
        <v>1.95</v>
      </c>
      <c r="AW99" s="501">
        <f>Q99+AL99</f>
        <v>0</v>
      </c>
      <c r="AX99" s="502">
        <f>R99+AM99</f>
        <v>1.95</v>
      </c>
    </row>
    <row r="100" spans="1:50" ht="12.95" customHeight="1" x14ac:dyDescent="0.25">
      <c r="A100" s="92">
        <v>18</v>
      </c>
      <c r="B100" s="104">
        <v>5477</v>
      </c>
      <c r="C100" s="105">
        <v>600098541</v>
      </c>
      <c r="D100" s="104">
        <v>70698040</v>
      </c>
      <c r="E100" s="119" t="s">
        <v>472</v>
      </c>
      <c r="F100" s="104"/>
      <c r="G100" s="122"/>
      <c r="H100" s="123"/>
      <c r="I100" s="136">
        <v>5578518</v>
      </c>
      <c r="J100" s="116">
        <v>4065569</v>
      </c>
      <c r="K100" s="116">
        <v>5000</v>
      </c>
      <c r="L100" s="116">
        <v>0</v>
      </c>
      <c r="M100" s="116">
        <v>1375852</v>
      </c>
      <c r="N100" s="116">
        <v>81311</v>
      </c>
      <c r="O100" s="116">
        <v>50786</v>
      </c>
      <c r="P100" s="303">
        <v>10.229299999999999</v>
      </c>
      <c r="Q100" s="303">
        <v>6.1451000000000002</v>
      </c>
      <c r="R100" s="304">
        <v>4.0842000000000001</v>
      </c>
      <c r="S100" s="240">
        <f t="shared" ref="S100:AN100" si="161">SUM(S98:S99)</f>
        <v>0</v>
      </c>
      <c r="T100" s="116">
        <f t="shared" si="161"/>
        <v>0</v>
      </c>
      <c r="U100" s="116">
        <f t="shared" si="161"/>
        <v>0</v>
      </c>
      <c r="V100" s="116">
        <f t="shared" si="161"/>
        <v>0</v>
      </c>
      <c r="W100" s="116">
        <f t="shared" si="161"/>
        <v>0</v>
      </c>
      <c r="X100" s="116">
        <f t="shared" si="161"/>
        <v>0</v>
      </c>
      <c r="Y100" s="116">
        <f t="shared" si="161"/>
        <v>0</v>
      </c>
      <c r="Z100" s="116">
        <f t="shared" si="161"/>
        <v>0</v>
      </c>
      <c r="AA100" s="116">
        <f t="shared" si="161"/>
        <v>0</v>
      </c>
      <c r="AB100" s="116">
        <f t="shared" si="161"/>
        <v>0</v>
      </c>
      <c r="AC100" s="116">
        <f t="shared" si="161"/>
        <v>0</v>
      </c>
      <c r="AD100" s="116">
        <f t="shared" si="161"/>
        <v>0</v>
      </c>
      <c r="AE100" s="116">
        <f t="shared" si="161"/>
        <v>0</v>
      </c>
      <c r="AF100" s="116">
        <f t="shared" si="161"/>
        <v>0</v>
      </c>
      <c r="AG100" s="303">
        <f t="shared" si="161"/>
        <v>0</v>
      </c>
      <c r="AH100" s="303">
        <f t="shared" si="161"/>
        <v>0</v>
      </c>
      <c r="AI100" s="303">
        <f t="shared" si="161"/>
        <v>0</v>
      </c>
      <c r="AJ100" s="303">
        <f t="shared" si="161"/>
        <v>0</v>
      </c>
      <c r="AK100" s="303">
        <f t="shared" si="161"/>
        <v>0</v>
      </c>
      <c r="AL100" s="303">
        <f t="shared" si="161"/>
        <v>0</v>
      </c>
      <c r="AM100" s="303">
        <f t="shared" si="161"/>
        <v>0</v>
      </c>
      <c r="AN100" s="304">
        <f t="shared" si="161"/>
        <v>0</v>
      </c>
      <c r="AO100" s="240">
        <f t="shared" ref="AO100:AX100" si="162">SUM(AO98:AO99)</f>
        <v>5578518</v>
      </c>
      <c r="AP100" s="116">
        <f t="shared" si="162"/>
        <v>4065569</v>
      </c>
      <c r="AQ100" s="116">
        <f t="shared" si="162"/>
        <v>5000</v>
      </c>
      <c r="AR100" s="116">
        <f t="shared" si="162"/>
        <v>0</v>
      </c>
      <c r="AS100" s="116">
        <f t="shared" si="162"/>
        <v>1375852</v>
      </c>
      <c r="AT100" s="116">
        <f t="shared" si="162"/>
        <v>81311</v>
      </c>
      <c r="AU100" s="116">
        <f t="shared" si="162"/>
        <v>50786</v>
      </c>
      <c r="AV100" s="303">
        <f t="shared" si="162"/>
        <v>10.229299999999999</v>
      </c>
      <c r="AW100" s="303">
        <f t="shared" si="162"/>
        <v>6.1451000000000002</v>
      </c>
      <c r="AX100" s="304">
        <f t="shared" si="162"/>
        <v>4.0842000000000001</v>
      </c>
    </row>
    <row r="101" spans="1:50" ht="12.95" customHeight="1" x14ac:dyDescent="0.25">
      <c r="A101" s="83">
        <v>19</v>
      </c>
      <c r="B101" s="526">
        <v>5478</v>
      </c>
      <c r="C101" s="527">
        <v>600098818</v>
      </c>
      <c r="D101" s="83">
        <v>70698031</v>
      </c>
      <c r="E101" s="536" t="s">
        <v>473</v>
      </c>
      <c r="F101" s="526">
        <v>3111</v>
      </c>
      <c r="G101" s="535" t="s">
        <v>331</v>
      </c>
      <c r="H101" s="493" t="s">
        <v>283</v>
      </c>
      <c r="I101" s="495">
        <v>3425793</v>
      </c>
      <c r="J101" s="496">
        <v>2495356</v>
      </c>
      <c r="K101" s="496">
        <v>0</v>
      </c>
      <c r="L101" s="496">
        <v>0</v>
      </c>
      <c r="M101" s="411">
        <v>843430</v>
      </c>
      <c r="N101" s="411">
        <v>49907</v>
      </c>
      <c r="O101" s="496">
        <v>37100</v>
      </c>
      <c r="P101" s="497">
        <v>5.5219999999999994</v>
      </c>
      <c r="Q101" s="412">
        <v>4.0321999999999996</v>
      </c>
      <c r="R101" s="498">
        <v>1.4898</v>
      </c>
      <c r="S101" s="499">
        <f t="shared" ref="S101:S102" si="163">W101*-1</f>
        <v>0</v>
      </c>
      <c r="T101" s="486">
        <v>0</v>
      </c>
      <c r="U101" s="486">
        <v>-11782</v>
      </c>
      <c r="V101" s="486">
        <f>SUM(S101:U101)</f>
        <v>-11782</v>
      </c>
      <c r="W101" s="486">
        <v>0</v>
      </c>
      <c r="X101" s="486">
        <v>0</v>
      </c>
      <c r="Y101" s="486">
        <f>SUM(W101:X101)</f>
        <v>0</v>
      </c>
      <c r="Z101" s="486">
        <f>V101+Y101</f>
        <v>-11782</v>
      </c>
      <c r="AA101" s="319">
        <f>ROUND((V101+W101)*33.8%,0)</f>
        <v>-3982</v>
      </c>
      <c r="AB101" s="178">
        <f>ROUND(V101*2%,0)</f>
        <v>-236</v>
      </c>
      <c r="AC101" s="486">
        <v>0</v>
      </c>
      <c r="AD101" s="486">
        <v>16000</v>
      </c>
      <c r="AE101" s="486">
        <f t="shared" si="127"/>
        <v>16000</v>
      </c>
      <c r="AF101" s="486">
        <f t="shared" si="128"/>
        <v>0</v>
      </c>
      <c r="AG101" s="501">
        <v>0</v>
      </c>
      <c r="AH101" s="501">
        <v>0</v>
      </c>
      <c r="AI101" s="501">
        <v>0</v>
      </c>
      <c r="AJ101" s="501">
        <v>0</v>
      </c>
      <c r="AK101" s="501">
        <v>0</v>
      </c>
      <c r="AL101" s="501">
        <f t="shared" ref="AL101:AL102" si="164">AG101+AI101+AJ101</f>
        <v>0</v>
      </c>
      <c r="AM101" s="501">
        <f t="shared" ref="AM101:AM102" si="165">AH101+AK101</f>
        <v>0</v>
      </c>
      <c r="AN101" s="502">
        <f t="shared" si="129"/>
        <v>0</v>
      </c>
      <c r="AO101" s="499">
        <f>I101+AF101</f>
        <v>3425793</v>
      </c>
      <c r="AP101" s="486">
        <f>J101+V101</f>
        <v>2483574</v>
      </c>
      <c r="AQ101" s="486">
        <f>K101+Y101</f>
        <v>0</v>
      </c>
      <c r="AR101" s="480">
        <f>L101</f>
        <v>0</v>
      </c>
      <c r="AS101" s="486">
        <f>M101+AA101</f>
        <v>839448</v>
      </c>
      <c r="AT101" s="486">
        <f>N101+AB101</f>
        <v>49671</v>
      </c>
      <c r="AU101" s="486">
        <f>O101+AE101</f>
        <v>53100</v>
      </c>
      <c r="AV101" s="501">
        <f>P101+AN101</f>
        <v>5.5219999999999994</v>
      </c>
      <c r="AW101" s="501">
        <f>Q101+AL101</f>
        <v>4.0321999999999996</v>
      </c>
      <c r="AX101" s="502">
        <f>R101+AM101</f>
        <v>1.4898</v>
      </c>
    </row>
    <row r="102" spans="1:50" ht="12.95" customHeight="1" x14ac:dyDescent="0.25">
      <c r="A102" s="83">
        <v>19</v>
      </c>
      <c r="B102" s="83">
        <v>5478</v>
      </c>
      <c r="C102" s="107">
        <v>600098818</v>
      </c>
      <c r="D102" s="83">
        <v>70698031</v>
      </c>
      <c r="E102" s="492" t="s">
        <v>473</v>
      </c>
      <c r="F102" s="83">
        <v>3141</v>
      </c>
      <c r="G102" s="535" t="s">
        <v>321</v>
      </c>
      <c r="H102" s="493" t="s">
        <v>284</v>
      </c>
      <c r="I102" s="495">
        <v>654251</v>
      </c>
      <c r="J102" s="496">
        <v>479512</v>
      </c>
      <c r="K102" s="496">
        <v>0</v>
      </c>
      <c r="L102" s="496">
        <v>0</v>
      </c>
      <c r="M102" s="411">
        <v>162075</v>
      </c>
      <c r="N102" s="411">
        <v>9590</v>
      </c>
      <c r="O102" s="496">
        <v>3074</v>
      </c>
      <c r="P102" s="497">
        <v>1.6099999999999999</v>
      </c>
      <c r="Q102" s="412">
        <v>0</v>
      </c>
      <c r="R102" s="498">
        <v>1.6099999999999999</v>
      </c>
      <c r="S102" s="499">
        <f t="shared" si="163"/>
        <v>0</v>
      </c>
      <c r="T102" s="486">
        <v>0</v>
      </c>
      <c r="U102" s="486">
        <v>0</v>
      </c>
      <c r="V102" s="486">
        <f>SUM(S102:U102)</f>
        <v>0</v>
      </c>
      <c r="W102" s="486">
        <v>0</v>
      </c>
      <c r="X102" s="486">
        <v>0</v>
      </c>
      <c r="Y102" s="486">
        <f>SUM(W102:X102)</f>
        <v>0</v>
      </c>
      <c r="Z102" s="486">
        <f>V102+Y102</f>
        <v>0</v>
      </c>
      <c r="AA102" s="319">
        <f>ROUND((V102+W102)*33.8%,0)</f>
        <v>0</v>
      </c>
      <c r="AB102" s="178">
        <f>ROUND(V102*2%,0)</f>
        <v>0</v>
      </c>
      <c r="AC102" s="486">
        <v>0</v>
      </c>
      <c r="AD102" s="486">
        <v>0</v>
      </c>
      <c r="AE102" s="486">
        <f t="shared" si="127"/>
        <v>0</v>
      </c>
      <c r="AF102" s="486">
        <f t="shared" si="128"/>
        <v>0</v>
      </c>
      <c r="AG102" s="501">
        <v>0</v>
      </c>
      <c r="AH102" s="501">
        <v>0</v>
      </c>
      <c r="AI102" s="501">
        <v>0</v>
      </c>
      <c r="AJ102" s="501">
        <v>0</v>
      </c>
      <c r="AK102" s="501">
        <v>0</v>
      </c>
      <c r="AL102" s="501">
        <f t="shared" si="164"/>
        <v>0</v>
      </c>
      <c r="AM102" s="501">
        <f t="shared" si="165"/>
        <v>0</v>
      </c>
      <c r="AN102" s="502">
        <f t="shared" si="129"/>
        <v>0</v>
      </c>
      <c r="AO102" s="499">
        <f>I102+AF102</f>
        <v>654251</v>
      </c>
      <c r="AP102" s="486">
        <f>J102+V102</f>
        <v>479512</v>
      </c>
      <c r="AQ102" s="486">
        <f>K102+Y102</f>
        <v>0</v>
      </c>
      <c r="AR102" s="480">
        <f>L102</f>
        <v>0</v>
      </c>
      <c r="AS102" s="486">
        <f>M102+AA102</f>
        <v>162075</v>
      </c>
      <c r="AT102" s="486">
        <f>N102+AB102</f>
        <v>9590</v>
      </c>
      <c r="AU102" s="486">
        <f>O102+AE102</f>
        <v>3074</v>
      </c>
      <c r="AV102" s="501">
        <f>P102+AN102</f>
        <v>1.6099999999999999</v>
      </c>
      <c r="AW102" s="501">
        <f>Q102+AL102</f>
        <v>0</v>
      </c>
      <c r="AX102" s="502">
        <f>R102+AM102</f>
        <v>1.6099999999999999</v>
      </c>
    </row>
    <row r="103" spans="1:50" ht="12.95" customHeight="1" x14ac:dyDescent="0.25">
      <c r="A103" s="92">
        <v>19</v>
      </c>
      <c r="B103" s="85">
        <v>5478</v>
      </c>
      <c r="C103" s="113">
        <v>600098818</v>
      </c>
      <c r="D103" s="85">
        <v>70698031</v>
      </c>
      <c r="E103" s="89" t="s">
        <v>474</v>
      </c>
      <c r="F103" s="85"/>
      <c r="G103" s="114"/>
      <c r="H103" s="115"/>
      <c r="I103" s="136">
        <v>4080044</v>
      </c>
      <c r="J103" s="423">
        <v>2974868</v>
      </c>
      <c r="K103" s="423">
        <v>0</v>
      </c>
      <c r="L103" s="423">
        <v>0</v>
      </c>
      <c r="M103" s="423">
        <v>1005505</v>
      </c>
      <c r="N103" s="423">
        <v>59497</v>
      </c>
      <c r="O103" s="423">
        <v>40174</v>
      </c>
      <c r="P103" s="303">
        <v>7.1319999999999997</v>
      </c>
      <c r="Q103" s="303">
        <v>4.0321999999999996</v>
      </c>
      <c r="R103" s="304">
        <v>3.0998000000000001</v>
      </c>
      <c r="S103" s="240">
        <f t="shared" ref="S103:AN103" si="166">SUM(S101:S102)</f>
        <v>0</v>
      </c>
      <c r="T103" s="116">
        <f t="shared" si="166"/>
        <v>0</v>
      </c>
      <c r="U103" s="116">
        <f t="shared" si="166"/>
        <v>-11782</v>
      </c>
      <c r="V103" s="116">
        <f t="shared" si="166"/>
        <v>-11782</v>
      </c>
      <c r="W103" s="116">
        <f t="shared" si="166"/>
        <v>0</v>
      </c>
      <c r="X103" s="116">
        <f t="shared" si="166"/>
        <v>0</v>
      </c>
      <c r="Y103" s="116">
        <f t="shared" si="166"/>
        <v>0</v>
      </c>
      <c r="Z103" s="116">
        <f t="shared" si="166"/>
        <v>-11782</v>
      </c>
      <c r="AA103" s="116">
        <f t="shared" si="166"/>
        <v>-3982</v>
      </c>
      <c r="AB103" s="116">
        <f t="shared" si="166"/>
        <v>-236</v>
      </c>
      <c r="AC103" s="116">
        <f t="shared" si="166"/>
        <v>0</v>
      </c>
      <c r="AD103" s="116">
        <f t="shared" si="166"/>
        <v>16000</v>
      </c>
      <c r="AE103" s="116">
        <f t="shared" si="166"/>
        <v>16000</v>
      </c>
      <c r="AF103" s="116">
        <f t="shared" si="166"/>
        <v>0</v>
      </c>
      <c r="AG103" s="303">
        <f t="shared" si="166"/>
        <v>0</v>
      </c>
      <c r="AH103" s="303">
        <f t="shared" si="166"/>
        <v>0</v>
      </c>
      <c r="AI103" s="303">
        <f t="shared" si="166"/>
        <v>0</v>
      </c>
      <c r="AJ103" s="303">
        <f t="shared" si="166"/>
        <v>0</v>
      </c>
      <c r="AK103" s="303">
        <f t="shared" si="166"/>
        <v>0</v>
      </c>
      <c r="AL103" s="303">
        <f t="shared" si="166"/>
        <v>0</v>
      </c>
      <c r="AM103" s="303">
        <f t="shared" si="166"/>
        <v>0</v>
      </c>
      <c r="AN103" s="304">
        <f t="shared" si="166"/>
        <v>0</v>
      </c>
      <c r="AO103" s="240">
        <f t="shared" ref="AO103:AX103" si="167">SUM(AO101:AO102)</f>
        <v>4080044</v>
      </c>
      <c r="AP103" s="116">
        <f t="shared" si="167"/>
        <v>2963086</v>
      </c>
      <c r="AQ103" s="116">
        <f t="shared" si="167"/>
        <v>0</v>
      </c>
      <c r="AR103" s="116">
        <f t="shared" si="167"/>
        <v>0</v>
      </c>
      <c r="AS103" s="116">
        <f t="shared" si="167"/>
        <v>1001523</v>
      </c>
      <c r="AT103" s="116">
        <f t="shared" si="167"/>
        <v>59261</v>
      </c>
      <c r="AU103" s="116">
        <f t="shared" si="167"/>
        <v>56174</v>
      </c>
      <c r="AV103" s="303">
        <f t="shared" si="167"/>
        <v>7.1319999999999997</v>
      </c>
      <c r="AW103" s="303">
        <f t="shared" si="167"/>
        <v>4.0321999999999996</v>
      </c>
      <c r="AX103" s="304">
        <f t="shared" si="167"/>
        <v>3.0998000000000001</v>
      </c>
    </row>
    <row r="104" spans="1:50" ht="12.95" customHeight="1" x14ac:dyDescent="0.25">
      <c r="A104" s="83">
        <v>20</v>
      </c>
      <c r="B104" s="526">
        <v>5479</v>
      </c>
      <c r="C104" s="527">
        <v>600099105</v>
      </c>
      <c r="D104" s="83">
        <v>70910600</v>
      </c>
      <c r="E104" s="536" t="s">
        <v>475</v>
      </c>
      <c r="F104" s="526">
        <v>3113</v>
      </c>
      <c r="G104" s="535" t="s">
        <v>335</v>
      </c>
      <c r="H104" s="493" t="s">
        <v>283</v>
      </c>
      <c r="I104" s="495">
        <v>14898332</v>
      </c>
      <c r="J104" s="496">
        <v>10601693</v>
      </c>
      <c r="K104" s="496">
        <v>64710</v>
      </c>
      <c r="L104" s="496">
        <v>59910</v>
      </c>
      <c r="M104" s="411">
        <v>3584995</v>
      </c>
      <c r="N104" s="411">
        <v>212034</v>
      </c>
      <c r="O104" s="496">
        <v>434900</v>
      </c>
      <c r="P104" s="497">
        <v>19.9176</v>
      </c>
      <c r="Q104" s="412">
        <v>15</v>
      </c>
      <c r="R104" s="498">
        <v>4.9176000000000002</v>
      </c>
      <c r="S104" s="499">
        <f t="shared" ref="S104:S109" si="168">W104*-1</f>
        <v>0</v>
      </c>
      <c r="T104" s="486">
        <v>0</v>
      </c>
      <c r="U104" s="486">
        <v>0</v>
      </c>
      <c r="V104" s="486">
        <f t="shared" ref="V104:V109" si="169">SUM(S104:U104)</f>
        <v>0</v>
      </c>
      <c r="W104" s="486">
        <v>0</v>
      </c>
      <c r="X104" s="486">
        <v>0</v>
      </c>
      <c r="Y104" s="486">
        <f t="shared" ref="Y104:Y109" si="170">SUM(W104:X104)</f>
        <v>0</v>
      </c>
      <c r="Z104" s="486">
        <f t="shared" ref="Z104:Z109" si="171">V104+Y104</f>
        <v>0</v>
      </c>
      <c r="AA104" s="319">
        <f t="shared" ref="AA104:AA109" si="172">ROUND((V104+W104)*33.8%,0)</f>
        <v>0</v>
      </c>
      <c r="AB104" s="178">
        <f t="shared" ref="AB104:AB109" si="173">ROUND(V104*2%,0)</f>
        <v>0</v>
      </c>
      <c r="AC104" s="486">
        <v>0</v>
      </c>
      <c r="AD104" s="486">
        <v>0</v>
      </c>
      <c r="AE104" s="486">
        <f t="shared" si="127"/>
        <v>0</v>
      </c>
      <c r="AF104" s="486">
        <f t="shared" si="128"/>
        <v>0</v>
      </c>
      <c r="AG104" s="501">
        <v>0</v>
      </c>
      <c r="AH104" s="501">
        <v>0</v>
      </c>
      <c r="AI104" s="501">
        <v>0</v>
      </c>
      <c r="AJ104" s="501">
        <v>0</v>
      </c>
      <c r="AK104" s="501">
        <v>0</v>
      </c>
      <c r="AL104" s="501">
        <f t="shared" ref="AL104:AL109" si="174">AG104+AI104+AJ104</f>
        <v>0</v>
      </c>
      <c r="AM104" s="501">
        <f t="shared" ref="AM104:AM109" si="175">AH104+AK104</f>
        <v>0</v>
      </c>
      <c r="AN104" s="502">
        <f t="shared" si="129"/>
        <v>0</v>
      </c>
      <c r="AO104" s="499">
        <f t="shared" ref="AO104:AO109" si="176">I104+AF104</f>
        <v>14898332</v>
      </c>
      <c r="AP104" s="486">
        <f t="shared" ref="AP104:AP109" si="177">J104+V104</f>
        <v>10601693</v>
      </c>
      <c r="AQ104" s="486">
        <f t="shared" ref="AQ104:AQ109" si="178">K104+Y104</f>
        <v>64710</v>
      </c>
      <c r="AR104" s="480">
        <f t="shared" ref="AR104:AR109" si="179">L104</f>
        <v>59910</v>
      </c>
      <c r="AS104" s="486">
        <f t="shared" ref="AS104:AT109" si="180">M104+AA104</f>
        <v>3584995</v>
      </c>
      <c r="AT104" s="486">
        <f t="shared" si="180"/>
        <v>212034</v>
      </c>
      <c r="AU104" s="486">
        <f t="shared" ref="AU104:AU109" si="181">O104+AE104</f>
        <v>434900</v>
      </c>
      <c r="AV104" s="501">
        <f t="shared" ref="AV104:AV109" si="182">P104+AN104</f>
        <v>19.9176</v>
      </c>
      <c r="AW104" s="501">
        <f t="shared" ref="AW104:AX109" si="183">Q104+AL104</f>
        <v>15</v>
      </c>
      <c r="AX104" s="502">
        <f t="shared" si="183"/>
        <v>4.9176000000000002</v>
      </c>
    </row>
    <row r="105" spans="1:50" ht="12.95" customHeight="1" x14ac:dyDescent="0.25">
      <c r="A105" s="83">
        <v>20</v>
      </c>
      <c r="B105" s="526">
        <v>5479</v>
      </c>
      <c r="C105" s="527">
        <v>600099105</v>
      </c>
      <c r="D105" s="83">
        <v>70910600</v>
      </c>
      <c r="E105" s="536" t="s">
        <v>475</v>
      </c>
      <c r="F105" s="526">
        <v>3113</v>
      </c>
      <c r="G105" s="503" t="s">
        <v>319</v>
      </c>
      <c r="H105" s="493" t="s">
        <v>283</v>
      </c>
      <c r="I105" s="495">
        <v>453338</v>
      </c>
      <c r="J105" s="496">
        <v>333828</v>
      </c>
      <c r="K105" s="496">
        <v>0</v>
      </c>
      <c r="L105" s="496">
        <v>0</v>
      </c>
      <c r="M105" s="411">
        <v>112833</v>
      </c>
      <c r="N105" s="411">
        <v>6677</v>
      </c>
      <c r="O105" s="496">
        <v>0</v>
      </c>
      <c r="P105" s="497">
        <v>0.86109999999999998</v>
      </c>
      <c r="Q105" s="412">
        <v>0.86109999999999998</v>
      </c>
      <c r="R105" s="498">
        <v>0</v>
      </c>
      <c r="S105" s="499">
        <f t="shared" si="168"/>
        <v>0</v>
      </c>
      <c r="T105" s="486">
        <v>0</v>
      </c>
      <c r="U105" s="486">
        <v>0</v>
      </c>
      <c r="V105" s="486">
        <f t="shared" si="169"/>
        <v>0</v>
      </c>
      <c r="W105" s="486">
        <v>0</v>
      </c>
      <c r="X105" s="486">
        <v>0</v>
      </c>
      <c r="Y105" s="486">
        <f t="shared" si="170"/>
        <v>0</v>
      </c>
      <c r="Z105" s="486">
        <f t="shared" si="171"/>
        <v>0</v>
      </c>
      <c r="AA105" s="319">
        <f t="shared" si="172"/>
        <v>0</v>
      </c>
      <c r="AB105" s="178">
        <f t="shared" si="173"/>
        <v>0</v>
      </c>
      <c r="AC105" s="486">
        <v>0</v>
      </c>
      <c r="AD105" s="486">
        <v>0</v>
      </c>
      <c r="AE105" s="486">
        <f t="shared" si="127"/>
        <v>0</v>
      </c>
      <c r="AF105" s="486">
        <f t="shared" si="128"/>
        <v>0</v>
      </c>
      <c r="AG105" s="501">
        <v>0</v>
      </c>
      <c r="AH105" s="501">
        <v>0</v>
      </c>
      <c r="AI105" s="501">
        <v>0</v>
      </c>
      <c r="AJ105" s="501">
        <v>0</v>
      </c>
      <c r="AK105" s="501">
        <v>0</v>
      </c>
      <c r="AL105" s="501">
        <f t="shared" si="174"/>
        <v>0</v>
      </c>
      <c r="AM105" s="501">
        <f t="shared" si="175"/>
        <v>0</v>
      </c>
      <c r="AN105" s="502">
        <f t="shared" si="129"/>
        <v>0</v>
      </c>
      <c r="AO105" s="499">
        <f t="shared" si="176"/>
        <v>453338</v>
      </c>
      <c r="AP105" s="486">
        <f t="shared" si="177"/>
        <v>333828</v>
      </c>
      <c r="AQ105" s="486">
        <f t="shared" si="178"/>
        <v>0</v>
      </c>
      <c r="AR105" s="480">
        <f t="shared" si="179"/>
        <v>0</v>
      </c>
      <c r="AS105" s="486">
        <f t="shared" si="180"/>
        <v>112833</v>
      </c>
      <c r="AT105" s="486">
        <f t="shared" si="180"/>
        <v>6677</v>
      </c>
      <c r="AU105" s="486">
        <f t="shared" si="181"/>
        <v>0</v>
      </c>
      <c r="AV105" s="501">
        <f t="shared" si="182"/>
        <v>0.86109999999999998</v>
      </c>
      <c r="AW105" s="501">
        <f t="shared" si="183"/>
        <v>0.86109999999999998</v>
      </c>
      <c r="AX105" s="502">
        <f t="shared" si="183"/>
        <v>0</v>
      </c>
    </row>
    <row r="106" spans="1:50" ht="12.95" customHeight="1" x14ac:dyDescent="0.25">
      <c r="A106" s="83">
        <v>20</v>
      </c>
      <c r="B106" s="526">
        <v>5479</v>
      </c>
      <c r="C106" s="527">
        <v>600099105</v>
      </c>
      <c r="D106" s="83">
        <v>70910600</v>
      </c>
      <c r="E106" s="536" t="s">
        <v>475</v>
      </c>
      <c r="F106" s="526">
        <v>3113</v>
      </c>
      <c r="G106" s="493" t="s">
        <v>318</v>
      </c>
      <c r="H106" s="493" t="s">
        <v>284</v>
      </c>
      <c r="I106" s="495">
        <v>597801</v>
      </c>
      <c r="J106" s="496">
        <v>440207</v>
      </c>
      <c r="K106" s="496">
        <v>0</v>
      </c>
      <c r="L106" s="496">
        <v>0</v>
      </c>
      <c r="M106" s="411">
        <v>148790</v>
      </c>
      <c r="N106" s="411">
        <v>8804</v>
      </c>
      <c r="O106" s="496">
        <v>0</v>
      </c>
      <c r="P106" s="497">
        <v>1.3</v>
      </c>
      <c r="Q106" s="412">
        <v>1.3</v>
      </c>
      <c r="R106" s="498">
        <v>0</v>
      </c>
      <c r="S106" s="499">
        <f t="shared" si="168"/>
        <v>0</v>
      </c>
      <c r="T106" s="486">
        <v>0</v>
      </c>
      <c r="U106" s="486">
        <v>0</v>
      </c>
      <c r="V106" s="486">
        <f t="shared" si="169"/>
        <v>0</v>
      </c>
      <c r="W106" s="486">
        <v>0</v>
      </c>
      <c r="X106" s="486">
        <v>0</v>
      </c>
      <c r="Y106" s="486">
        <f t="shared" si="170"/>
        <v>0</v>
      </c>
      <c r="Z106" s="486">
        <f t="shared" si="171"/>
        <v>0</v>
      </c>
      <c r="AA106" s="319">
        <f t="shared" si="172"/>
        <v>0</v>
      </c>
      <c r="AB106" s="178">
        <f t="shared" si="173"/>
        <v>0</v>
      </c>
      <c r="AC106" s="486">
        <v>0</v>
      </c>
      <c r="AD106" s="486">
        <v>0</v>
      </c>
      <c r="AE106" s="486">
        <f t="shared" si="127"/>
        <v>0</v>
      </c>
      <c r="AF106" s="486">
        <f t="shared" si="128"/>
        <v>0</v>
      </c>
      <c r="AG106" s="501">
        <v>0</v>
      </c>
      <c r="AH106" s="501">
        <v>0</v>
      </c>
      <c r="AI106" s="501">
        <v>0</v>
      </c>
      <c r="AJ106" s="501">
        <v>0</v>
      </c>
      <c r="AK106" s="501">
        <v>0</v>
      </c>
      <c r="AL106" s="501">
        <f t="shared" si="174"/>
        <v>0</v>
      </c>
      <c r="AM106" s="501">
        <f t="shared" si="175"/>
        <v>0</v>
      </c>
      <c r="AN106" s="502">
        <f t="shared" si="129"/>
        <v>0</v>
      </c>
      <c r="AO106" s="499">
        <f t="shared" si="176"/>
        <v>597801</v>
      </c>
      <c r="AP106" s="486">
        <f t="shared" si="177"/>
        <v>440207</v>
      </c>
      <c r="AQ106" s="486">
        <f t="shared" si="178"/>
        <v>0</v>
      </c>
      <c r="AR106" s="480">
        <f t="shared" si="179"/>
        <v>0</v>
      </c>
      <c r="AS106" s="486">
        <f t="shared" si="180"/>
        <v>148790</v>
      </c>
      <c r="AT106" s="486">
        <f t="shared" si="180"/>
        <v>8804</v>
      </c>
      <c r="AU106" s="486">
        <f t="shared" si="181"/>
        <v>0</v>
      </c>
      <c r="AV106" s="501">
        <f t="shared" si="182"/>
        <v>1.3</v>
      </c>
      <c r="AW106" s="501">
        <f t="shared" si="183"/>
        <v>1.3</v>
      </c>
      <c r="AX106" s="502">
        <f t="shared" si="183"/>
        <v>0</v>
      </c>
    </row>
    <row r="107" spans="1:50" ht="12.95" customHeight="1" x14ac:dyDescent="0.25">
      <c r="A107" s="83">
        <v>20</v>
      </c>
      <c r="B107" s="526">
        <v>5479</v>
      </c>
      <c r="C107" s="527">
        <v>600099105</v>
      </c>
      <c r="D107" s="83">
        <v>70910600</v>
      </c>
      <c r="E107" s="536" t="s">
        <v>475</v>
      </c>
      <c r="F107" s="526">
        <v>3141</v>
      </c>
      <c r="G107" s="535" t="s">
        <v>321</v>
      </c>
      <c r="H107" s="493" t="s">
        <v>284</v>
      </c>
      <c r="I107" s="495">
        <v>1295340</v>
      </c>
      <c r="J107" s="496">
        <v>946086</v>
      </c>
      <c r="K107" s="496">
        <v>0</v>
      </c>
      <c r="L107" s="496">
        <v>0</v>
      </c>
      <c r="M107" s="411">
        <v>319777</v>
      </c>
      <c r="N107" s="411">
        <v>18921</v>
      </c>
      <c r="O107" s="496">
        <v>10556</v>
      </c>
      <c r="P107" s="497">
        <v>3.22</v>
      </c>
      <c r="Q107" s="412">
        <v>0</v>
      </c>
      <c r="R107" s="498">
        <v>3.22</v>
      </c>
      <c r="S107" s="499">
        <f t="shared" si="168"/>
        <v>0</v>
      </c>
      <c r="T107" s="486">
        <v>0</v>
      </c>
      <c r="U107" s="486">
        <v>0</v>
      </c>
      <c r="V107" s="486">
        <f t="shared" si="169"/>
        <v>0</v>
      </c>
      <c r="W107" s="486">
        <v>0</v>
      </c>
      <c r="X107" s="486">
        <v>0</v>
      </c>
      <c r="Y107" s="486">
        <f t="shared" si="170"/>
        <v>0</v>
      </c>
      <c r="Z107" s="486">
        <f t="shared" si="171"/>
        <v>0</v>
      </c>
      <c r="AA107" s="319">
        <f t="shared" si="172"/>
        <v>0</v>
      </c>
      <c r="AB107" s="178">
        <f t="shared" si="173"/>
        <v>0</v>
      </c>
      <c r="AC107" s="486">
        <v>0</v>
      </c>
      <c r="AD107" s="486">
        <v>0</v>
      </c>
      <c r="AE107" s="486">
        <f t="shared" si="127"/>
        <v>0</v>
      </c>
      <c r="AF107" s="486">
        <f t="shared" si="128"/>
        <v>0</v>
      </c>
      <c r="AG107" s="501">
        <v>0</v>
      </c>
      <c r="AH107" s="501">
        <v>0</v>
      </c>
      <c r="AI107" s="501">
        <v>0</v>
      </c>
      <c r="AJ107" s="501">
        <v>0</v>
      </c>
      <c r="AK107" s="501">
        <v>0</v>
      </c>
      <c r="AL107" s="501">
        <f t="shared" si="174"/>
        <v>0</v>
      </c>
      <c r="AM107" s="501">
        <f t="shared" si="175"/>
        <v>0</v>
      </c>
      <c r="AN107" s="502">
        <f t="shared" si="129"/>
        <v>0</v>
      </c>
      <c r="AO107" s="499">
        <f t="shared" si="176"/>
        <v>1295340</v>
      </c>
      <c r="AP107" s="486">
        <f t="shared" si="177"/>
        <v>946086</v>
      </c>
      <c r="AQ107" s="486">
        <f t="shared" si="178"/>
        <v>0</v>
      </c>
      <c r="AR107" s="480">
        <f t="shared" si="179"/>
        <v>0</v>
      </c>
      <c r="AS107" s="486">
        <f t="shared" si="180"/>
        <v>319777</v>
      </c>
      <c r="AT107" s="486">
        <f t="shared" si="180"/>
        <v>18921</v>
      </c>
      <c r="AU107" s="486">
        <f t="shared" si="181"/>
        <v>10556</v>
      </c>
      <c r="AV107" s="501">
        <f t="shared" si="182"/>
        <v>3.22</v>
      </c>
      <c r="AW107" s="501">
        <f t="shared" si="183"/>
        <v>0</v>
      </c>
      <c r="AX107" s="502">
        <f t="shared" si="183"/>
        <v>3.22</v>
      </c>
    </row>
    <row r="108" spans="1:50" ht="12.95" customHeight="1" x14ac:dyDescent="0.25">
      <c r="A108" s="83">
        <v>20</v>
      </c>
      <c r="B108" s="526">
        <v>5479</v>
      </c>
      <c r="C108" s="527">
        <v>600099105</v>
      </c>
      <c r="D108" s="83">
        <v>70910600</v>
      </c>
      <c r="E108" s="536" t="s">
        <v>475</v>
      </c>
      <c r="F108" s="526">
        <v>3143</v>
      </c>
      <c r="G108" s="493" t="s">
        <v>634</v>
      </c>
      <c r="H108" s="493" t="s">
        <v>283</v>
      </c>
      <c r="I108" s="495">
        <v>1412408</v>
      </c>
      <c r="J108" s="496">
        <v>1040065</v>
      </c>
      <c r="K108" s="496">
        <v>0</v>
      </c>
      <c r="L108" s="496">
        <v>0</v>
      </c>
      <c r="M108" s="411">
        <v>351542</v>
      </c>
      <c r="N108" s="411">
        <v>20801</v>
      </c>
      <c r="O108" s="496">
        <v>0</v>
      </c>
      <c r="P108" s="497">
        <v>2.1667000000000001</v>
      </c>
      <c r="Q108" s="412">
        <v>2.1667000000000001</v>
      </c>
      <c r="R108" s="498">
        <v>0</v>
      </c>
      <c r="S108" s="499">
        <f t="shared" si="168"/>
        <v>0</v>
      </c>
      <c r="T108" s="486">
        <v>0</v>
      </c>
      <c r="U108" s="486">
        <v>0</v>
      </c>
      <c r="V108" s="486">
        <f t="shared" si="169"/>
        <v>0</v>
      </c>
      <c r="W108" s="486">
        <v>0</v>
      </c>
      <c r="X108" s="486">
        <v>0</v>
      </c>
      <c r="Y108" s="486">
        <f t="shared" si="170"/>
        <v>0</v>
      </c>
      <c r="Z108" s="486">
        <f t="shared" si="171"/>
        <v>0</v>
      </c>
      <c r="AA108" s="319">
        <f t="shared" si="172"/>
        <v>0</v>
      </c>
      <c r="AB108" s="178">
        <f t="shared" si="173"/>
        <v>0</v>
      </c>
      <c r="AC108" s="486">
        <v>0</v>
      </c>
      <c r="AD108" s="486">
        <v>0</v>
      </c>
      <c r="AE108" s="486">
        <f t="shared" si="127"/>
        <v>0</v>
      </c>
      <c r="AF108" s="486">
        <f t="shared" si="128"/>
        <v>0</v>
      </c>
      <c r="AG108" s="501">
        <v>0</v>
      </c>
      <c r="AH108" s="501">
        <v>0</v>
      </c>
      <c r="AI108" s="501">
        <v>0</v>
      </c>
      <c r="AJ108" s="501">
        <v>0</v>
      </c>
      <c r="AK108" s="501">
        <v>0</v>
      </c>
      <c r="AL108" s="501">
        <f t="shared" si="174"/>
        <v>0</v>
      </c>
      <c r="AM108" s="501">
        <f t="shared" si="175"/>
        <v>0</v>
      </c>
      <c r="AN108" s="502">
        <f t="shared" si="129"/>
        <v>0</v>
      </c>
      <c r="AO108" s="499">
        <f t="shared" si="176"/>
        <v>1412408</v>
      </c>
      <c r="AP108" s="486">
        <f t="shared" si="177"/>
        <v>1040065</v>
      </c>
      <c r="AQ108" s="486">
        <f t="shared" si="178"/>
        <v>0</v>
      </c>
      <c r="AR108" s="480">
        <f t="shared" si="179"/>
        <v>0</v>
      </c>
      <c r="AS108" s="486">
        <f t="shared" si="180"/>
        <v>351542</v>
      </c>
      <c r="AT108" s="486">
        <f t="shared" si="180"/>
        <v>20801</v>
      </c>
      <c r="AU108" s="486">
        <f t="shared" si="181"/>
        <v>0</v>
      </c>
      <c r="AV108" s="501">
        <f t="shared" si="182"/>
        <v>2.1667000000000001</v>
      </c>
      <c r="AW108" s="501">
        <f t="shared" si="183"/>
        <v>2.1667000000000001</v>
      </c>
      <c r="AX108" s="502">
        <f t="shared" si="183"/>
        <v>0</v>
      </c>
    </row>
    <row r="109" spans="1:50" ht="12.95" customHeight="1" x14ac:dyDescent="0.25">
      <c r="A109" s="83">
        <v>20</v>
      </c>
      <c r="B109" s="526">
        <v>5479</v>
      </c>
      <c r="C109" s="527">
        <v>600099105</v>
      </c>
      <c r="D109" s="83">
        <v>70910600</v>
      </c>
      <c r="E109" s="536" t="s">
        <v>475</v>
      </c>
      <c r="F109" s="526">
        <v>3143</v>
      </c>
      <c r="G109" s="493" t="s">
        <v>635</v>
      </c>
      <c r="H109" s="493" t="s">
        <v>284</v>
      </c>
      <c r="I109" s="495">
        <v>48452</v>
      </c>
      <c r="J109" s="496">
        <v>34155</v>
      </c>
      <c r="K109" s="496">
        <v>0</v>
      </c>
      <c r="L109" s="496">
        <v>0</v>
      </c>
      <c r="M109" s="411">
        <v>11544</v>
      </c>
      <c r="N109" s="411">
        <v>683</v>
      </c>
      <c r="O109" s="496">
        <v>2070</v>
      </c>
      <c r="P109" s="497">
        <v>0.14000000000000001</v>
      </c>
      <c r="Q109" s="412">
        <v>0</v>
      </c>
      <c r="R109" s="498">
        <v>0.14000000000000001</v>
      </c>
      <c r="S109" s="499">
        <f t="shared" si="168"/>
        <v>0</v>
      </c>
      <c r="T109" s="486">
        <v>0</v>
      </c>
      <c r="U109" s="486">
        <v>0</v>
      </c>
      <c r="V109" s="486">
        <f t="shared" si="169"/>
        <v>0</v>
      </c>
      <c r="W109" s="486">
        <v>0</v>
      </c>
      <c r="X109" s="486">
        <v>0</v>
      </c>
      <c r="Y109" s="486">
        <f t="shared" si="170"/>
        <v>0</v>
      </c>
      <c r="Z109" s="486">
        <f t="shared" si="171"/>
        <v>0</v>
      </c>
      <c r="AA109" s="319">
        <f t="shared" si="172"/>
        <v>0</v>
      </c>
      <c r="AB109" s="178">
        <f t="shared" si="173"/>
        <v>0</v>
      </c>
      <c r="AC109" s="486">
        <v>0</v>
      </c>
      <c r="AD109" s="486">
        <v>0</v>
      </c>
      <c r="AE109" s="486">
        <f t="shared" si="127"/>
        <v>0</v>
      </c>
      <c r="AF109" s="486">
        <f t="shared" si="128"/>
        <v>0</v>
      </c>
      <c r="AG109" s="501">
        <v>0</v>
      </c>
      <c r="AH109" s="501">
        <v>0</v>
      </c>
      <c r="AI109" s="501">
        <v>0</v>
      </c>
      <c r="AJ109" s="501">
        <v>0</v>
      </c>
      <c r="AK109" s="501">
        <v>0</v>
      </c>
      <c r="AL109" s="501">
        <f t="shared" si="174"/>
        <v>0</v>
      </c>
      <c r="AM109" s="501">
        <f t="shared" si="175"/>
        <v>0</v>
      </c>
      <c r="AN109" s="502">
        <f t="shared" si="129"/>
        <v>0</v>
      </c>
      <c r="AO109" s="499">
        <f t="shared" si="176"/>
        <v>48452</v>
      </c>
      <c r="AP109" s="486">
        <f t="shared" si="177"/>
        <v>34155</v>
      </c>
      <c r="AQ109" s="486">
        <f t="shared" si="178"/>
        <v>0</v>
      </c>
      <c r="AR109" s="480">
        <f t="shared" si="179"/>
        <v>0</v>
      </c>
      <c r="AS109" s="486">
        <f t="shared" si="180"/>
        <v>11544</v>
      </c>
      <c r="AT109" s="486">
        <f t="shared" si="180"/>
        <v>683</v>
      </c>
      <c r="AU109" s="486">
        <f t="shared" si="181"/>
        <v>2070</v>
      </c>
      <c r="AV109" s="501">
        <f t="shared" si="182"/>
        <v>0.14000000000000001</v>
      </c>
      <c r="AW109" s="501">
        <f t="shared" si="183"/>
        <v>0</v>
      </c>
      <c r="AX109" s="502">
        <f t="shared" si="183"/>
        <v>0.14000000000000001</v>
      </c>
    </row>
    <row r="110" spans="1:50" ht="12.95" customHeight="1" x14ac:dyDescent="0.25">
      <c r="A110" s="92">
        <v>20</v>
      </c>
      <c r="B110" s="104">
        <v>5479</v>
      </c>
      <c r="C110" s="105">
        <v>600099105</v>
      </c>
      <c r="D110" s="104">
        <v>70910600</v>
      </c>
      <c r="E110" s="119" t="s">
        <v>476</v>
      </c>
      <c r="F110" s="104"/>
      <c r="G110" s="122"/>
      <c r="H110" s="123"/>
      <c r="I110" s="130">
        <v>18705671</v>
      </c>
      <c r="J110" s="87">
        <v>13396034</v>
      </c>
      <c r="K110" s="87">
        <v>64710</v>
      </c>
      <c r="L110" s="87">
        <v>59910</v>
      </c>
      <c r="M110" s="87">
        <v>4529481</v>
      </c>
      <c r="N110" s="87">
        <v>267920</v>
      </c>
      <c r="O110" s="87">
        <v>447526</v>
      </c>
      <c r="P110" s="88">
        <v>27.605399999999999</v>
      </c>
      <c r="Q110" s="88">
        <v>19.3278</v>
      </c>
      <c r="R110" s="274">
        <v>8.2776000000000014</v>
      </c>
      <c r="S110" s="141">
        <f t="shared" ref="S110:AN110" si="184">SUM(S104:S109)</f>
        <v>0</v>
      </c>
      <c r="T110" s="87">
        <f t="shared" si="184"/>
        <v>0</v>
      </c>
      <c r="U110" s="87">
        <f t="shared" si="184"/>
        <v>0</v>
      </c>
      <c r="V110" s="87">
        <f t="shared" si="184"/>
        <v>0</v>
      </c>
      <c r="W110" s="87">
        <f t="shared" si="184"/>
        <v>0</v>
      </c>
      <c r="X110" s="87">
        <f t="shared" si="184"/>
        <v>0</v>
      </c>
      <c r="Y110" s="87">
        <f t="shared" si="184"/>
        <v>0</v>
      </c>
      <c r="Z110" s="87">
        <f t="shared" si="184"/>
        <v>0</v>
      </c>
      <c r="AA110" s="87">
        <f t="shared" si="184"/>
        <v>0</v>
      </c>
      <c r="AB110" s="87">
        <f t="shared" si="184"/>
        <v>0</v>
      </c>
      <c r="AC110" s="87">
        <f t="shared" si="184"/>
        <v>0</v>
      </c>
      <c r="AD110" s="87">
        <f t="shared" si="184"/>
        <v>0</v>
      </c>
      <c r="AE110" s="87">
        <f t="shared" si="184"/>
        <v>0</v>
      </c>
      <c r="AF110" s="87">
        <f t="shared" si="184"/>
        <v>0</v>
      </c>
      <c r="AG110" s="88">
        <f t="shared" si="184"/>
        <v>0</v>
      </c>
      <c r="AH110" s="88">
        <f t="shared" si="184"/>
        <v>0</v>
      </c>
      <c r="AI110" s="88">
        <f t="shared" si="184"/>
        <v>0</v>
      </c>
      <c r="AJ110" s="88">
        <f t="shared" si="184"/>
        <v>0</v>
      </c>
      <c r="AK110" s="88">
        <f t="shared" si="184"/>
        <v>0</v>
      </c>
      <c r="AL110" s="88">
        <f t="shared" si="184"/>
        <v>0</v>
      </c>
      <c r="AM110" s="88">
        <f t="shared" si="184"/>
        <v>0</v>
      </c>
      <c r="AN110" s="274">
        <f t="shared" si="184"/>
        <v>0</v>
      </c>
      <c r="AO110" s="141">
        <f t="shared" ref="AO110:AX110" si="185">SUM(AO104:AO109)</f>
        <v>18705671</v>
      </c>
      <c r="AP110" s="87">
        <f t="shared" si="185"/>
        <v>13396034</v>
      </c>
      <c r="AQ110" s="87">
        <f t="shared" si="185"/>
        <v>64710</v>
      </c>
      <c r="AR110" s="87">
        <f t="shared" si="185"/>
        <v>59910</v>
      </c>
      <c r="AS110" s="87">
        <f t="shared" si="185"/>
        <v>4529481</v>
      </c>
      <c r="AT110" s="87">
        <f t="shared" si="185"/>
        <v>267920</v>
      </c>
      <c r="AU110" s="87">
        <f t="shared" si="185"/>
        <v>447526</v>
      </c>
      <c r="AV110" s="88">
        <f t="shared" si="185"/>
        <v>27.605399999999999</v>
      </c>
      <c r="AW110" s="88">
        <f t="shared" si="185"/>
        <v>19.3278</v>
      </c>
      <c r="AX110" s="274">
        <f t="shared" si="185"/>
        <v>8.2776000000000014</v>
      </c>
    </row>
    <row r="111" spans="1:50" ht="12.95" customHeight="1" x14ac:dyDescent="0.25">
      <c r="A111" s="83">
        <v>21</v>
      </c>
      <c r="B111" s="526">
        <v>5442</v>
      </c>
      <c r="C111" s="527">
        <v>650030541</v>
      </c>
      <c r="D111" s="83">
        <v>75017512</v>
      </c>
      <c r="E111" s="536" t="s">
        <v>477</v>
      </c>
      <c r="F111" s="526">
        <v>3111</v>
      </c>
      <c r="G111" s="535" t="s">
        <v>331</v>
      </c>
      <c r="H111" s="493" t="s">
        <v>283</v>
      </c>
      <c r="I111" s="495">
        <v>2540462</v>
      </c>
      <c r="J111" s="496">
        <v>1850119</v>
      </c>
      <c r="K111" s="496">
        <v>0</v>
      </c>
      <c r="L111" s="496">
        <v>0</v>
      </c>
      <c r="M111" s="411">
        <v>625341</v>
      </c>
      <c r="N111" s="411">
        <v>37002</v>
      </c>
      <c r="O111" s="496">
        <v>28000</v>
      </c>
      <c r="P111" s="497">
        <v>4.4057000000000004</v>
      </c>
      <c r="Q111" s="412">
        <v>3.4839000000000002</v>
      </c>
      <c r="R111" s="498">
        <v>0.92179999999999995</v>
      </c>
      <c r="S111" s="499">
        <f t="shared" ref="S111:S116" si="186">W111*-1</f>
        <v>0</v>
      </c>
      <c r="T111" s="486">
        <v>0</v>
      </c>
      <c r="U111" s="486">
        <v>0</v>
      </c>
      <c r="V111" s="486">
        <f t="shared" ref="V111:V116" si="187">SUM(S111:U111)</f>
        <v>0</v>
      </c>
      <c r="W111" s="486">
        <v>0</v>
      </c>
      <c r="X111" s="486">
        <v>0</v>
      </c>
      <c r="Y111" s="486">
        <f t="shared" ref="Y111:Y116" si="188">SUM(W111:X111)</f>
        <v>0</v>
      </c>
      <c r="Z111" s="486">
        <f t="shared" ref="Z111:Z116" si="189">V111+Y111</f>
        <v>0</v>
      </c>
      <c r="AA111" s="319">
        <f t="shared" ref="AA111:AA116" si="190">ROUND((V111+W111)*33.8%,0)</f>
        <v>0</v>
      </c>
      <c r="AB111" s="178">
        <f t="shared" ref="AB111:AB116" si="191">ROUND(V111*2%,0)</f>
        <v>0</v>
      </c>
      <c r="AC111" s="486">
        <v>0</v>
      </c>
      <c r="AD111" s="486">
        <v>0</v>
      </c>
      <c r="AE111" s="486">
        <f t="shared" si="127"/>
        <v>0</v>
      </c>
      <c r="AF111" s="486">
        <f t="shared" si="128"/>
        <v>0</v>
      </c>
      <c r="AG111" s="501">
        <v>0</v>
      </c>
      <c r="AH111" s="501">
        <v>0</v>
      </c>
      <c r="AI111" s="501">
        <v>0</v>
      </c>
      <c r="AJ111" s="501">
        <v>0</v>
      </c>
      <c r="AK111" s="501">
        <v>0</v>
      </c>
      <c r="AL111" s="501">
        <f t="shared" ref="AL111:AL116" si="192">AG111+AI111+AJ111</f>
        <v>0</v>
      </c>
      <c r="AM111" s="501">
        <f t="shared" ref="AM111:AM116" si="193">AH111+AK111</f>
        <v>0</v>
      </c>
      <c r="AN111" s="502">
        <f t="shared" si="129"/>
        <v>0</v>
      </c>
      <c r="AO111" s="499">
        <f t="shared" ref="AO111:AO116" si="194">I111+AF111</f>
        <v>2540462</v>
      </c>
      <c r="AP111" s="486">
        <f t="shared" ref="AP111:AP116" si="195">J111+V111</f>
        <v>1850119</v>
      </c>
      <c r="AQ111" s="486">
        <f t="shared" ref="AQ111:AQ116" si="196">K111+Y111</f>
        <v>0</v>
      </c>
      <c r="AR111" s="480">
        <f t="shared" ref="AR111:AR116" si="197">L111</f>
        <v>0</v>
      </c>
      <c r="AS111" s="486">
        <f t="shared" ref="AS111:AT116" si="198">M111+AA111</f>
        <v>625341</v>
      </c>
      <c r="AT111" s="486">
        <f t="shared" si="198"/>
        <v>37002</v>
      </c>
      <c r="AU111" s="486">
        <f t="shared" ref="AU111:AU116" si="199">O111+AE111</f>
        <v>28000</v>
      </c>
      <c r="AV111" s="501">
        <f t="shared" ref="AV111:AV116" si="200">P111+AN111</f>
        <v>4.4057000000000004</v>
      </c>
      <c r="AW111" s="501">
        <f t="shared" ref="AW111:AX116" si="201">Q111+AL111</f>
        <v>3.4839000000000002</v>
      </c>
      <c r="AX111" s="502">
        <f t="shared" si="201"/>
        <v>0.92179999999999995</v>
      </c>
    </row>
    <row r="112" spans="1:50" ht="12.95" customHeight="1" x14ac:dyDescent="0.25">
      <c r="A112" s="83">
        <v>21</v>
      </c>
      <c r="B112" s="526">
        <v>5442</v>
      </c>
      <c r="C112" s="527">
        <v>650030541</v>
      </c>
      <c r="D112" s="83">
        <v>75017512</v>
      </c>
      <c r="E112" s="536" t="s">
        <v>477</v>
      </c>
      <c r="F112" s="526">
        <v>3113</v>
      </c>
      <c r="G112" s="535" t="s">
        <v>335</v>
      </c>
      <c r="H112" s="493" t="s">
        <v>283</v>
      </c>
      <c r="I112" s="495">
        <v>10505270</v>
      </c>
      <c r="J112" s="496">
        <v>7484319</v>
      </c>
      <c r="K112" s="496">
        <v>43848</v>
      </c>
      <c r="L112" s="496">
        <v>18648</v>
      </c>
      <c r="M112" s="411">
        <v>2538217</v>
      </c>
      <c r="N112" s="411">
        <v>149686</v>
      </c>
      <c r="O112" s="496">
        <v>289200</v>
      </c>
      <c r="P112" s="497">
        <v>15.751300000000001</v>
      </c>
      <c r="Q112" s="412">
        <v>11.610900000000001</v>
      </c>
      <c r="R112" s="498">
        <v>4.1403999999999996</v>
      </c>
      <c r="S112" s="499">
        <f t="shared" si="186"/>
        <v>0</v>
      </c>
      <c r="T112" s="486">
        <v>0</v>
      </c>
      <c r="U112" s="486">
        <v>0</v>
      </c>
      <c r="V112" s="486">
        <f t="shared" si="187"/>
        <v>0</v>
      </c>
      <c r="W112" s="486">
        <v>0</v>
      </c>
      <c r="X112" s="486">
        <v>0</v>
      </c>
      <c r="Y112" s="486">
        <f t="shared" si="188"/>
        <v>0</v>
      </c>
      <c r="Z112" s="486">
        <f t="shared" si="189"/>
        <v>0</v>
      </c>
      <c r="AA112" s="319">
        <f t="shared" si="190"/>
        <v>0</v>
      </c>
      <c r="AB112" s="178">
        <f t="shared" si="191"/>
        <v>0</v>
      </c>
      <c r="AC112" s="486">
        <v>0</v>
      </c>
      <c r="AD112" s="486">
        <v>0</v>
      </c>
      <c r="AE112" s="486">
        <f t="shared" si="127"/>
        <v>0</v>
      </c>
      <c r="AF112" s="486">
        <f t="shared" si="128"/>
        <v>0</v>
      </c>
      <c r="AG112" s="501">
        <v>0</v>
      </c>
      <c r="AH112" s="501">
        <v>0</v>
      </c>
      <c r="AI112" s="501">
        <v>0</v>
      </c>
      <c r="AJ112" s="501">
        <v>0</v>
      </c>
      <c r="AK112" s="501">
        <v>0</v>
      </c>
      <c r="AL112" s="501">
        <f t="shared" si="192"/>
        <v>0</v>
      </c>
      <c r="AM112" s="501">
        <f t="shared" si="193"/>
        <v>0</v>
      </c>
      <c r="AN112" s="502">
        <f t="shared" si="129"/>
        <v>0</v>
      </c>
      <c r="AO112" s="499">
        <f t="shared" si="194"/>
        <v>10505270</v>
      </c>
      <c r="AP112" s="486">
        <f t="shared" si="195"/>
        <v>7484319</v>
      </c>
      <c r="AQ112" s="486">
        <f t="shared" si="196"/>
        <v>43848</v>
      </c>
      <c r="AR112" s="480">
        <f t="shared" si="197"/>
        <v>18648</v>
      </c>
      <c r="AS112" s="486">
        <f t="shared" si="198"/>
        <v>2538217</v>
      </c>
      <c r="AT112" s="486">
        <f t="shared" si="198"/>
        <v>149686</v>
      </c>
      <c r="AU112" s="486">
        <f t="shared" si="199"/>
        <v>289200</v>
      </c>
      <c r="AV112" s="501">
        <f t="shared" si="200"/>
        <v>15.751300000000001</v>
      </c>
      <c r="AW112" s="501">
        <f t="shared" si="201"/>
        <v>11.610900000000001</v>
      </c>
      <c r="AX112" s="502">
        <f t="shared" si="201"/>
        <v>4.1403999999999996</v>
      </c>
    </row>
    <row r="113" spans="1:50" ht="12.95" customHeight="1" x14ac:dyDescent="0.25">
      <c r="A113" s="83">
        <v>21</v>
      </c>
      <c r="B113" s="526">
        <v>5442</v>
      </c>
      <c r="C113" s="527">
        <v>650030541</v>
      </c>
      <c r="D113" s="83">
        <v>75017512</v>
      </c>
      <c r="E113" s="536" t="s">
        <v>477</v>
      </c>
      <c r="F113" s="526">
        <v>3113</v>
      </c>
      <c r="G113" s="493" t="s">
        <v>318</v>
      </c>
      <c r="H113" s="493" t="s">
        <v>284</v>
      </c>
      <c r="I113" s="495">
        <v>830171</v>
      </c>
      <c r="J113" s="496">
        <v>605685</v>
      </c>
      <c r="K113" s="496">
        <v>0</v>
      </c>
      <c r="L113" s="496">
        <v>0</v>
      </c>
      <c r="M113" s="411">
        <v>204722</v>
      </c>
      <c r="N113" s="411">
        <v>12114</v>
      </c>
      <c r="O113" s="496">
        <v>7650</v>
      </c>
      <c r="P113" s="497">
        <v>1.8499999999999999</v>
      </c>
      <c r="Q113" s="412">
        <v>1.8499999999999999</v>
      </c>
      <c r="R113" s="498">
        <v>0</v>
      </c>
      <c r="S113" s="499">
        <f t="shared" si="186"/>
        <v>0</v>
      </c>
      <c r="T113" s="486">
        <v>0</v>
      </c>
      <c r="U113" s="486">
        <v>0</v>
      </c>
      <c r="V113" s="486">
        <f t="shared" si="187"/>
        <v>0</v>
      </c>
      <c r="W113" s="486">
        <v>0</v>
      </c>
      <c r="X113" s="486">
        <v>0</v>
      </c>
      <c r="Y113" s="486">
        <f t="shared" si="188"/>
        <v>0</v>
      </c>
      <c r="Z113" s="486">
        <f t="shared" si="189"/>
        <v>0</v>
      </c>
      <c r="AA113" s="319">
        <f t="shared" si="190"/>
        <v>0</v>
      </c>
      <c r="AB113" s="178">
        <f t="shared" si="191"/>
        <v>0</v>
      </c>
      <c r="AC113" s="486">
        <v>0</v>
      </c>
      <c r="AD113" s="486">
        <v>0</v>
      </c>
      <c r="AE113" s="486">
        <f t="shared" si="127"/>
        <v>0</v>
      </c>
      <c r="AF113" s="486">
        <f t="shared" si="128"/>
        <v>0</v>
      </c>
      <c r="AG113" s="501">
        <v>0</v>
      </c>
      <c r="AH113" s="501">
        <v>0</v>
      </c>
      <c r="AI113" s="501">
        <v>0</v>
      </c>
      <c r="AJ113" s="501">
        <v>0</v>
      </c>
      <c r="AK113" s="501">
        <v>0</v>
      </c>
      <c r="AL113" s="501">
        <f t="shared" si="192"/>
        <v>0</v>
      </c>
      <c r="AM113" s="501">
        <f t="shared" si="193"/>
        <v>0</v>
      </c>
      <c r="AN113" s="502">
        <f t="shared" si="129"/>
        <v>0</v>
      </c>
      <c r="AO113" s="499">
        <f t="shared" si="194"/>
        <v>830171</v>
      </c>
      <c r="AP113" s="486">
        <f t="shared" si="195"/>
        <v>605685</v>
      </c>
      <c r="AQ113" s="486">
        <f t="shared" si="196"/>
        <v>0</v>
      </c>
      <c r="AR113" s="480">
        <f t="shared" si="197"/>
        <v>0</v>
      </c>
      <c r="AS113" s="486">
        <f t="shared" si="198"/>
        <v>204722</v>
      </c>
      <c r="AT113" s="486">
        <f t="shared" si="198"/>
        <v>12114</v>
      </c>
      <c r="AU113" s="486">
        <f t="shared" si="199"/>
        <v>7650</v>
      </c>
      <c r="AV113" s="501">
        <f t="shared" si="200"/>
        <v>1.8499999999999999</v>
      </c>
      <c r="AW113" s="501">
        <f t="shared" si="201"/>
        <v>1.8499999999999999</v>
      </c>
      <c r="AX113" s="502">
        <f t="shared" si="201"/>
        <v>0</v>
      </c>
    </row>
    <row r="114" spans="1:50" ht="12.95" customHeight="1" x14ac:dyDescent="0.25">
      <c r="A114" s="83">
        <v>21</v>
      </c>
      <c r="B114" s="526">
        <v>5442</v>
      </c>
      <c r="C114" s="527">
        <v>650030541</v>
      </c>
      <c r="D114" s="83">
        <v>75017512</v>
      </c>
      <c r="E114" s="536" t="s">
        <v>477</v>
      </c>
      <c r="F114" s="526">
        <v>3141</v>
      </c>
      <c r="G114" s="535" t="s">
        <v>321</v>
      </c>
      <c r="H114" s="493" t="s">
        <v>284</v>
      </c>
      <c r="I114" s="495">
        <v>218887</v>
      </c>
      <c r="J114" s="496">
        <v>160064</v>
      </c>
      <c r="K114" s="496">
        <v>0</v>
      </c>
      <c r="L114" s="496">
        <v>0</v>
      </c>
      <c r="M114" s="411">
        <v>54102</v>
      </c>
      <c r="N114" s="411">
        <v>3201</v>
      </c>
      <c r="O114" s="496">
        <v>1520</v>
      </c>
      <c r="P114" s="497">
        <v>0.54</v>
      </c>
      <c r="Q114" s="412">
        <v>0</v>
      </c>
      <c r="R114" s="498">
        <v>0.54</v>
      </c>
      <c r="S114" s="499">
        <f t="shared" si="186"/>
        <v>0</v>
      </c>
      <c r="T114" s="486">
        <v>0</v>
      </c>
      <c r="U114" s="486">
        <v>0</v>
      </c>
      <c r="V114" s="486">
        <f t="shared" si="187"/>
        <v>0</v>
      </c>
      <c r="W114" s="486">
        <v>0</v>
      </c>
      <c r="X114" s="486">
        <v>0</v>
      </c>
      <c r="Y114" s="486">
        <f t="shared" si="188"/>
        <v>0</v>
      </c>
      <c r="Z114" s="486">
        <f t="shared" si="189"/>
        <v>0</v>
      </c>
      <c r="AA114" s="319">
        <f t="shared" si="190"/>
        <v>0</v>
      </c>
      <c r="AB114" s="178">
        <f t="shared" si="191"/>
        <v>0</v>
      </c>
      <c r="AC114" s="486">
        <v>0</v>
      </c>
      <c r="AD114" s="486">
        <v>0</v>
      </c>
      <c r="AE114" s="486">
        <f t="shared" si="127"/>
        <v>0</v>
      </c>
      <c r="AF114" s="486">
        <f t="shared" si="128"/>
        <v>0</v>
      </c>
      <c r="AG114" s="501">
        <v>0</v>
      </c>
      <c r="AH114" s="501">
        <v>0</v>
      </c>
      <c r="AI114" s="501">
        <v>0</v>
      </c>
      <c r="AJ114" s="501">
        <v>0</v>
      </c>
      <c r="AK114" s="501">
        <v>0</v>
      </c>
      <c r="AL114" s="501">
        <f t="shared" si="192"/>
        <v>0</v>
      </c>
      <c r="AM114" s="501">
        <f t="shared" si="193"/>
        <v>0</v>
      </c>
      <c r="AN114" s="502">
        <f t="shared" si="129"/>
        <v>0</v>
      </c>
      <c r="AO114" s="499">
        <f t="shared" si="194"/>
        <v>218887</v>
      </c>
      <c r="AP114" s="486">
        <f t="shared" si="195"/>
        <v>160064</v>
      </c>
      <c r="AQ114" s="486">
        <f t="shared" si="196"/>
        <v>0</v>
      </c>
      <c r="AR114" s="480">
        <f t="shared" si="197"/>
        <v>0</v>
      </c>
      <c r="AS114" s="486">
        <f t="shared" si="198"/>
        <v>54102</v>
      </c>
      <c r="AT114" s="486">
        <f t="shared" si="198"/>
        <v>3201</v>
      </c>
      <c r="AU114" s="486">
        <f t="shared" si="199"/>
        <v>1520</v>
      </c>
      <c r="AV114" s="501">
        <f t="shared" si="200"/>
        <v>0.54</v>
      </c>
      <c r="AW114" s="501">
        <f t="shared" si="201"/>
        <v>0</v>
      </c>
      <c r="AX114" s="502">
        <f t="shared" si="201"/>
        <v>0.54</v>
      </c>
    </row>
    <row r="115" spans="1:50" ht="12.95" customHeight="1" x14ac:dyDescent="0.25">
      <c r="A115" s="83">
        <v>21</v>
      </c>
      <c r="B115" s="526">
        <v>5442</v>
      </c>
      <c r="C115" s="527">
        <v>650030541</v>
      </c>
      <c r="D115" s="83">
        <v>75017512</v>
      </c>
      <c r="E115" s="536" t="s">
        <v>477</v>
      </c>
      <c r="F115" s="526">
        <v>3143</v>
      </c>
      <c r="G115" s="493" t="s">
        <v>634</v>
      </c>
      <c r="H115" s="493" t="s">
        <v>283</v>
      </c>
      <c r="I115" s="495">
        <v>1126575</v>
      </c>
      <c r="J115" s="496">
        <v>829584</v>
      </c>
      <c r="K115" s="496">
        <v>0</v>
      </c>
      <c r="L115" s="496">
        <v>0</v>
      </c>
      <c r="M115" s="411">
        <v>280399</v>
      </c>
      <c r="N115" s="411">
        <v>16592</v>
      </c>
      <c r="O115" s="496">
        <v>0</v>
      </c>
      <c r="P115" s="497">
        <v>1.9213</v>
      </c>
      <c r="Q115" s="412">
        <v>1.9213</v>
      </c>
      <c r="R115" s="498">
        <v>0</v>
      </c>
      <c r="S115" s="499">
        <f t="shared" si="186"/>
        <v>0</v>
      </c>
      <c r="T115" s="486">
        <v>0</v>
      </c>
      <c r="U115" s="486">
        <v>0</v>
      </c>
      <c r="V115" s="486">
        <f t="shared" si="187"/>
        <v>0</v>
      </c>
      <c r="W115" s="486">
        <v>0</v>
      </c>
      <c r="X115" s="486">
        <v>0</v>
      </c>
      <c r="Y115" s="486">
        <f t="shared" si="188"/>
        <v>0</v>
      </c>
      <c r="Z115" s="486">
        <f t="shared" si="189"/>
        <v>0</v>
      </c>
      <c r="AA115" s="319">
        <f t="shared" si="190"/>
        <v>0</v>
      </c>
      <c r="AB115" s="178">
        <f t="shared" si="191"/>
        <v>0</v>
      </c>
      <c r="AC115" s="486">
        <v>0</v>
      </c>
      <c r="AD115" s="486">
        <v>0</v>
      </c>
      <c r="AE115" s="486">
        <f t="shared" si="127"/>
        <v>0</v>
      </c>
      <c r="AF115" s="486">
        <f t="shared" si="128"/>
        <v>0</v>
      </c>
      <c r="AG115" s="501">
        <v>0</v>
      </c>
      <c r="AH115" s="501">
        <v>0</v>
      </c>
      <c r="AI115" s="501">
        <v>0</v>
      </c>
      <c r="AJ115" s="501">
        <v>0</v>
      </c>
      <c r="AK115" s="501">
        <v>0</v>
      </c>
      <c r="AL115" s="501">
        <f t="shared" si="192"/>
        <v>0</v>
      </c>
      <c r="AM115" s="501">
        <f t="shared" si="193"/>
        <v>0</v>
      </c>
      <c r="AN115" s="502">
        <f t="shared" si="129"/>
        <v>0</v>
      </c>
      <c r="AO115" s="499">
        <f t="shared" si="194"/>
        <v>1126575</v>
      </c>
      <c r="AP115" s="486">
        <f t="shared" si="195"/>
        <v>829584</v>
      </c>
      <c r="AQ115" s="486">
        <f t="shared" si="196"/>
        <v>0</v>
      </c>
      <c r="AR115" s="480">
        <f t="shared" si="197"/>
        <v>0</v>
      </c>
      <c r="AS115" s="486">
        <f t="shared" si="198"/>
        <v>280399</v>
      </c>
      <c r="AT115" s="486">
        <f t="shared" si="198"/>
        <v>16592</v>
      </c>
      <c r="AU115" s="486">
        <f t="shared" si="199"/>
        <v>0</v>
      </c>
      <c r="AV115" s="501">
        <f t="shared" si="200"/>
        <v>1.9213</v>
      </c>
      <c r="AW115" s="501">
        <f t="shared" si="201"/>
        <v>1.9213</v>
      </c>
      <c r="AX115" s="502">
        <f t="shared" si="201"/>
        <v>0</v>
      </c>
    </row>
    <row r="116" spans="1:50" ht="12.95" customHeight="1" x14ac:dyDescent="0.25">
      <c r="A116" s="83">
        <v>21</v>
      </c>
      <c r="B116" s="526">
        <v>5442</v>
      </c>
      <c r="C116" s="527">
        <v>650030541</v>
      </c>
      <c r="D116" s="83">
        <v>75017512</v>
      </c>
      <c r="E116" s="536" t="s">
        <v>477</v>
      </c>
      <c r="F116" s="526">
        <v>3143</v>
      </c>
      <c r="G116" s="493" t="s">
        <v>635</v>
      </c>
      <c r="H116" s="493" t="s">
        <v>284</v>
      </c>
      <c r="I116" s="495">
        <v>28088</v>
      </c>
      <c r="J116" s="496">
        <v>19800</v>
      </c>
      <c r="K116" s="496">
        <v>0</v>
      </c>
      <c r="L116" s="496">
        <v>0</v>
      </c>
      <c r="M116" s="411">
        <v>6692</v>
      </c>
      <c r="N116" s="411">
        <v>396</v>
      </c>
      <c r="O116" s="496">
        <v>1200</v>
      </c>
      <c r="P116" s="497">
        <v>0.08</v>
      </c>
      <c r="Q116" s="412">
        <v>0</v>
      </c>
      <c r="R116" s="498">
        <v>0.08</v>
      </c>
      <c r="S116" s="499">
        <f t="shared" si="186"/>
        <v>0</v>
      </c>
      <c r="T116" s="486">
        <v>0</v>
      </c>
      <c r="U116" s="486">
        <v>0</v>
      </c>
      <c r="V116" s="486">
        <f t="shared" si="187"/>
        <v>0</v>
      </c>
      <c r="W116" s="486">
        <v>0</v>
      </c>
      <c r="X116" s="486">
        <v>0</v>
      </c>
      <c r="Y116" s="486">
        <f t="shared" si="188"/>
        <v>0</v>
      </c>
      <c r="Z116" s="486">
        <f t="shared" si="189"/>
        <v>0</v>
      </c>
      <c r="AA116" s="319">
        <f t="shared" si="190"/>
        <v>0</v>
      </c>
      <c r="AB116" s="178">
        <f t="shared" si="191"/>
        <v>0</v>
      </c>
      <c r="AC116" s="486">
        <v>0</v>
      </c>
      <c r="AD116" s="486">
        <v>0</v>
      </c>
      <c r="AE116" s="486">
        <f t="shared" si="127"/>
        <v>0</v>
      </c>
      <c r="AF116" s="486">
        <f t="shared" si="128"/>
        <v>0</v>
      </c>
      <c r="AG116" s="501">
        <v>0</v>
      </c>
      <c r="AH116" s="501">
        <v>0</v>
      </c>
      <c r="AI116" s="501">
        <v>0</v>
      </c>
      <c r="AJ116" s="501">
        <v>0</v>
      </c>
      <c r="AK116" s="501">
        <v>0</v>
      </c>
      <c r="AL116" s="501">
        <f t="shared" si="192"/>
        <v>0</v>
      </c>
      <c r="AM116" s="501">
        <f t="shared" si="193"/>
        <v>0</v>
      </c>
      <c r="AN116" s="502">
        <f t="shared" si="129"/>
        <v>0</v>
      </c>
      <c r="AO116" s="499">
        <f t="shared" si="194"/>
        <v>28088</v>
      </c>
      <c r="AP116" s="486">
        <f t="shared" si="195"/>
        <v>19800</v>
      </c>
      <c r="AQ116" s="486">
        <f t="shared" si="196"/>
        <v>0</v>
      </c>
      <c r="AR116" s="480">
        <f t="shared" si="197"/>
        <v>0</v>
      </c>
      <c r="AS116" s="486">
        <f t="shared" si="198"/>
        <v>6692</v>
      </c>
      <c r="AT116" s="486">
        <f t="shared" si="198"/>
        <v>396</v>
      </c>
      <c r="AU116" s="486">
        <f t="shared" si="199"/>
        <v>1200</v>
      </c>
      <c r="AV116" s="501">
        <f t="shared" si="200"/>
        <v>0.08</v>
      </c>
      <c r="AW116" s="501">
        <f t="shared" si="201"/>
        <v>0</v>
      </c>
      <c r="AX116" s="502">
        <f t="shared" si="201"/>
        <v>0.08</v>
      </c>
    </row>
    <row r="117" spans="1:50" ht="12.95" customHeight="1" x14ac:dyDescent="0.25">
      <c r="A117" s="92">
        <v>21</v>
      </c>
      <c r="B117" s="104">
        <v>5442</v>
      </c>
      <c r="C117" s="105">
        <v>650030541</v>
      </c>
      <c r="D117" s="104">
        <v>75017512</v>
      </c>
      <c r="E117" s="119" t="s">
        <v>478</v>
      </c>
      <c r="F117" s="104"/>
      <c r="G117" s="122"/>
      <c r="H117" s="123"/>
      <c r="I117" s="136">
        <v>15249453</v>
      </c>
      <c r="J117" s="116">
        <v>10949571</v>
      </c>
      <c r="K117" s="116">
        <v>43848</v>
      </c>
      <c r="L117" s="116">
        <v>18648</v>
      </c>
      <c r="M117" s="116">
        <v>3709473</v>
      </c>
      <c r="N117" s="116">
        <v>218991</v>
      </c>
      <c r="O117" s="116">
        <v>327570</v>
      </c>
      <c r="P117" s="303">
        <v>24.548299999999998</v>
      </c>
      <c r="Q117" s="303">
        <v>18.866099999999999</v>
      </c>
      <c r="R117" s="304">
        <v>5.6821999999999999</v>
      </c>
      <c r="S117" s="240">
        <f t="shared" ref="S117:AN117" si="202">SUM(S111:S116)</f>
        <v>0</v>
      </c>
      <c r="T117" s="116">
        <f t="shared" si="202"/>
        <v>0</v>
      </c>
      <c r="U117" s="116">
        <f t="shared" si="202"/>
        <v>0</v>
      </c>
      <c r="V117" s="116">
        <f t="shared" si="202"/>
        <v>0</v>
      </c>
      <c r="W117" s="116">
        <f t="shared" si="202"/>
        <v>0</v>
      </c>
      <c r="X117" s="116">
        <f t="shared" si="202"/>
        <v>0</v>
      </c>
      <c r="Y117" s="116">
        <f t="shared" si="202"/>
        <v>0</v>
      </c>
      <c r="Z117" s="116">
        <f t="shared" si="202"/>
        <v>0</v>
      </c>
      <c r="AA117" s="116">
        <f t="shared" si="202"/>
        <v>0</v>
      </c>
      <c r="AB117" s="116">
        <f t="shared" si="202"/>
        <v>0</v>
      </c>
      <c r="AC117" s="116">
        <f t="shared" si="202"/>
        <v>0</v>
      </c>
      <c r="AD117" s="116">
        <f t="shared" si="202"/>
        <v>0</v>
      </c>
      <c r="AE117" s="116">
        <f t="shared" si="202"/>
        <v>0</v>
      </c>
      <c r="AF117" s="116">
        <f t="shared" si="202"/>
        <v>0</v>
      </c>
      <c r="AG117" s="303">
        <f t="shared" si="202"/>
        <v>0</v>
      </c>
      <c r="AH117" s="303">
        <f t="shared" si="202"/>
        <v>0</v>
      </c>
      <c r="AI117" s="303">
        <f t="shared" si="202"/>
        <v>0</v>
      </c>
      <c r="AJ117" s="303">
        <f t="shared" si="202"/>
        <v>0</v>
      </c>
      <c r="AK117" s="303">
        <f t="shared" si="202"/>
        <v>0</v>
      </c>
      <c r="AL117" s="303">
        <f t="shared" si="202"/>
        <v>0</v>
      </c>
      <c r="AM117" s="303">
        <f t="shared" si="202"/>
        <v>0</v>
      </c>
      <c r="AN117" s="304">
        <f t="shared" si="202"/>
        <v>0</v>
      </c>
      <c r="AO117" s="240">
        <f t="shared" ref="AO117:AX117" si="203">SUM(AO111:AO116)</f>
        <v>15249453</v>
      </c>
      <c r="AP117" s="116">
        <f t="shared" si="203"/>
        <v>10949571</v>
      </c>
      <c r="AQ117" s="116">
        <f t="shared" si="203"/>
        <v>43848</v>
      </c>
      <c r="AR117" s="116">
        <f t="shared" si="203"/>
        <v>18648</v>
      </c>
      <c r="AS117" s="116">
        <f t="shared" si="203"/>
        <v>3709473</v>
      </c>
      <c r="AT117" s="116">
        <f t="shared" si="203"/>
        <v>218991</v>
      </c>
      <c r="AU117" s="116">
        <f t="shared" si="203"/>
        <v>327570</v>
      </c>
      <c r="AV117" s="303">
        <f t="shared" si="203"/>
        <v>24.548299999999998</v>
      </c>
      <c r="AW117" s="303">
        <f t="shared" si="203"/>
        <v>18.866099999999999</v>
      </c>
      <c r="AX117" s="304">
        <f t="shared" si="203"/>
        <v>5.6821999999999999</v>
      </c>
    </row>
    <row r="118" spans="1:50" ht="12.95" customHeight="1" x14ac:dyDescent="0.25">
      <c r="A118" s="83">
        <v>22</v>
      </c>
      <c r="B118" s="526">
        <v>5453</v>
      </c>
      <c r="C118" s="527">
        <v>600099211</v>
      </c>
      <c r="D118" s="83">
        <v>854760</v>
      </c>
      <c r="E118" s="536" t="s">
        <v>479</v>
      </c>
      <c r="F118" s="526">
        <v>3111</v>
      </c>
      <c r="G118" s="535" t="s">
        <v>331</v>
      </c>
      <c r="H118" s="493" t="s">
        <v>283</v>
      </c>
      <c r="I118" s="495">
        <v>6169737</v>
      </c>
      <c r="J118" s="496">
        <v>4492966</v>
      </c>
      <c r="K118" s="496">
        <v>5000</v>
      </c>
      <c r="L118" s="496">
        <v>0</v>
      </c>
      <c r="M118" s="411">
        <v>1520312</v>
      </c>
      <c r="N118" s="411">
        <v>89859</v>
      </c>
      <c r="O118" s="496">
        <v>61600</v>
      </c>
      <c r="P118" s="497">
        <v>10.948200000000002</v>
      </c>
      <c r="Q118" s="412">
        <v>8.6636000000000006</v>
      </c>
      <c r="R118" s="498">
        <v>2.2846000000000002</v>
      </c>
      <c r="S118" s="499">
        <f t="shared" ref="S118:S124" si="204">W118*-1</f>
        <v>0</v>
      </c>
      <c r="T118" s="486">
        <v>0</v>
      </c>
      <c r="U118" s="486">
        <v>0</v>
      </c>
      <c r="V118" s="486">
        <f t="shared" ref="V118:V124" si="205">SUM(S118:U118)</f>
        <v>0</v>
      </c>
      <c r="W118" s="486">
        <v>0</v>
      </c>
      <c r="X118" s="486">
        <v>0</v>
      </c>
      <c r="Y118" s="486">
        <f t="shared" ref="Y118:Y124" si="206">SUM(W118:X118)</f>
        <v>0</v>
      </c>
      <c r="Z118" s="486">
        <f t="shared" ref="Z118:Z124" si="207">V118+Y118</f>
        <v>0</v>
      </c>
      <c r="AA118" s="319">
        <f t="shared" ref="AA118:AA124" si="208">ROUND((V118+W118)*33.8%,0)</f>
        <v>0</v>
      </c>
      <c r="AB118" s="178">
        <f t="shared" ref="AB118:AB124" si="209">ROUND(V118*2%,0)</f>
        <v>0</v>
      </c>
      <c r="AC118" s="486">
        <v>0</v>
      </c>
      <c r="AD118" s="486">
        <v>0</v>
      </c>
      <c r="AE118" s="486">
        <f t="shared" si="127"/>
        <v>0</v>
      </c>
      <c r="AF118" s="486">
        <f t="shared" si="128"/>
        <v>0</v>
      </c>
      <c r="AG118" s="501">
        <v>0</v>
      </c>
      <c r="AH118" s="501">
        <v>0</v>
      </c>
      <c r="AI118" s="501">
        <v>0</v>
      </c>
      <c r="AJ118" s="501">
        <v>0</v>
      </c>
      <c r="AK118" s="501">
        <v>0</v>
      </c>
      <c r="AL118" s="501">
        <f t="shared" ref="AL118:AL124" si="210">AG118+AI118+AJ118</f>
        <v>0</v>
      </c>
      <c r="AM118" s="501">
        <f t="shared" ref="AM118:AM124" si="211">AH118+AK118</f>
        <v>0</v>
      </c>
      <c r="AN118" s="502">
        <f t="shared" si="129"/>
        <v>0</v>
      </c>
      <c r="AO118" s="499">
        <f t="shared" ref="AO118:AO124" si="212">I118+AF118</f>
        <v>6169737</v>
      </c>
      <c r="AP118" s="486">
        <f t="shared" ref="AP118:AP124" si="213">J118+V118</f>
        <v>4492966</v>
      </c>
      <c r="AQ118" s="486">
        <f t="shared" ref="AQ118:AQ124" si="214">K118+Y118</f>
        <v>5000</v>
      </c>
      <c r="AR118" s="480">
        <f t="shared" ref="AR118:AR124" si="215">L118</f>
        <v>0</v>
      </c>
      <c r="AS118" s="486">
        <f t="shared" ref="AS118:AT124" si="216">M118+AA118</f>
        <v>1520312</v>
      </c>
      <c r="AT118" s="486">
        <f t="shared" si="216"/>
        <v>89859</v>
      </c>
      <c r="AU118" s="486">
        <f t="shared" ref="AU118:AU124" si="217">O118+AE118</f>
        <v>61600</v>
      </c>
      <c r="AV118" s="501">
        <f t="shared" ref="AV118:AV124" si="218">P118+AN118</f>
        <v>10.948200000000002</v>
      </c>
      <c r="AW118" s="501">
        <f t="shared" ref="AW118:AX124" si="219">Q118+AL118</f>
        <v>8.6636000000000006</v>
      </c>
      <c r="AX118" s="502">
        <f t="shared" si="219"/>
        <v>2.2846000000000002</v>
      </c>
    </row>
    <row r="119" spans="1:50" ht="12.95" customHeight="1" x14ac:dyDescent="0.25">
      <c r="A119" s="83">
        <v>22</v>
      </c>
      <c r="B119" s="526">
        <v>5453</v>
      </c>
      <c r="C119" s="527">
        <v>600099211</v>
      </c>
      <c r="D119" s="83">
        <v>854760</v>
      </c>
      <c r="E119" s="536" t="s">
        <v>479</v>
      </c>
      <c r="F119" s="526">
        <v>3113</v>
      </c>
      <c r="G119" s="535" t="s">
        <v>335</v>
      </c>
      <c r="H119" s="493" t="s">
        <v>283</v>
      </c>
      <c r="I119" s="495">
        <v>22871142</v>
      </c>
      <c r="J119" s="496">
        <v>16172605</v>
      </c>
      <c r="K119" s="496">
        <v>189241</v>
      </c>
      <c r="L119" s="496">
        <v>181241</v>
      </c>
      <c r="M119" s="411">
        <v>5469044</v>
      </c>
      <c r="N119" s="411">
        <v>323452</v>
      </c>
      <c r="O119" s="496">
        <v>716800</v>
      </c>
      <c r="P119" s="497">
        <v>31.560199999999998</v>
      </c>
      <c r="Q119" s="412">
        <v>23.718399999999999</v>
      </c>
      <c r="R119" s="498">
        <v>7.8418000000000001</v>
      </c>
      <c r="S119" s="499">
        <v>0</v>
      </c>
      <c r="T119" s="486">
        <v>0</v>
      </c>
      <c r="U119" s="486">
        <v>0</v>
      </c>
      <c r="V119" s="486">
        <f t="shared" si="205"/>
        <v>0</v>
      </c>
      <c r="W119" s="486">
        <v>0</v>
      </c>
      <c r="X119" s="486">
        <v>0</v>
      </c>
      <c r="Y119" s="486">
        <f t="shared" si="206"/>
        <v>0</v>
      </c>
      <c r="Z119" s="486">
        <f t="shared" si="207"/>
        <v>0</v>
      </c>
      <c r="AA119" s="319">
        <f t="shared" si="208"/>
        <v>0</v>
      </c>
      <c r="AB119" s="178">
        <f t="shared" si="209"/>
        <v>0</v>
      </c>
      <c r="AC119" s="486">
        <v>0</v>
      </c>
      <c r="AD119" s="486">
        <v>0</v>
      </c>
      <c r="AE119" s="486">
        <f t="shared" si="127"/>
        <v>0</v>
      </c>
      <c r="AF119" s="486">
        <f t="shared" si="128"/>
        <v>0</v>
      </c>
      <c r="AG119" s="501">
        <v>0</v>
      </c>
      <c r="AH119" s="501">
        <v>0</v>
      </c>
      <c r="AI119" s="501">
        <v>0</v>
      </c>
      <c r="AJ119" s="501">
        <v>0</v>
      </c>
      <c r="AK119" s="501">
        <v>0</v>
      </c>
      <c r="AL119" s="501">
        <f t="shared" si="210"/>
        <v>0</v>
      </c>
      <c r="AM119" s="501">
        <f t="shared" si="211"/>
        <v>0</v>
      </c>
      <c r="AN119" s="502">
        <f t="shared" si="129"/>
        <v>0</v>
      </c>
      <c r="AO119" s="499">
        <f t="shared" si="212"/>
        <v>22871142</v>
      </c>
      <c r="AP119" s="486">
        <f t="shared" si="213"/>
        <v>16172605</v>
      </c>
      <c r="AQ119" s="486">
        <f t="shared" si="214"/>
        <v>189241</v>
      </c>
      <c r="AR119" s="480">
        <f t="shared" si="215"/>
        <v>181241</v>
      </c>
      <c r="AS119" s="486">
        <f t="shared" si="216"/>
        <v>5469044</v>
      </c>
      <c r="AT119" s="486">
        <f t="shared" si="216"/>
        <v>323452</v>
      </c>
      <c r="AU119" s="486">
        <f t="shared" si="217"/>
        <v>716800</v>
      </c>
      <c r="AV119" s="501">
        <f t="shared" si="218"/>
        <v>31.560199999999998</v>
      </c>
      <c r="AW119" s="501">
        <f t="shared" si="219"/>
        <v>23.718399999999999</v>
      </c>
      <c r="AX119" s="502">
        <f t="shared" si="219"/>
        <v>7.8418000000000001</v>
      </c>
    </row>
    <row r="120" spans="1:50" ht="12.95" customHeight="1" x14ac:dyDescent="0.25">
      <c r="A120" s="83">
        <v>22</v>
      </c>
      <c r="B120" s="526">
        <v>5453</v>
      </c>
      <c r="C120" s="527">
        <v>600099211</v>
      </c>
      <c r="D120" s="83">
        <v>854760</v>
      </c>
      <c r="E120" s="536" t="s">
        <v>479</v>
      </c>
      <c r="F120" s="526">
        <v>3113</v>
      </c>
      <c r="G120" s="493" t="s">
        <v>318</v>
      </c>
      <c r="H120" s="493" t="s">
        <v>284</v>
      </c>
      <c r="I120" s="495">
        <v>1212986</v>
      </c>
      <c r="J120" s="496">
        <v>889533</v>
      </c>
      <c r="K120" s="496">
        <v>0</v>
      </c>
      <c r="L120" s="496">
        <v>0</v>
      </c>
      <c r="M120" s="411">
        <v>300662</v>
      </c>
      <c r="N120" s="411">
        <v>17791</v>
      </c>
      <c r="O120" s="496">
        <v>5000</v>
      </c>
      <c r="P120" s="497">
        <v>2.2299999999999995</v>
      </c>
      <c r="Q120" s="412">
        <v>2.2299999999999995</v>
      </c>
      <c r="R120" s="498">
        <v>0</v>
      </c>
      <c r="S120" s="499">
        <f t="shared" si="204"/>
        <v>0</v>
      </c>
      <c r="T120" s="486">
        <v>0</v>
      </c>
      <c r="U120" s="486">
        <v>0</v>
      </c>
      <c r="V120" s="486">
        <f t="shared" si="205"/>
        <v>0</v>
      </c>
      <c r="W120" s="486">
        <v>0</v>
      </c>
      <c r="X120" s="486">
        <v>0</v>
      </c>
      <c r="Y120" s="486">
        <f t="shared" si="206"/>
        <v>0</v>
      </c>
      <c r="Z120" s="486">
        <f t="shared" si="207"/>
        <v>0</v>
      </c>
      <c r="AA120" s="319">
        <f t="shared" si="208"/>
        <v>0</v>
      </c>
      <c r="AB120" s="178">
        <f t="shared" si="209"/>
        <v>0</v>
      </c>
      <c r="AC120" s="486">
        <v>0</v>
      </c>
      <c r="AD120" s="486">
        <v>0</v>
      </c>
      <c r="AE120" s="486">
        <f t="shared" si="127"/>
        <v>0</v>
      </c>
      <c r="AF120" s="486">
        <f t="shared" si="128"/>
        <v>0</v>
      </c>
      <c r="AG120" s="501">
        <v>0</v>
      </c>
      <c r="AH120" s="501">
        <v>0</v>
      </c>
      <c r="AI120" s="501">
        <v>0</v>
      </c>
      <c r="AJ120" s="501">
        <v>0</v>
      </c>
      <c r="AK120" s="501">
        <v>0</v>
      </c>
      <c r="AL120" s="501">
        <f t="shared" si="210"/>
        <v>0</v>
      </c>
      <c r="AM120" s="501">
        <f t="shared" si="211"/>
        <v>0</v>
      </c>
      <c r="AN120" s="502">
        <f t="shared" si="129"/>
        <v>0</v>
      </c>
      <c r="AO120" s="499">
        <f t="shared" si="212"/>
        <v>1212986</v>
      </c>
      <c r="AP120" s="486">
        <f t="shared" si="213"/>
        <v>889533</v>
      </c>
      <c r="AQ120" s="486">
        <f t="shared" si="214"/>
        <v>0</v>
      </c>
      <c r="AR120" s="480">
        <f t="shared" si="215"/>
        <v>0</v>
      </c>
      <c r="AS120" s="486">
        <f t="shared" si="216"/>
        <v>300662</v>
      </c>
      <c r="AT120" s="486">
        <f t="shared" si="216"/>
        <v>17791</v>
      </c>
      <c r="AU120" s="486">
        <f t="shared" si="217"/>
        <v>5000</v>
      </c>
      <c r="AV120" s="501">
        <f t="shared" si="218"/>
        <v>2.2299999999999995</v>
      </c>
      <c r="AW120" s="501">
        <f t="shared" si="219"/>
        <v>2.2299999999999995</v>
      </c>
      <c r="AX120" s="502">
        <f t="shared" si="219"/>
        <v>0</v>
      </c>
    </row>
    <row r="121" spans="1:50" ht="12.95" customHeight="1" x14ac:dyDescent="0.25">
      <c r="A121" s="83">
        <v>22</v>
      </c>
      <c r="B121" s="526">
        <v>5453</v>
      </c>
      <c r="C121" s="527">
        <v>600099211</v>
      </c>
      <c r="D121" s="83">
        <v>854760</v>
      </c>
      <c r="E121" s="536" t="s">
        <v>479</v>
      </c>
      <c r="F121" s="526">
        <v>3141</v>
      </c>
      <c r="G121" s="535" t="s">
        <v>321</v>
      </c>
      <c r="H121" s="493" t="s">
        <v>284</v>
      </c>
      <c r="I121" s="495">
        <v>3044059</v>
      </c>
      <c r="J121" s="496">
        <v>2224576</v>
      </c>
      <c r="K121" s="496">
        <v>0</v>
      </c>
      <c r="L121" s="496">
        <v>0</v>
      </c>
      <c r="M121" s="411">
        <v>751907</v>
      </c>
      <c r="N121" s="411">
        <v>44492</v>
      </c>
      <c r="O121" s="496">
        <v>23084</v>
      </c>
      <c r="P121" s="497">
        <v>7.5600000000000005</v>
      </c>
      <c r="Q121" s="412">
        <v>0</v>
      </c>
      <c r="R121" s="498">
        <v>7.5600000000000005</v>
      </c>
      <c r="S121" s="499">
        <f t="shared" si="204"/>
        <v>0</v>
      </c>
      <c r="T121" s="486">
        <v>0</v>
      </c>
      <c r="U121" s="486">
        <v>0</v>
      </c>
      <c r="V121" s="486">
        <f t="shared" si="205"/>
        <v>0</v>
      </c>
      <c r="W121" s="486">
        <v>0</v>
      </c>
      <c r="X121" s="486">
        <v>0</v>
      </c>
      <c r="Y121" s="486">
        <f t="shared" si="206"/>
        <v>0</v>
      </c>
      <c r="Z121" s="486">
        <f t="shared" si="207"/>
        <v>0</v>
      </c>
      <c r="AA121" s="319">
        <f t="shared" si="208"/>
        <v>0</v>
      </c>
      <c r="AB121" s="178">
        <f t="shared" si="209"/>
        <v>0</v>
      </c>
      <c r="AC121" s="486">
        <v>0</v>
      </c>
      <c r="AD121" s="486">
        <v>0</v>
      </c>
      <c r="AE121" s="486">
        <f t="shared" si="127"/>
        <v>0</v>
      </c>
      <c r="AF121" s="486">
        <f t="shared" si="128"/>
        <v>0</v>
      </c>
      <c r="AG121" s="501">
        <v>0</v>
      </c>
      <c r="AH121" s="501">
        <v>0</v>
      </c>
      <c r="AI121" s="501">
        <v>0</v>
      </c>
      <c r="AJ121" s="501">
        <v>0</v>
      </c>
      <c r="AK121" s="501">
        <v>0</v>
      </c>
      <c r="AL121" s="501">
        <f t="shared" si="210"/>
        <v>0</v>
      </c>
      <c r="AM121" s="501">
        <f t="shared" si="211"/>
        <v>0</v>
      </c>
      <c r="AN121" s="502">
        <f t="shared" si="129"/>
        <v>0</v>
      </c>
      <c r="AO121" s="499">
        <f t="shared" si="212"/>
        <v>3044059</v>
      </c>
      <c r="AP121" s="486">
        <f t="shared" si="213"/>
        <v>2224576</v>
      </c>
      <c r="AQ121" s="486">
        <f t="shared" si="214"/>
        <v>0</v>
      </c>
      <c r="AR121" s="480">
        <f t="shared" si="215"/>
        <v>0</v>
      </c>
      <c r="AS121" s="486">
        <f t="shared" si="216"/>
        <v>751907</v>
      </c>
      <c r="AT121" s="486">
        <f t="shared" si="216"/>
        <v>44492</v>
      </c>
      <c r="AU121" s="486">
        <f t="shared" si="217"/>
        <v>23084</v>
      </c>
      <c r="AV121" s="501">
        <f t="shared" si="218"/>
        <v>7.5600000000000005</v>
      </c>
      <c r="AW121" s="501">
        <f t="shared" si="219"/>
        <v>0</v>
      </c>
      <c r="AX121" s="502">
        <f t="shared" si="219"/>
        <v>7.5600000000000005</v>
      </c>
    </row>
    <row r="122" spans="1:50" ht="12.95" customHeight="1" x14ac:dyDescent="0.25">
      <c r="A122" s="83">
        <v>22</v>
      </c>
      <c r="B122" s="526">
        <v>5453</v>
      </c>
      <c r="C122" s="527">
        <v>600099211</v>
      </c>
      <c r="D122" s="83">
        <v>854760</v>
      </c>
      <c r="E122" s="536" t="s">
        <v>479</v>
      </c>
      <c r="F122" s="526">
        <v>3143</v>
      </c>
      <c r="G122" s="493" t="s">
        <v>634</v>
      </c>
      <c r="H122" s="493" t="s">
        <v>283</v>
      </c>
      <c r="I122" s="495">
        <v>1612314</v>
      </c>
      <c r="J122" s="496">
        <v>1187271</v>
      </c>
      <c r="K122" s="496">
        <v>0</v>
      </c>
      <c r="L122" s="496">
        <v>0</v>
      </c>
      <c r="M122" s="411">
        <v>401298</v>
      </c>
      <c r="N122" s="411">
        <v>23745</v>
      </c>
      <c r="O122" s="496">
        <v>0</v>
      </c>
      <c r="P122" s="497">
        <v>2.5973000000000002</v>
      </c>
      <c r="Q122" s="412">
        <v>2.5973000000000002</v>
      </c>
      <c r="R122" s="498">
        <v>0</v>
      </c>
      <c r="S122" s="499">
        <f t="shared" si="204"/>
        <v>0</v>
      </c>
      <c r="T122" s="486">
        <v>0</v>
      </c>
      <c r="U122" s="486">
        <v>0</v>
      </c>
      <c r="V122" s="486">
        <f t="shared" si="205"/>
        <v>0</v>
      </c>
      <c r="W122" s="486">
        <v>0</v>
      </c>
      <c r="X122" s="486">
        <v>0</v>
      </c>
      <c r="Y122" s="486">
        <f t="shared" si="206"/>
        <v>0</v>
      </c>
      <c r="Z122" s="486">
        <f t="shared" si="207"/>
        <v>0</v>
      </c>
      <c r="AA122" s="319">
        <f t="shared" si="208"/>
        <v>0</v>
      </c>
      <c r="AB122" s="178">
        <f t="shared" si="209"/>
        <v>0</v>
      </c>
      <c r="AC122" s="486">
        <v>0</v>
      </c>
      <c r="AD122" s="486">
        <v>0</v>
      </c>
      <c r="AE122" s="486">
        <f t="shared" si="127"/>
        <v>0</v>
      </c>
      <c r="AF122" s="486">
        <f t="shared" si="128"/>
        <v>0</v>
      </c>
      <c r="AG122" s="501">
        <v>0</v>
      </c>
      <c r="AH122" s="501">
        <v>0</v>
      </c>
      <c r="AI122" s="501">
        <v>0</v>
      </c>
      <c r="AJ122" s="501">
        <v>0</v>
      </c>
      <c r="AK122" s="501">
        <v>0</v>
      </c>
      <c r="AL122" s="501">
        <f t="shared" si="210"/>
        <v>0</v>
      </c>
      <c r="AM122" s="501">
        <f t="shared" si="211"/>
        <v>0</v>
      </c>
      <c r="AN122" s="502">
        <f t="shared" si="129"/>
        <v>0</v>
      </c>
      <c r="AO122" s="499">
        <f t="shared" si="212"/>
        <v>1612314</v>
      </c>
      <c r="AP122" s="486">
        <f t="shared" si="213"/>
        <v>1187271</v>
      </c>
      <c r="AQ122" s="486">
        <f t="shared" si="214"/>
        <v>0</v>
      </c>
      <c r="AR122" s="480">
        <f t="shared" si="215"/>
        <v>0</v>
      </c>
      <c r="AS122" s="486">
        <f t="shared" si="216"/>
        <v>401298</v>
      </c>
      <c r="AT122" s="486">
        <f t="shared" si="216"/>
        <v>23745</v>
      </c>
      <c r="AU122" s="486">
        <f t="shared" si="217"/>
        <v>0</v>
      </c>
      <c r="AV122" s="501">
        <f t="shared" si="218"/>
        <v>2.5973000000000002</v>
      </c>
      <c r="AW122" s="501">
        <f t="shared" si="219"/>
        <v>2.5973000000000002</v>
      </c>
      <c r="AX122" s="502">
        <f t="shared" si="219"/>
        <v>0</v>
      </c>
    </row>
    <row r="123" spans="1:50" ht="12.95" customHeight="1" x14ac:dyDescent="0.25">
      <c r="A123" s="83">
        <v>22</v>
      </c>
      <c r="B123" s="526">
        <v>5453</v>
      </c>
      <c r="C123" s="527">
        <v>600099211</v>
      </c>
      <c r="D123" s="83">
        <v>854760</v>
      </c>
      <c r="E123" s="536" t="s">
        <v>479</v>
      </c>
      <c r="F123" s="526">
        <v>3143</v>
      </c>
      <c r="G123" s="493" t="s">
        <v>635</v>
      </c>
      <c r="H123" s="493" t="s">
        <v>284</v>
      </c>
      <c r="I123" s="495">
        <v>70923</v>
      </c>
      <c r="J123" s="496">
        <v>49995</v>
      </c>
      <c r="K123" s="496">
        <v>0</v>
      </c>
      <c r="L123" s="496">
        <v>0</v>
      </c>
      <c r="M123" s="411">
        <v>16898</v>
      </c>
      <c r="N123" s="411">
        <v>1000</v>
      </c>
      <c r="O123" s="496">
        <v>3030</v>
      </c>
      <c r="P123" s="497">
        <v>0.21</v>
      </c>
      <c r="Q123" s="412">
        <v>0</v>
      </c>
      <c r="R123" s="498">
        <v>0.21</v>
      </c>
      <c r="S123" s="499">
        <f t="shared" si="204"/>
        <v>0</v>
      </c>
      <c r="T123" s="486">
        <v>0</v>
      </c>
      <c r="U123" s="486">
        <v>0</v>
      </c>
      <c r="V123" s="486">
        <f t="shared" si="205"/>
        <v>0</v>
      </c>
      <c r="W123" s="486">
        <v>0</v>
      </c>
      <c r="X123" s="486">
        <v>0</v>
      </c>
      <c r="Y123" s="486">
        <f t="shared" si="206"/>
        <v>0</v>
      </c>
      <c r="Z123" s="486">
        <f t="shared" si="207"/>
        <v>0</v>
      </c>
      <c r="AA123" s="319">
        <f t="shared" si="208"/>
        <v>0</v>
      </c>
      <c r="AB123" s="178">
        <f t="shared" si="209"/>
        <v>0</v>
      </c>
      <c r="AC123" s="486">
        <v>0</v>
      </c>
      <c r="AD123" s="486">
        <v>0</v>
      </c>
      <c r="AE123" s="486">
        <f t="shared" si="127"/>
        <v>0</v>
      </c>
      <c r="AF123" s="486">
        <f t="shared" si="128"/>
        <v>0</v>
      </c>
      <c r="AG123" s="501">
        <v>0</v>
      </c>
      <c r="AH123" s="501">
        <v>0</v>
      </c>
      <c r="AI123" s="501">
        <v>0</v>
      </c>
      <c r="AJ123" s="501">
        <v>0</v>
      </c>
      <c r="AK123" s="501">
        <v>0</v>
      </c>
      <c r="AL123" s="501">
        <f t="shared" si="210"/>
        <v>0</v>
      </c>
      <c r="AM123" s="501">
        <f t="shared" si="211"/>
        <v>0</v>
      </c>
      <c r="AN123" s="502">
        <f t="shared" si="129"/>
        <v>0</v>
      </c>
      <c r="AO123" s="499">
        <f t="shared" si="212"/>
        <v>70923</v>
      </c>
      <c r="AP123" s="486">
        <f t="shared" si="213"/>
        <v>49995</v>
      </c>
      <c r="AQ123" s="486">
        <f t="shared" si="214"/>
        <v>0</v>
      </c>
      <c r="AR123" s="480">
        <f t="shared" si="215"/>
        <v>0</v>
      </c>
      <c r="AS123" s="486">
        <f t="shared" si="216"/>
        <v>16898</v>
      </c>
      <c r="AT123" s="486">
        <f t="shared" si="216"/>
        <v>1000</v>
      </c>
      <c r="AU123" s="486">
        <f t="shared" si="217"/>
        <v>3030</v>
      </c>
      <c r="AV123" s="501">
        <f t="shared" si="218"/>
        <v>0.21</v>
      </c>
      <c r="AW123" s="501">
        <f t="shared" si="219"/>
        <v>0</v>
      </c>
      <c r="AX123" s="502">
        <f t="shared" si="219"/>
        <v>0.21</v>
      </c>
    </row>
    <row r="124" spans="1:50" ht="12.95" customHeight="1" x14ac:dyDescent="0.25">
      <c r="A124" s="83">
        <v>22</v>
      </c>
      <c r="B124" s="526">
        <v>5453</v>
      </c>
      <c r="C124" s="527">
        <v>600099211</v>
      </c>
      <c r="D124" s="83">
        <v>854760</v>
      </c>
      <c r="E124" s="536" t="s">
        <v>479</v>
      </c>
      <c r="F124" s="526">
        <v>3143</v>
      </c>
      <c r="G124" s="535" t="s">
        <v>480</v>
      </c>
      <c r="H124" s="493" t="s">
        <v>284</v>
      </c>
      <c r="I124" s="495">
        <v>332069</v>
      </c>
      <c r="J124" s="496">
        <v>243975</v>
      </c>
      <c r="K124" s="496">
        <v>0</v>
      </c>
      <c r="L124" s="496">
        <v>0</v>
      </c>
      <c r="M124" s="411">
        <v>82464</v>
      </c>
      <c r="N124" s="411">
        <v>4880</v>
      </c>
      <c r="O124" s="496">
        <v>750</v>
      </c>
      <c r="P124" s="497">
        <v>0.05</v>
      </c>
      <c r="Q124" s="412">
        <v>0</v>
      </c>
      <c r="R124" s="498">
        <v>0.05</v>
      </c>
      <c r="S124" s="499">
        <f t="shared" si="204"/>
        <v>0</v>
      </c>
      <c r="T124" s="486">
        <v>0</v>
      </c>
      <c r="U124" s="486">
        <v>0</v>
      </c>
      <c r="V124" s="486">
        <f t="shared" si="205"/>
        <v>0</v>
      </c>
      <c r="W124" s="486">
        <v>0</v>
      </c>
      <c r="X124" s="486">
        <v>0</v>
      </c>
      <c r="Y124" s="486">
        <f t="shared" si="206"/>
        <v>0</v>
      </c>
      <c r="Z124" s="486">
        <f t="shared" si="207"/>
        <v>0</v>
      </c>
      <c r="AA124" s="319">
        <f t="shared" si="208"/>
        <v>0</v>
      </c>
      <c r="AB124" s="178">
        <f t="shared" si="209"/>
        <v>0</v>
      </c>
      <c r="AC124" s="486">
        <v>0</v>
      </c>
      <c r="AD124" s="486">
        <v>0</v>
      </c>
      <c r="AE124" s="486">
        <f t="shared" si="127"/>
        <v>0</v>
      </c>
      <c r="AF124" s="486">
        <f t="shared" si="128"/>
        <v>0</v>
      </c>
      <c r="AG124" s="501">
        <v>0</v>
      </c>
      <c r="AH124" s="501">
        <v>0</v>
      </c>
      <c r="AI124" s="501">
        <v>0</v>
      </c>
      <c r="AJ124" s="501">
        <v>0</v>
      </c>
      <c r="AK124" s="501">
        <v>0</v>
      </c>
      <c r="AL124" s="501">
        <f t="shared" si="210"/>
        <v>0</v>
      </c>
      <c r="AM124" s="501">
        <f t="shared" si="211"/>
        <v>0</v>
      </c>
      <c r="AN124" s="502">
        <f t="shared" si="129"/>
        <v>0</v>
      </c>
      <c r="AO124" s="499">
        <f t="shared" si="212"/>
        <v>332069</v>
      </c>
      <c r="AP124" s="486">
        <f t="shared" si="213"/>
        <v>243975</v>
      </c>
      <c r="AQ124" s="486">
        <f t="shared" si="214"/>
        <v>0</v>
      </c>
      <c r="AR124" s="480">
        <f t="shared" si="215"/>
        <v>0</v>
      </c>
      <c r="AS124" s="486">
        <f t="shared" si="216"/>
        <v>82464</v>
      </c>
      <c r="AT124" s="486">
        <f t="shared" si="216"/>
        <v>4880</v>
      </c>
      <c r="AU124" s="486">
        <f t="shared" si="217"/>
        <v>750</v>
      </c>
      <c r="AV124" s="501">
        <f t="shared" si="218"/>
        <v>0.05</v>
      </c>
      <c r="AW124" s="501">
        <f t="shared" si="219"/>
        <v>0</v>
      </c>
      <c r="AX124" s="502">
        <f t="shared" si="219"/>
        <v>0.05</v>
      </c>
    </row>
    <row r="125" spans="1:50" ht="12.95" customHeight="1" x14ac:dyDescent="0.25">
      <c r="A125" s="92">
        <v>22</v>
      </c>
      <c r="B125" s="104">
        <v>5453</v>
      </c>
      <c r="C125" s="105">
        <v>600099211</v>
      </c>
      <c r="D125" s="104">
        <v>854760</v>
      </c>
      <c r="E125" s="119" t="s">
        <v>481</v>
      </c>
      <c r="F125" s="104"/>
      <c r="G125" s="122"/>
      <c r="H125" s="123"/>
      <c r="I125" s="130">
        <v>35313230</v>
      </c>
      <c r="J125" s="87">
        <v>25260921</v>
      </c>
      <c r="K125" s="87">
        <v>194241</v>
      </c>
      <c r="L125" s="87">
        <v>181241</v>
      </c>
      <c r="M125" s="87">
        <v>8542585</v>
      </c>
      <c r="N125" s="87">
        <v>505219</v>
      </c>
      <c r="O125" s="87">
        <v>810264</v>
      </c>
      <c r="P125" s="88">
        <v>55.155699999999996</v>
      </c>
      <c r="Q125" s="88">
        <v>37.209299999999992</v>
      </c>
      <c r="R125" s="274">
        <v>17.946400000000001</v>
      </c>
      <c r="S125" s="141">
        <f t="shared" ref="S125:AN125" si="220">SUM(S118:S124)</f>
        <v>0</v>
      </c>
      <c r="T125" s="87">
        <f t="shared" si="220"/>
        <v>0</v>
      </c>
      <c r="U125" s="87">
        <f t="shared" si="220"/>
        <v>0</v>
      </c>
      <c r="V125" s="87">
        <f t="shared" si="220"/>
        <v>0</v>
      </c>
      <c r="W125" s="87">
        <f t="shared" si="220"/>
        <v>0</v>
      </c>
      <c r="X125" s="87">
        <f t="shared" si="220"/>
        <v>0</v>
      </c>
      <c r="Y125" s="87">
        <f t="shared" si="220"/>
        <v>0</v>
      </c>
      <c r="Z125" s="87">
        <f t="shared" si="220"/>
        <v>0</v>
      </c>
      <c r="AA125" s="87">
        <f t="shared" si="220"/>
        <v>0</v>
      </c>
      <c r="AB125" s="87">
        <f t="shared" si="220"/>
        <v>0</v>
      </c>
      <c r="AC125" s="87">
        <f t="shared" si="220"/>
        <v>0</v>
      </c>
      <c r="AD125" s="87">
        <f t="shared" si="220"/>
        <v>0</v>
      </c>
      <c r="AE125" s="87">
        <f t="shared" si="220"/>
        <v>0</v>
      </c>
      <c r="AF125" s="87">
        <f t="shared" si="220"/>
        <v>0</v>
      </c>
      <c r="AG125" s="88">
        <f t="shared" si="220"/>
        <v>0</v>
      </c>
      <c r="AH125" s="88">
        <f t="shared" si="220"/>
        <v>0</v>
      </c>
      <c r="AI125" s="88">
        <f t="shared" si="220"/>
        <v>0</v>
      </c>
      <c r="AJ125" s="88">
        <f t="shared" si="220"/>
        <v>0</v>
      </c>
      <c r="AK125" s="88">
        <f t="shared" si="220"/>
        <v>0</v>
      </c>
      <c r="AL125" s="88">
        <f t="shared" si="220"/>
        <v>0</v>
      </c>
      <c r="AM125" s="88">
        <f t="shared" si="220"/>
        <v>0</v>
      </c>
      <c r="AN125" s="274">
        <f t="shared" si="220"/>
        <v>0</v>
      </c>
      <c r="AO125" s="141">
        <f t="shared" ref="AO125:AX125" si="221">SUM(AO118:AO124)</f>
        <v>35313230</v>
      </c>
      <c r="AP125" s="87">
        <f t="shared" si="221"/>
        <v>25260921</v>
      </c>
      <c r="AQ125" s="87">
        <f t="shared" si="221"/>
        <v>194241</v>
      </c>
      <c r="AR125" s="87">
        <f t="shared" si="221"/>
        <v>181241</v>
      </c>
      <c r="AS125" s="87">
        <f t="shared" si="221"/>
        <v>8542585</v>
      </c>
      <c r="AT125" s="87">
        <f t="shared" si="221"/>
        <v>505219</v>
      </c>
      <c r="AU125" s="87">
        <f t="shared" si="221"/>
        <v>810264</v>
      </c>
      <c r="AV125" s="88">
        <f t="shared" si="221"/>
        <v>55.155699999999996</v>
      </c>
      <c r="AW125" s="88">
        <f t="shared" si="221"/>
        <v>37.209299999999992</v>
      </c>
      <c r="AX125" s="274">
        <f t="shared" si="221"/>
        <v>17.946400000000001</v>
      </c>
    </row>
    <row r="126" spans="1:50" ht="12.95" customHeight="1" x14ac:dyDescent="0.25">
      <c r="A126" s="83">
        <v>23</v>
      </c>
      <c r="B126" s="83">
        <v>5429</v>
      </c>
      <c r="C126" s="107">
        <v>600098656</v>
      </c>
      <c r="D126" s="83">
        <v>70698309</v>
      </c>
      <c r="E126" s="492" t="s">
        <v>482</v>
      </c>
      <c r="F126" s="83">
        <v>3111</v>
      </c>
      <c r="G126" s="535" t="s">
        <v>331</v>
      </c>
      <c r="H126" s="493" t="s">
        <v>283</v>
      </c>
      <c r="I126" s="495">
        <v>3011669</v>
      </c>
      <c r="J126" s="496">
        <v>2188799</v>
      </c>
      <c r="K126" s="496">
        <v>10000</v>
      </c>
      <c r="L126" s="496">
        <v>0</v>
      </c>
      <c r="M126" s="411">
        <v>743194</v>
      </c>
      <c r="N126" s="411">
        <v>43776</v>
      </c>
      <c r="O126" s="496">
        <v>25900</v>
      </c>
      <c r="P126" s="497">
        <v>5.3498000000000001</v>
      </c>
      <c r="Q126" s="412">
        <v>4</v>
      </c>
      <c r="R126" s="498">
        <v>1.3497999999999999</v>
      </c>
      <c r="S126" s="499">
        <f t="shared" ref="S126:S128" si="222">W126*-1</f>
        <v>0</v>
      </c>
      <c r="T126" s="486">
        <v>0</v>
      </c>
      <c r="U126" s="486">
        <v>0</v>
      </c>
      <c r="V126" s="486">
        <f>SUM(S126:U126)</f>
        <v>0</v>
      </c>
      <c r="W126" s="486">
        <v>0</v>
      </c>
      <c r="X126" s="486">
        <v>0</v>
      </c>
      <c r="Y126" s="486">
        <f>SUM(W126:X126)</f>
        <v>0</v>
      </c>
      <c r="Z126" s="486">
        <f>V126+Y126</f>
        <v>0</v>
      </c>
      <c r="AA126" s="319">
        <f>ROUND((V126+W126)*33.8%,0)</f>
        <v>0</v>
      </c>
      <c r="AB126" s="178">
        <f>ROUND(V126*2%,0)</f>
        <v>0</v>
      </c>
      <c r="AC126" s="486">
        <v>0</v>
      </c>
      <c r="AD126" s="486">
        <v>0</v>
      </c>
      <c r="AE126" s="486">
        <f t="shared" si="127"/>
        <v>0</v>
      </c>
      <c r="AF126" s="486">
        <f t="shared" si="128"/>
        <v>0</v>
      </c>
      <c r="AG126" s="501">
        <v>0</v>
      </c>
      <c r="AH126" s="501">
        <v>0</v>
      </c>
      <c r="AI126" s="501">
        <v>0</v>
      </c>
      <c r="AJ126" s="501">
        <v>0</v>
      </c>
      <c r="AK126" s="501">
        <v>0</v>
      </c>
      <c r="AL126" s="501">
        <f t="shared" ref="AL126:AL128" si="223">AG126+AI126+AJ126</f>
        <v>0</v>
      </c>
      <c r="AM126" s="501">
        <f t="shared" ref="AM126:AM128" si="224">AH126+AK126</f>
        <v>0</v>
      </c>
      <c r="AN126" s="502">
        <f t="shared" si="129"/>
        <v>0</v>
      </c>
      <c r="AO126" s="499">
        <f>I126+AF126</f>
        <v>3011669</v>
      </c>
      <c r="AP126" s="486">
        <f>J126+V126</f>
        <v>2188799</v>
      </c>
      <c r="AQ126" s="486">
        <f>K126+Y126</f>
        <v>10000</v>
      </c>
      <c r="AR126" s="480">
        <f>L126</f>
        <v>0</v>
      </c>
      <c r="AS126" s="486">
        <f t="shared" ref="AS126:AT128" si="225">M126+AA126</f>
        <v>743194</v>
      </c>
      <c r="AT126" s="486">
        <f t="shared" si="225"/>
        <v>43776</v>
      </c>
      <c r="AU126" s="486">
        <f>O126+AE126</f>
        <v>25900</v>
      </c>
      <c r="AV126" s="501">
        <f>P126+AN126</f>
        <v>5.3498000000000001</v>
      </c>
      <c r="AW126" s="501">
        <f t="shared" ref="AW126:AX128" si="226">Q126+AL126</f>
        <v>4</v>
      </c>
      <c r="AX126" s="502">
        <f t="shared" si="226"/>
        <v>1.3497999999999999</v>
      </c>
    </row>
    <row r="127" spans="1:50" ht="12.95" customHeight="1" x14ac:dyDescent="0.25">
      <c r="A127" s="83">
        <v>23</v>
      </c>
      <c r="B127" s="526">
        <v>5429</v>
      </c>
      <c r="C127" s="527">
        <v>600098656</v>
      </c>
      <c r="D127" s="83">
        <v>70698309</v>
      </c>
      <c r="E127" s="536" t="s">
        <v>482</v>
      </c>
      <c r="F127" s="83">
        <v>3111</v>
      </c>
      <c r="G127" s="493" t="s">
        <v>318</v>
      </c>
      <c r="H127" s="493" t="s">
        <v>284</v>
      </c>
      <c r="I127" s="495">
        <v>0</v>
      </c>
      <c r="J127" s="496">
        <v>0</v>
      </c>
      <c r="K127" s="496">
        <v>0</v>
      </c>
      <c r="L127" s="496">
        <v>0</v>
      </c>
      <c r="M127" s="411">
        <v>0</v>
      </c>
      <c r="N127" s="411">
        <v>0</v>
      </c>
      <c r="O127" s="496">
        <v>0</v>
      </c>
      <c r="P127" s="497">
        <v>0</v>
      </c>
      <c r="Q127" s="412">
        <v>0</v>
      </c>
      <c r="R127" s="498">
        <v>0</v>
      </c>
      <c r="S127" s="499">
        <f t="shared" si="222"/>
        <v>0</v>
      </c>
      <c r="T127" s="486">
        <v>0</v>
      </c>
      <c r="U127" s="486">
        <v>0</v>
      </c>
      <c r="V127" s="486">
        <f>SUM(S127:U127)</f>
        <v>0</v>
      </c>
      <c r="W127" s="486">
        <v>0</v>
      </c>
      <c r="X127" s="486">
        <v>0</v>
      </c>
      <c r="Y127" s="486">
        <f>SUM(W127:X127)</f>
        <v>0</v>
      </c>
      <c r="Z127" s="486">
        <f>V127+Y127</f>
        <v>0</v>
      </c>
      <c r="AA127" s="319">
        <f>ROUND((V127+W127)*33.8%,0)</f>
        <v>0</v>
      </c>
      <c r="AB127" s="178">
        <f>ROUND(V127*2%,0)</f>
        <v>0</v>
      </c>
      <c r="AC127" s="486">
        <v>0</v>
      </c>
      <c r="AD127" s="486">
        <v>0</v>
      </c>
      <c r="AE127" s="486">
        <f t="shared" si="127"/>
        <v>0</v>
      </c>
      <c r="AF127" s="486">
        <f t="shared" si="128"/>
        <v>0</v>
      </c>
      <c r="AG127" s="501">
        <v>0</v>
      </c>
      <c r="AH127" s="501">
        <v>0</v>
      </c>
      <c r="AI127" s="501">
        <v>0</v>
      </c>
      <c r="AJ127" s="501">
        <v>0</v>
      </c>
      <c r="AK127" s="501">
        <v>0</v>
      </c>
      <c r="AL127" s="501">
        <f t="shared" si="223"/>
        <v>0</v>
      </c>
      <c r="AM127" s="501">
        <f t="shared" si="224"/>
        <v>0</v>
      </c>
      <c r="AN127" s="502">
        <f t="shared" si="129"/>
        <v>0</v>
      </c>
      <c r="AO127" s="499">
        <f>I127+AF127</f>
        <v>0</v>
      </c>
      <c r="AP127" s="486">
        <f>J127+V127</f>
        <v>0</v>
      </c>
      <c r="AQ127" s="486">
        <f>K127+Y127</f>
        <v>0</v>
      </c>
      <c r="AR127" s="480">
        <f>L127</f>
        <v>0</v>
      </c>
      <c r="AS127" s="486">
        <f t="shared" si="225"/>
        <v>0</v>
      </c>
      <c r="AT127" s="486">
        <f t="shared" si="225"/>
        <v>0</v>
      </c>
      <c r="AU127" s="486">
        <f>O127+AE127</f>
        <v>0</v>
      </c>
      <c r="AV127" s="501">
        <f>P127+AN127</f>
        <v>0</v>
      </c>
      <c r="AW127" s="501">
        <f t="shared" si="226"/>
        <v>0</v>
      </c>
      <c r="AX127" s="502">
        <f t="shared" si="226"/>
        <v>0</v>
      </c>
    </row>
    <row r="128" spans="1:50" ht="12.95" customHeight="1" x14ac:dyDescent="0.25">
      <c r="A128" s="83">
        <v>23</v>
      </c>
      <c r="B128" s="526">
        <v>5429</v>
      </c>
      <c r="C128" s="527">
        <v>600098656</v>
      </c>
      <c r="D128" s="83">
        <v>70698309</v>
      </c>
      <c r="E128" s="536" t="s">
        <v>482</v>
      </c>
      <c r="F128" s="526">
        <v>3141</v>
      </c>
      <c r="G128" s="535" t="s">
        <v>321</v>
      </c>
      <c r="H128" s="493" t="s">
        <v>284</v>
      </c>
      <c r="I128" s="495">
        <v>758830</v>
      </c>
      <c r="J128" s="496">
        <v>556265</v>
      </c>
      <c r="K128" s="496">
        <v>0</v>
      </c>
      <c r="L128" s="496">
        <v>0</v>
      </c>
      <c r="M128" s="411">
        <v>188018</v>
      </c>
      <c r="N128" s="411">
        <v>11125</v>
      </c>
      <c r="O128" s="496">
        <v>3422</v>
      </c>
      <c r="P128" s="497">
        <v>1.89</v>
      </c>
      <c r="Q128" s="412">
        <v>0</v>
      </c>
      <c r="R128" s="498">
        <v>1.89</v>
      </c>
      <c r="S128" s="499">
        <f t="shared" si="222"/>
        <v>0</v>
      </c>
      <c r="T128" s="486">
        <v>0</v>
      </c>
      <c r="U128" s="486">
        <v>0</v>
      </c>
      <c r="V128" s="486">
        <f>SUM(S128:U128)</f>
        <v>0</v>
      </c>
      <c r="W128" s="486">
        <v>0</v>
      </c>
      <c r="X128" s="486">
        <v>0</v>
      </c>
      <c r="Y128" s="486">
        <f>SUM(W128:X128)</f>
        <v>0</v>
      </c>
      <c r="Z128" s="486">
        <f>V128+Y128</f>
        <v>0</v>
      </c>
      <c r="AA128" s="319">
        <f>ROUND((V128+W128)*33.8%,0)</f>
        <v>0</v>
      </c>
      <c r="AB128" s="178">
        <f>ROUND(V128*2%,0)</f>
        <v>0</v>
      </c>
      <c r="AC128" s="486">
        <v>0</v>
      </c>
      <c r="AD128" s="486">
        <v>0</v>
      </c>
      <c r="AE128" s="486">
        <f t="shared" si="127"/>
        <v>0</v>
      </c>
      <c r="AF128" s="486">
        <f t="shared" si="128"/>
        <v>0</v>
      </c>
      <c r="AG128" s="501">
        <v>0</v>
      </c>
      <c r="AH128" s="501">
        <v>0</v>
      </c>
      <c r="AI128" s="501">
        <v>0</v>
      </c>
      <c r="AJ128" s="501">
        <v>0</v>
      </c>
      <c r="AK128" s="501">
        <v>0</v>
      </c>
      <c r="AL128" s="501">
        <f t="shared" si="223"/>
        <v>0</v>
      </c>
      <c r="AM128" s="501">
        <f t="shared" si="224"/>
        <v>0</v>
      </c>
      <c r="AN128" s="502">
        <f t="shared" si="129"/>
        <v>0</v>
      </c>
      <c r="AO128" s="499">
        <f>I128+AF128</f>
        <v>758830</v>
      </c>
      <c r="AP128" s="486">
        <f>J128+V128</f>
        <v>556265</v>
      </c>
      <c r="AQ128" s="486">
        <f>K128+Y128</f>
        <v>0</v>
      </c>
      <c r="AR128" s="480">
        <f>L128</f>
        <v>0</v>
      </c>
      <c r="AS128" s="486">
        <f t="shared" si="225"/>
        <v>188018</v>
      </c>
      <c r="AT128" s="486">
        <f t="shared" si="225"/>
        <v>11125</v>
      </c>
      <c r="AU128" s="486">
        <f>O128+AE128</f>
        <v>3422</v>
      </c>
      <c r="AV128" s="501">
        <f>P128+AN128</f>
        <v>1.89</v>
      </c>
      <c r="AW128" s="501">
        <f t="shared" si="226"/>
        <v>0</v>
      </c>
      <c r="AX128" s="502">
        <f t="shared" si="226"/>
        <v>1.89</v>
      </c>
    </row>
    <row r="129" spans="1:50" ht="12.95" customHeight="1" x14ac:dyDescent="0.25">
      <c r="A129" s="92">
        <v>23</v>
      </c>
      <c r="B129" s="104">
        <v>5429</v>
      </c>
      <c r="C129" s="105">
        <v>600098656</v>
      </c>
      <c r="D129" s="104">
        <v>70698309</v>
      </c>
      <c r="E129" s="119" t="s">
        <v>483</v>
      </c>
      <c r="F129" s="104"/>
      <c r="G129" s="122"/>
      <c r="H129" s="123"/>
      <c r="I129" s="130">
        <v>3770499</v>
      </c>
      <c r="J129" s="87">
        <v>2745064</v>
      </c>
      <c r="K129" s="87">
        <v>10000</v>
      </c>
      <c r="L129" s="87">
        <v>0</v>
      </c>
      <c r="M129" s="87">
        <v>931212</v>
      </c>
      <c r="N129" s="87">
        <v>54901</v>
      </c>
      <c r="O129" s="87">
        <v>29322</v>
      </c>
      <c r="P129" s="88">
        <v>7.2397999999999998</v>
      </c>
      <c r="Q129" s="88">
        <v>4</v>
      </c>
      <c r="R129" s="274">
        <v>3.2397999999999998</v>
      </c>
      <c r="S129" s="141">
        <f t="shared" ref="S129:AN129" si="227">SUM(S126:S128)</f>
        <v>0</v>
      </c>
      <c r="T129" s="87">
        <f t="shared" si="227"/>
        <v>0</v>
      </c>
      <c r="U129" s="87">
        <f t="shared" si="227"/>
        <v>0</v>
      </c>
      <c r="V129" s="87">
        <f t="shared" si="227"/>
        <v>0</v>
      </c>
      <c r="W129" s="87">
        <f t="shared" si="227"/>
        <v>0</v>
      </c>
      <c r="X129" s="87">
        <f t="shared" si="227"/>
        <v>0</v>
      </c>
      <c r="Y129" s="87">
        <f t="shared" si="227"/>
        <v>0</v>
      </c>
      <c r="Z129" s="87">
        <f t="shared" si="227"/>
        <v>0</v>
      </c>
      <c r="AA129" s="87">
        <f t="shared" si="227"/>
        <v>0</v>
      </c>
      <c r="AB129" s="87">
        <f t="shared" si="227"/>
        <v>0</v>
      </c>
      <c r="AC129" s="87">
        <f t="shared" si="227"/>
        <v>0</v>
      </c>
      <c r="AD129" s="87">
        <f t="shared" si="227"/>
        <v>0</v>
      </c>
      <c r="AE129" s="87">
        <f t="shared" si="227"/>
        <v>0</v>
      </c>
      <c r="AF129" s="87">
        <f t="shared" si="227"/>
        <v>0</v>
      </c>
      <c r="AG129" s="88">
        <f t="shared" si="227"/>
        <v>0</v>
      </c>
      <c r="AH129" s="88">
        <f t="shared" si="227"/>
        <v>0</v>
      </c>
      <c r="AI129" s="88">
        <f t="shared" si="227"/>
        <v>0</v>
      </c>
      <c r="AJ129" s="88">
        <f t="shared" si="227"/>
        <v>0</v>
      </c>
      <c r="AK129" s="88">
        <f t="shared" si="227"/>
        <v>0</v>
      </c>
      <c r="AL129" s="88">
        <f t="shared" si="227"/>
        <v>0</v>
      </c>
      <c r="AM129" s="88">
        <f t="shared" si="227"/>
        <v>0</v>
      </c>
      <c r="AN129" s="274">
        <f t="shared" si="227"/>
        <v>0</v>
      </c>
      <c r="AO129" s="141">
        <f t="shared" ref="AO129:AX129" si="228">SUM(AO126:AO128)</f>
        <v>3770499</v>
      </c>
      <c r="AP129" s="87">
        <f t="shared" si="228"/>
        <v>2745064</v>
      </c>
      <c r="AQ129" s="87">
        <f t="shared" si="228"/>
        <v>10000</v>
      </c>
      <c r="AR129" s="87">
        <f t="shared" si="228"/>
        <v>0</v>
      </c>
      <c r="AS129" s="87">
        <f t="shared" si="228"/>
        <v>931212</v>
      </c>
      <c r="AT129" s="87">
        <f t="shared" si="228"/>
        <v>54901</v>
      </c>
      <c r="AU129" s="87">
        <f t="shared" si="228"/>
        <v>29322</v>
      </c>
      <c r="AV129" s="88">
        <f t="shared" si="228"/>
        <v>7.2397999999999998</v>
      </c>
      <c r="AW129" s="88">
        <f t="shared" si="228"/>
        <v>4</v>
      </c>
      <c r="AX129" s="274">
        <f t="shared" si="228"/>
        <v>3.2397999999999998</v>
      </c>
    </row>
    <row r="130" spans="1:50" ht="12.95" customHeight="1" x14ac:dyDescent="0.25">
      <c r="A130" s="83">
        <v>24</v>
      </c>
      <c r="B130" s="526">
        <v>5468</v>
      </c>
      <c r="C130" s="527">
        <v>600099083</v>
      </c>
      <c r="D130" s="83">
        <v>70698317</v>
      </c>
      <c r="E130" s="536" t="s">
        <v>484</v>
      </c>
      <c r="F130" s="526">
        <v>3117</v>
      </c>
      <c r="G130" s="535" t="s">
        <v>335</v>
      </c>
      <c r="H130" s="493" t="s">
        <v>283</v>
      </c>
      <c r="I130" s="495">
        <v>2665910</v>
      </c>
      <c r="J130" s="496">
        <v>1902844</v>
      </c>
      <c r="K130" s="496">
        <v>3848</v>
      </c>
      <c r="L130" s="496">
        <v>3848</v>
      </c>
      <c r="M130" s="411">
        <v>643161</v>
      </c>
      <c r="N130" s="411">
        <v>38057</v>
      </c>
      <c r="O130" s="496">
        <v>78000</v>
      </c>
      <c r="P130" s="497">
        <v>3.7942</v>
      </c>
      <c r="Q130" s="412">
        <v>2.7271999999999998</v>
      </c>
      <c r="R130" s="498">
        <v>1.0670000000000002</v>
      </c>
      <c r="S130" s="499">
        <f t="shared" ref="S130:S133" si="229">W130*-1</f>
        <v>0</v>
      </c>
      <c r="T130" s="486">
        <v>0</v>
      </c>
      <c r="U130" s="486">
        <v>0</v>
      </c>
      <c r="V130" s="486">
        <f>SUM(S130:U130)</f>
        <v>0</v>
      </c>
      <c r="W130" s="486">
        <v>0</v>
      </c>
      <c r="X130" s="486">
        <v>0</v>
      </c>
      <c r="Y130" s="486">
        <f>SUM(W130:X130)</f>
        <v>0</v>
      </c>
      <c r="Z130" s="486">
        <f>V130+Y130</f>
        <v>0</v>
      </c>
      <c r="AA130" s="319">
        <f>ROUND((V130+W130)*33.8%,0)</f>
        <v>0</v>
      </c>
      <c r="AB130" s="178">
        <f>ROUND(V130*2%,0)</f>
        <v>0</v>
      </c>
      <c r="AC130" s="486">
        <v>0</v>
      </c>
      <c r="AD130" s="486">
        <v>0</v>
      </c>
      <c r="AE130" s="486">
        <f t="shared" si="127"/>
        <v>0</v>
      </c>
      <c r="AF130" s="486">
        <f t="shared" si="128"/>
        <v>0</v>
      </c>
      <c r="AG130" s="501">
        <v>0</v>
      </c>
      <c r="AH130" s="501">
        <v>0</v>
      </c>
      <c r="AI130" s="501">
        <v>0</v>
      </c>
      <c r="AJ130" s="501">
        <v>0</v>
      </c>
      <c r="AK130" s="501">
        <v>0</v>
      </c>
      <c r="AL130" s="501">
        <f t="shared" ref="AL130:AL133" si="230">AG130+AI130+AJ130</f>
        <v>0</v>
      </c>
      <c r="AM130" s="501">
        <f t="shared" ref="AM130:AM133" si="231">AH130+AK130</f>
        <v>0</v>
      </c>
      <c r="AN130" s="502">
        <f t="shared" si="129"/>
        <v>0</v>
      </c>
      <c r="AO130" s="499">
        <f>I130+AF130</f>
        <v>2665910</v>
      </c>
      <c r="AP130" s="486">
        <f>J130+V130</f>
        <v>1902844</v>
      </c>
      <c r="AQ130" s="486">
        <f>K130+Y130</f>
        <v>3848</v>
      </c>
      <c r="AR130" s="480">
        <f>L130</f>
        <v>3848</v>
      </c>
      <c r="AS130" s="486">
        <f t="shared" ref="AS130:AT133" si="232">M130+AA130</f>
        <v>643161</v>
      </c>
      <c r="AT130" s="486">
        <f t="shared" si="232"/>
        <v>38057</v>
      </c>
      <c r="AU130" s="486">
        <f>O130+AE130</f>
        <v>78000</v>
      </c>
      <c r="AV130" s="501">
        <f>P130+AN130</f>
        <v>3.7942</v>
      </c>
      <c r="AW130" s="501">
        <f t="shared" ref="AW130:AX133" si="233">Q130+AL130</f>
        <v>2.7271999999999998</v>
      </c>
      <c r="AX130" s="502">
        <f t="shared" si="233"/>
        <v>1.0670000000000002</v>
      </c>
    </row>
    <row r="131" spans="1:50" ht="12.95" customHeight="1" x14ac:dyDescent="0.25">
      <c r="A131" s="83">
        <v>24</v>
      </c>
      <c r="B131" s="526">
        <v>5468</v>
      </c>
      <c r="C131" s="527">
        <v>600099083</v>
      </c>
      <c r="D131" s="83">
        <v>70698317</v>
      </c>
      <c r="E131" s="536" t="s">
        <v>484</v>
      </c>
      <c r="F131" s="526">
        <v>3117</v>
      </c>
      <c r="G131" s="493" t="s">
        <v>318</v>
      </c>
      <c r="H131" s="493" t="s">
        <v>284</v>
      </c>
      <c r="I131" s="495">
        <v>319488</v>
      </c>
      <c r="J131" s="496">
        <v>234748</v>
      </c>
      <c r="K131" s="496">
        <v>0</v>
      </c>
      <c r="L131" s="496">
        <v>0</v>
      </c>
      <c r="M131" s="411">
        <v>79346</v>
      </c>
      <c r="N131" s="411">
        <v>4694</v>
      </c>
      <c r="O131" s="496">
        <v>700</v>
      </c>
      <c r="P131" s="497">
        <v>0.69000000000000006</v>
      </c>
      <c r="Q131" s="412">
        <v>0.69000000000000006</v>
      </c>
      <c r="R131" s="498">
        <v>0</v>
      </c>
      <c r="S131" s="499">
        <f t="shared" si="229"/>
        <v>0</v>
      </c>
      <c r="T131" s="486">
        <v>0</v>
      </c>
      <c r="U131" s="486">
        <v>0</v>
      </c>
      <c r="V131" s="486">
        <f>SUM(S131:U131)</f>
        <v>0</v>
      </c>
      <c r="W131" s="486">
        <v>0</v>
      </c>
      <c r="X131" s="486">
        <v>0</v>
      </c>
      <c r="Y131" s="486">
        <f>SUM(W131:X131)</f>
        <v>0</v>
      </c>
      <c r="Z131" s="486">
        <f>V131+Y131</f>
        <v>0</v>
      </c>
      <c r="AA131" s="319">
        <f>ROUND((V131+W131)*33.8%,0)</f>
        <v>0</v>
      </c>
      <c r="AB131" s="178">
        <f>ROUND(V131*2%,0)</f>
        <v>0</v>
      </c>
      <c r="AC131" s="486">
        <v>700</v>
      </c>
      <c r="AD131" s="486">
        <v>0</v>
      </c>
      <c r="AE131" s="486">
        <f t="shared" si="127"/>
        <v>700</v>
      </c>
      <c r="AF131" s="486">
        <f t="shared" si="128"/>
        <v>700</v>
      </c>
      <c r="AG131" s="501">
        <v>0</v>
      </c>
      <c r="AH131" s="501">
        <v>0</v>
      </c>
      <c r="AI131" s="501">
        <v>0</v>
      </c>
      <c r="AJ131" s="501">
        <v>0</v>
      </c>
      <c r="AK131" s="501">
        <v>0</v>
      </c>
      <c r="AL131" s="501">
        <f t="shared" si="230"/>
        <v>0</v>
      </c>
      <c r="AM131" s="501">
        <f t="shared" si="231"/>
        <v>0</v>
      </c>
      <c r="AN131" s="502">
        <f t="shared" si="129"/>
        <v>0</v>
      </c>
      <c r="AO131" s="499">
        <f>I131+AF131</f>
        <v>320188</v>
      </c>
      <c r="AP131" s="486">
        <f>J131+V131</f>
        <v>234748</v>
      </c>
      <c r="AQ131" s="486">
        <f>K131+Y131</f>
        <v>0</v>
      </c>
      <c r="AR131" s="480">
        <f>L131</f>
        <v>0</v>
      </c>
      <c r="AS131" s="486">
        <f t="shared" si="232"/>
        <v>79346</v>
      </c>
      <c r="AT131" s="486">
        <f t="shared" si="232"/>
        <v>4694</v>
      </c>
      <c r="AU131" s="486">
        <f>O131+AE131</f>
        <v>1400</v>
      </c>
      <c r="AV131" s="501">
        <f>P131+AN131</f>
        <v>0.69000000000000006</v>
      </c>
      <c r="AW131" s="501">
        <f t="shared" si="233"/>
        <v>0.69000000000000006</v>
      </c>
      <c r="AX131" s="502">
        <f t="shared" si="233"/>
        <v>0</v>
      </c>
    </row>
    <row r="132" spans="1:50" ht="12.95" customHeight="1" x14ac:dyDescent="0.25">
      <c r="A132" s="83">
        <v>24</v>
      </c>
      <c r="B132" s="526">
        <v>5468</v>
      </c>
      <c r="C132" s="527">
        <v>600099083</v>
      </c>
      <c r="D132" s="83">
        <v>70698317</v>
      </c>
      <c r="E132" s="536" t="s">
        <v>484</v>
      </c>
      <c r="F132" s="526">
        <v>3143</v>
      </c>
      <c r="G132" s="493" t="s">
        <v>634</v>
      </c>
      <c r="H132" s="493" t="s">
        <v>283</v>
      </c>
      <c r="I132" s="495">
        <v>670812</v>
      </c>
      <c r="J132" s="496">
        <v>493971</v>
      </c>
      <c r="K132" s="496">
        <v>0</v>
      </c>
      <c r="L132" s="496">
        <v>0</v>
      </c>
      <c r="M132" s="411">
        <v>166962</v>
      </c>
      <c r="N132" s="411">
        <v>9879</v>
      </c>
      <c r="O132" s="496">
        <v>0</v>
      </c>
      <c r="P132" s="497">
        <v>0.98099999999999998</v>
      </c>
      <c r="Q132" s="412">
        <v>0.98099999999999998</v>
      </c>
      <c r="R132" s="498">
        <v>0</v>
      </c>
      <c r="S132" s="499">
        <f t="shared" si="229"/>
        <v>0</v>
      </c>
      <c r="T132" s="486">
        <v>0</v>
      </c>
      <c r="U132" s="486">
        <v>0</v>
      </c>
      <c r="V132" s="486">
        <f>SUM(S132:U132)</f>
        <v>0</v>
      </c>
      <c r="W132" s="486">
        <v>0</v>
      </c>
      <c r="X132" s="486">
        <v>0</v>
      </c>
      <c r="Y132" s="486">
        <f>SUM(W132:X132)</f>
        <v>0</v>
      </c>
      <c r="Z132" s="486">
        <f>V132+Y132</f>
        <v>0</v>
      </c>
      <c r="AA132" s="319">
        <f>ROUND((V132+W132)*33.8%,0)</f>
        <v>0</v>
      </c>
      <c r="AB132" s="178">
        <f>ROUND(V132*2%,0)</f>
        <v>0</v>
      </c>
      <c r="AC132" s="486">
        <v>0</v>
      </c>
      <c r="AD132" s="486">
        <v>0</v>
      </c>
      <c r="AE132" s="486">
        <f t="shared" si="127"/>
        <v>0</v>
      </c>
      <c r="AF132" s="486">
        <f t="shared" si="128"/>
        <v>0</v>
      </c>
      <c r="AG132" s="501">
        <v>0</v>
      </c>
      <c r="AH132" s="501">
        <v>0</v>
      </c>
      <c r="AI132" s="501">
        <v>0</v>
      </c>
      <c r="AJ132" s="501">
        <v>0</v>
      </c>
      <c r="AK132" s="501">
        <v>0</v>
      </c>
      <c r="AL132" s="501">
        <f t="shared" si="230"/>
        <v>0</v>
      </c>
      <c r="AM132" s="501">
        <f t="shared" si="231"/>
        <v>0</v>
      </c>
      <c r="AN132" s="502">
        <f t="shared" si="129"/>
        <v>0</v>
      </c>
      <c r="AO132" s="499">
        <f>I132+AF132</f>
        <v>670812</v>
      </c>
      <c r="AP132" s="486">
        <f>J132+V132</f>
        <v>493971</v>
      </c>
      <c r="AQ132" s="486">
        <f>K132+Y132</f>
        <v>0</v>
      </c>
      <c r="AR132" s="480">
        <f>L132</f>
        <v>0</v>
      </c>
      <c r="AS132" s="486">
        <f t="shared" si="232"/>
        <v>166962</v>
      </c>
      <c r="AT132" s="486">
        <f t="shared" si="232"/>
        <v>9879</v>
      </c>
      <c r="AU132" s="486">
        <f>O132+AE132</f>
        <v>0</v>
      </c>
      <c r="AV132" s="501">
        <f>P132+AN132</f>
        <v>0.98099999999999998</v>
      </c>
      <c r="AW132" s="501">
        <f t="shared" si="233"/>
        <v>0.98099999999999998</v>
      </c>
      <c r="AX132" s="502">
        <f t="shared" si="233"/>
        <v>0</v>
      </c>
    </row>
    <row r="133" spans="1:50" ht="12.95" customHeight="1" x14ac:dyDescent="0.25">
      <c r="A133" s="83">
        <v>24</v>
      </c>
      <c r="B133" s="526">
        <v>5468</v>
      </c>
      <c r="C133" s="527">
        <v>600099083</v>
      </c>
      <c r="D133" s="83">
        <v>70698317</v>
      </c>
      <c r="E133" s="536" t="s">
        <v>484</v>
      </c>
      <c r="F133" s="526">
        <v>3143</v>
      </c>
      <c r="G133" s="493" t="s">
        <v>635</v>
      </c>
      <c r="H133" s="493" t="s">
        <v>284</v>
      </c>
      <c r="I133" s="495">
        <v>18257</v>
      </c>
      <c r="J133" s="496">
        <v>12870</v>
      </c>
      <c r="K133" s="496">
        <v>0</v>
      </c>
      <c r="L133" s="496">
        <v>0</v>
      </c>
      <c r="M133" s="411">
        <v>4350</v>
      </c>
      <c r="N133" s="411">
        <v>257</v>
      </c>
      <c r="O133" s="496">
        <v>780</v>
      </c>
      <c r="P133" s="497">
        <v>0.05</v>
      </c>
      <c r="Q133" s="412">
        <v>0</v>
      </c>
      <c r="R133" s="498">
        <v>0.05</v>
      </c>
      <c r="S133" s="499">
        <f t="shared" si="229"/>
        <v>0</v>
      </c>
      <c r="T133" s="486">
        <v>0</v>
      </c>
      <c r="U133" s="486">
        <v>0</v>
      </c>
      <c r="V133" s="486">
        <f>SUM(S133:U133)</f>
        <v>0</v>
      </c>
      <c r="W133" s="486">
        <v>0</v>
      </c>
      <c r="X133" s="486">
        <v>0</v>
      </c>
      <c r="Y133" s="486">
        <f>SUM(W133:X133)</f>
        <v>0</v>
      </c>
      <c r="Z133" s="486">
        <f>V133+Y133</f>
        <v>0</v>
      </c>
      <c r="AA133" s="319">
        <f>ROUND((V133+W133)*33.8%,0)</f>
        <v>0</v>
      </c>
      <c r="AB133" s="178">
        <f>ROUND(V133*2%,0)</f>
        <v>0</v>
      </c>
      <c r="AC133" s="486">
        <v>0</v>
      </c>
      <c r="AD133" s="486">
        <v>0</v>
      </c>
      <c r="AE133" s="486">
        <f t="shared" si="127"/>
        <v>0</v>
      </c>
      <c r="AF133" s="486">
        <f t="shared" si="128"/>
        <v>0</v>
      </c>
      <c r="AG133" s="501">
        <v>0</v>
      </c>
      <c r="AH133" s="501">
        <v>0</v>
      </c>
      <c r="AI133" s="501">
        <v>0</v>
      </c>
      <c r="AJ133" s="501">
        <v>0</v>
      </c>
      <c r="AK133" s="501">
        <v>0</v>
      </c>
      <c r="AL133" s="501">
        <f t="shared" si="230"/>
        <v>0</v>
      </c>
      <c r="AM133" s="501">
        <f t="shared" si="231"/>
        <v>0</v>
      </c>
      <c r="AN133" s="502">
        <f t="shared" si="129"/>
        <v>0</v>
      </c>
      <c r="AO133" s="499">
        <f>I133+AF133</f>
        <v>18257</v>
      </c>
      <c r="AP133" s="486">
        <f>J133+V133</f>
        <v>12870</v>
      </c>
      <c r="AQ133" s="486">
        <f>K133+Y133</f>
        <v>0</v>
      </c>
      <c r="AR133" s="480">
        <f>L133</f>
        <v>0</v>
      </c>
      <c r="AS133" s="486">
        <f t="shared" si="232"/>
        <v>4350</v>
      </c>
      <c r="AT133" s="486">
        <f t="shared" si="232"/>
        <v>257</v>
      </c>
      <c r="AU133" s="486">
        <f>O133+AE133</f>
        <v>780</v>
      </c>
      <c r="AV133" s="501">
        <f>P133+AN133</f>
        <v>0.05</v>
      </c>
      <c r="AW133" s="501">
        <f t="shared" si="233"/>
        <v>0</v>
      </c>
      <c r="AX133" s="502">
        <f t="shared" si="233"/>
        <v>0.05</v>
      </c>
    </row>
    <row r="134" spans="1:50" ht="12.95" customHeight="1" x14ac:dyDescent="0.25">
      <c r="A134" s="92">
        <v>24</v>
      </c>
      <c r="B134" s="104">
        <v>5468</v>
      </c>
      <c r="C134" s="105">
        <v>600099083</v>
      </c>
      <c r="D134" s="104">
        <v>70698317</v>
      </c>
      <c r="E134" s="119" t="s">
        <v>485</v>
      </c>
      <c r="F134" s="104"/>
      <c r="G134" s="122"/>
      <c r="H134" s="123"/>
      <c r="I134" s="130">
        <v>3674467</v>
      </c>
      <c r="J134" s="87">
        <v>2644433</v>
      </c>
      <c r="K134" s="87">
        <v>3848</v>
      </c>
      <c r="L134" s="87">
        <v>3848</v>
      </c>
      <c r="M134" s="87">
        <v>893819</v>
      </c>
      <c r="N134" s="87">
        <v>52887</v>
      </c>
      <c r="O134" s="87">
        <v>79480</v>
      </c>
      <c r="P134" s="88">
        <v>5.5152000000000001</v>
      </c>
      <c r="Q134" s="88">
        <v>4.3982000000000001</v>
      </c>
      <c r="R134" s="274">
        <v>1.1170000000000002</v>
      </c>
      <c r="S134" s="141">
        <f t="shared" ref="S134:AN134" si="234">SUM(S130:S133)</f>
        <v>0</v>
      </c>
      <c r="T134" s="87">
        <f t="shared" si="234"/>
        <v>0</v>
      </c>
      <c r="U134" s="87">
        <f t="shared" si="234"/>
        <v>0</v>
      </c>
      <c r="V134" s="87">
        <f t="shared" si="234"/>
        <v>0</v>
      </c>
      <c r="W134" s="87">
        <f t="shared" si="234"/>
        <v>0</v>
      </c>
      <c r="X134" s="87">
        <f t="shared" si="234"/>
        <v>0</v>
      </c>
      <c r="Y134" s="87">
        <f t="shared" si="234"/>
        <v>0</v>
      </c>
      <c r="Z134" s="87">
        <f t="shared" si="234"/>
        <v>0</v>
      </c>
      <c r="AA134" s="87">
        <f t="shared" si="234"/>
        <v>0</v>
      </c>
      <c r="AB134" s="87">
        <f t="shared" si="234"/>
        <v>0</v>
      </c>
      <c r="AC134" s="87">
        <f t="shared" si="234"/>
        <v>700</v>
      </c>
      <c r="AD134" s="87">
        <f t="shared" si="234"/>
        <v>0</v>
      </c>
      <c r="AE134" s="87">
        <f t="shared" si="234"/>
        <v>700</v>
      </c>
      <c r="AF134" s="87">
        <f t="shared" si="234"/>
        <v>700</v>
      </c>
      <c r="AG134" s="88">
        <f t="shared" si="234"/>
        <v>0</v>
      </c>
      <c r="AH134" s="88">
        <f t="shared" si="234"/>
        <v>0</v>
      </c>
      <c r="AI134" s="88">
        <f t="shared" si="234"/>
        <v>0</v>
      </c>
      <c r="AJ134" s="88">
        <f t="shared" si="234"/>
        <v>0</v>
      </c>
      <c r="AK134" s="88">
        <f t="shared" si="234"/>
        <v>0</v>
      </c>
      <c r="AL134" s="88">
        <f t="shared" si="234"/>
        <v>0</v>
      </c>
      <c r="AM134" s="88">
        <f t="shared" si="234"/>
        <v>0</v>
      </c>
      <c r="AN134" s="274">
        <f t="shared" si="234"/>
        <v>0</v>
      </c>
      <c r="AO134" s="141">
        <f t="shared" ref="AO134:AX134" si="235">SUM(AO130:AO133)</f>
        <v>3675167</v>
      </c>
      <c r="AP134" s="87">
        <f t="shared" si="235"/>
        <v>2644433</v>
      </c>
      <c r="AQ134" s="87">
        <f t="shared" si="235"/>
        <v>3848</v>
      </c>
      <c r="AR134" s="87">
        <f t="shared" si="235"/>
        <v>3848</v>
      </c>
      <c r="AS134" s="87">
        <f t="shared" si="235"/>
        <v>893819</v>
      </c>
      <c r="AT134" s="87">
        <f t="shared" si="235"/>
        <v>52887</v>
      </c>
      <c r="AU134" s="87">
        <f t="shared" si="235"/>
        <v>80180</v>
      </c>
      <c r="AV134" s="88">
        <f t="shared" si="235"/>
        <v>5.5152000000000001</v>
      </c>
      <c r="AW134" s="88">
        <f t="shared" si="235"/>
        <v>4.3982000000000001</v>
      </c>
      <c r="AX134" s="274">
        <f t="shared" si="235"/>
        <v>1.1170000000000002</v>
      </c>
    </row>
    <row r="135" spans="1:50" ht="12.95" customHeight="1" x14ac:dyDescent="0.25">
      <c r="A135" s="83">
        <v>25</v>
      </c>
      <c r="B135" s="526">
        <v>5488</v>
      </c>
      <c r="C135" s="527">
        <v>600099326</v>
      </c>
      <c r="D135" s="83">
        <v>70695393</v>
      </c>
      <c r="E135" s="536" t="s">
        <v>486</v>
      </c>
      <c r="F135" s="526">
        <v>3111</v>
      </c>
      <c r="G135" s="535" t="s">
        <v>331</v>
      </c>
      <c r="H135" s="493" t="s">
        <v>283</v>
      </c>
      <c r="I135" s="495">
        <v>1154334</v>
      </c>
      <c r="J135" s="496">
        <v>842292</v>
      </c>
      <c r="K135" s="496">
        <v>0</v>
      </c>
      <c r="L135" s="496">
        <v>0</v>
      </c>
      <c r="M135" s="411">
        <v>284695</v>
      </c>
      <c r="N135" s="411">
        <v>16847</v>
      </c>
      <c r="O135" s="496">
        <v>10500</v>
      </c>
      <c r="P135" s="497">
        <v>2.1779000000000002</v>
      </c>
      <c r="Q135" s="412">
        <v>1.7170000000000001</v>
      </c>
      <c r="R135" s="498">
        <v>0.46089999999999998</v>
      </c>
      <c r="S135" s="499">
        <f t="shared" ref="S135:S140" si="236">W135*-1</f>
        <v>0</v>
      </c>
      <c r="T135" s="486">
        <v>0</v>
      </c>
      <c r="U135" s="486">
        <v>0</v>
      </c>
      <c r="V135" s="486">
        <f t="shared" ref="V135:V140" si="237">SUM(S135:U135)</f>
        <v>0</v>
      </c>
      <c r="W135" s="486">
        <v>0</v>
      </c>
      <c r="X135" s="486">
        <v>0</v>
      </c>
      <c r="Y135" s="486">
        <f t="shared" ref="Y135:Y140" si="238">SUM(W135:X135)</f>
        <v>0</v>
      </c>
      <c r="Z135" s="486">
        <f t="shared" ref="Z135:Z140" si="239">V135+Y135</f>
        <v>0</v>
      </c>
      <c r="AA135" s="319">
        <f t="shared" ref="AA135:AA140" si="240">ROUND((V135+W135)*33.8%,0)</f>
        <v>0</v>
      </c>
      <c r="AB135" s="178">
        <f t="shared" ref="AB135:AB140" si="241">ROUND(V135*2%,0)</f>
        <v>0</v>
      </c>
      <c r="AC135" s="486">
        <v>0</v>
      </c>
      <c r="AD135" s="486">
        <v>0</v>
      </c>
      <c r="AE135" s="486">
        <f t="shared" si="127"/>
        <v>0</v>
      </c>
      <c r="AF135" s="486">
        <f t="shared" si="128"/>
        <v>0</v>
      </c>
      <c r="AG135" s="501">
        <v>0</v>
      </c>
      <c r="AH135" s="501">
        <v>0</v>
      </c>
      <c r="AI135" s="501">
        <v>0</v>
      </c>
      <c r="AJ135" s="501">
        <v>0</v>
      </c>
      <c r="AK135" s="501">
        <v>0</v>
      </c>
      <c r="AL135" s="501">
        <f t="shared" ref="AL135:AL140" si="242">AG135+AI135+AJ135</f>
        <v>0</v>
      </c>
      <c r="AM135" s="501">
        <f t="shared" ref="AM135:AM140" si="243">AH135+AK135</f>
        <v>0</v>
      </c>
      <c r="AN135" s="502">
        <f t="shared" si="129"/>
        <v>0</v>
      </c>
      <c r="AO135" s="499">
        <f t="shared" ref="AO135:AO140" si="244">I135+AF135</f>
        <v>1154334</v>
      </c>
      <c r="AP135" s="486">
        <f t="shared" ref="AP135:AP140" si="245">J135+V135</f>
        <v>842292</v>
      </c>
      <c r="AQ135" s="486">
        <f t="shared" ref="AQ135:AQ140" si="246">K135+Y135</f>
        <v>0</v>
      </c>
      <c r="AR135" s="480">
        <f t="shared" ref="AR135:AR140" si="247">L135</f>
        <v>0</v>
      </c>
      <c r="AS135" s="486">
        <f t="shared" ref="AS135:AT140" si="248">M135+AA135</f>
        <v>284695</v>
      </c>
      <c r="AT135" s="486">
        <f t="shared" si="248"/>
        <v>16847</v>
      </c>
      <c r="AU135" s="486">
        <f t="shared" ref="AU135:AU140" si="249">O135+AE135</f>
        <v>10500</v>
      </c>
      <c r="AV135" s="501">
        <f t="shared" ref="AV135:AV140" si="250">P135+AN135</f>
        <v>2.1779000000000002</v>
      </c>
      <c r="AW135" s="501">
        <f t="shared" ref="AW135:AX140" si="251">Q135+AL135</f>
        <v>1.7170000000000001</v>
      </c>
      <c r="AX135" s="502">
        <f t="shared" si="251"/>
        <v>0.46089999999999998</v>
      </c>
    </row>
    <row r="136" spans="1:50" ht="12.95" customHeight="1" x14ac:dyDescent="0.25">
      <c r="A136" s="83">
        <v>25</v>
      </c>
      <c r="B136" s="526">
        <v>5488</v>
      </c>
      <c r="C136" s="527">
        <v>600099326</v>
      </c>
      <c r="D136" s="83">
        <v>70695393</v>
      </c>
      <c r="E136" s="536" t="s">
        <v>486</v>
      </c>
      <c r="F136" s="526">
        <v>3117</v>
      </c>
      <c r="G136" s="535" t="s">
        <v>335</v>
      </c>
      <c r="H136" s="493" t="s">
        <v>283</v>
      </c>
      <c r="I136" s="495">
        <v>2621880</v>
      </c>
      <c r="J136" s="496">
        <v>1866466</v>
      </c>
      <c r="K136" s="496">
        <v>2220</v>
      </c>
      <c r="L136" s="496">
        <v>2220</v>
      </c>
      <c r="M136" s="411">
        <v>630865</v>
      </c>
      <c r="N136" s="411">
        <v>37329</v>
      </c>
      <c r="O136" s="496">
        <v>85000</v>
      </c>
      <c r="P136" s="497">
        <v>3.9135</v>
      </c>
      <c r="Q136" s="412">
        <v>2.4091</v>
      </c>
      <c r="R136" s="498">
        <v>1.5044</v>
      </c>
      <c r="S136" s="499">
        <f t="shared" si="236"/>
        <v>0</v>
      </c>
      <c r="T136" s="486">
        <v>0</v>
      </c>
      <c r="U136" s="486">
        <v>0</v>
      </c>
      <c r="V136" s="486">
        <f t="shared" si="237"/>
        <v>0</v>
      </c>
      <c r="W136" s="486">
        <v>0</v>
      </c>
      <c r="X136" s="486">
        <v>0</v>
      </c>
      <c r="Y136" s="486">
        <f t="shared" si="238"/>
        <v>0</v>
      </c>
      <c r="Z136" s="486">
        <f t="shared" si="239"/>
        <v>0</v>
      </c>
      <c r="AA136" s="319">
        <f t="shared" si="240"/>
        <v>0</v>
      </c>
      <c r="AB136" s="178">
        <f t="shared" si="241"/>
        <v>0</v>
      </c>
      <c r="AC136" s="486">
        <v>0</v>
      </c>
      <c r="AD136" s="486">
        <v>0</v>
      </c>
      <c r="AE136" s="486">
        <f t="shared" si="127"/>
        <v>0</v>
      </c>
      <c r="AF136" s="486">
        <f t="shared" si="128"/>
        <v>0</v>
      </c>
      <c r="AG136" s="501">
        <v>0</v>
      </c>
      <c r="AH136" s="501">
        <v>0</v>
      </c>
      <c r="AI136" s="501">
        <v>0</v>
      </c>
      <c r="AJ136" s="501">
        <v>0</v>
      </c>
      <c r="AK136" s="501">
        <v>0</v>
      </c>
      <c r="AL136" s="501">
        <f t="shared" si="242"/>
        <v>0</v>
      </c>
      <c r="AM136" s="501">
        <f t="shared" si="243"/>
        <v>0</v>
      </c>
      <c r="AN136" s="502">
        <f t="shared" si="129"/>
        <v>0</v>
      </c>
      <c r="AO136" s="499">
        <f t="shared" si="244"/>
        <v>2621880</v>
      </c>
      <c r="AP136" s="486">
        <f t="shared" si="245"/>
        <v>1866466</v>
      </c>
      <c r="AQ136" s="486">
        <f t="shared" si="246"/>
        <v>2220</v>
      </c>
      <c r="AR136" s="480">
        <f t="shared" si="247"/>
        <v>2220</v>
      </c>
      <c r="AS136" s="486">
        <f t="shared" si="248"/>
        <v>630865</v>
      </c>
      <c r="AT136" s="486">
        <f t="shared" si="248"/>
        <v>37329</v>
      </c>
      <c r="AU136" s="486">
        <f t="shared" si="249"/>
        <v>85000</v>
      </c>
      <c r="AV136" s="501">
        <f t="shared" si="250"/>
        <v>3.9135</v>
      </c>
      <c r="AW136" s="501">
        <f t="shared" si="251"/>
        <v>2.4091</v>
      </c>
      <c r="AX136" s="502">
        <f t="shared" si="251"/>
        <v>1.5044</v>
      </c>
    </row>
    <row r="137" spans="1:50" ht="12.95" customHeight="1" x14ac:dyDescent="0.25">
      <c r="A137" s="83">
        <v>25</v>
      </c>
      <c r="B137" s="526">
        <v>5488</v>
      </c>
      <c r="C137" s="527">
        <v>600099326</v>
      </c>
      <c r="D137" s="83">
        <v>70695393</v>
      </c>
      <c r="E137" s="536" t="s">
        <v>486</v>
      </c>
      <c r="F137" s="526">
        <v>3117</v>
      </c>
      <c r="G137" s="493" t="s">
        <v>318</v>
      </c>
      <c r="H137" s="493" t="s">
        <v>284</v>
      </c>
      <c r="I137" s="495">
        <v>1400</v>
      </c>
      <c r="J137" s="496">
        <v>0</v>
      </c>
      <c r="K137" s="496">
        <v>0</v>
      </c>
      <c r="L137" s="496">
        <v>0</v>
      </c>
      <c r="M137" s="411">
        <v>0</v>
      </c>
      <c r="N137" s="411">
        <v>0</v>
      </c>
      <c r="O137" s="496">
        <v>1400</v>
      </c>
      <c r="P137" s="497">
        <v>0</v>
      </c>
      <c r="Q137" s="412">
        <v>0</v>
      </c>
      <c r="R137" s="498">
        <v>0</v>
      </c>
      <c r="S137" s="499"/>
      <c r="T137" s="486">
        <v>0</v>
      </c>
      <c r="U137" s="486">
        <v>0</v>
      </c>
      <c r="V137" s="486">
        <f t="shared" si="237"/>
        <v>0</v>
      </c>
      <c r="W137" s="486">
        <v>0</v>
      </c>
      <c r="X137" s="486">
        <v>0</v>
      </c>
      <c r="Y137" s="486">
        <f t="shared" si="238"/>
        <v>0</v>
      </c>
      <c r="Z137" s="486">
        <f t="shared" si="239"/>
        <v>0</v>
      </c>
      <c r="AA137" s="319">
        <f t="shared" si="240"/>
        <v>0</v>
      </c>
      <c r="AB137" s="178">
        <f t="shared" si="241"/>
        <v>0</v>
      </c>
      <c r="AC137" s="486">
        <v>-700</v>
      </c>
      <c r="AD137" s="486">
        <v>0</v>
      </c>
      <c r="AE137" s="486">
        <f t="shared" si="127"/>
        <v>-700</v>
      </c>
      <c r="AF137" s="486">
        <f t="shared" si="128"/>
        <v>-700</v>
      </c>
      <c r="AG137" s="501">
        <v>0</v>
      </c>
      <c r="AH137" s="501">
        <v>0</v>
      </c>
      <c r="AI137" s="501">
        <v>0</v>
      </c>
      <c r="AJ137" s="501">
        <v>0</v>
      </c>
      <c r="AK137" s="501">
        <v>0</v>
      </c>
      <c r="AL137" s="501">
        <f t="shared" si="242"/>
        <v>0</v>
      </c>
      <c r="AM137" s="501">
        <f t="shared" si="243"/>
        <v>0</v>
      </c>
      <c r="AN137" s="502">
        <f t="shared" si="129"/>
        <v>0</v>
      </c>
      <c r="AO137" s="499">
        <f t="shared" si="244"/>
        <v>700</v>
      </c>
      <c r="AP137" s="486">
        <f t="shared" si="245"/>
        <v>0</v>
      </c>
      <c r="AQ137" s="486">
        <f t="shared" si="246"/>
        <v>0</v>
      </c>
      <c r="AR137" s="480">
        <f t="shared" si="247"/>
        <v>0</v>
      </c>
      <c r="AS137" s="486">
        <f t="shared" si="248"/>
        <v>0</v>
      </c>
      <c r="AT137" s="486">
        <f t="shared" si="248"/>
        <v>0</v>
      </c>
      <c r="AU137" s="486">
        <f t="shared" si="249"/>
        <v>700</v>
      </c>
      <c r="AV137" s="501">
        <f t="shared" si="250"/>
        <v>0</v>
      </c>
      <c r="AW137" s="501">
        <f t="shared" si="251"/>
        <v>0</v>
      </c>
      <c r="AX137" s="502">
        <f t="shared" si="251"/>
        <v>0</v>
      </c>
    </row>
    <row r="138" spans="1:50" ht="12.95" customHeight="1" x14ac:dyDescent="0.25">
      <c r="A138" s="83">
        <v>25</v>
      </c>
      <c r="B138" s="526">
        <v>5488</v>
      </c>
      <c r="C138" s="527">
        <v>600099326</v>
      </c>
      <c r="D138" s="83">
        <v>70695393</v>
      </c>
      <c r="E138" s="536" t="s">
        <v>486</v>
      </c>
      <c r="F138" s="526">
        <v>3141</v>
      </c>
      <c r="G138" s="535" t="s">
        <v>321</v>
      </c>
      <c r="H138" s="493" t="s">
        <v>284</v>
      </c>
      <c r="I138" s="495">
        <v>418142</v>
      </c>
      <c r="J138" s="496">
        <v>306629</v>
      </c>
      <c r="K138" s="496">
        <v>0</v>
      </c>
      <c r="L138" s="496">
        <v>0</v>
      </c>
      <c r="M138" s="411">
        <v>103641</v>
      </c>
      <c r="N138" s="411">
        <v>6132</v>
      </c>
      <c r="O138" s="496">
        <v>1740</v>
      </c>
      <c r="P138" s="497">
        <v>1.05</v>
      </c>
      <c r="Q138" s="412">
        <v>0</v>
      </c>
      <c r="R138" s="498">
        <v>1.05</v>
      </c>
      <c r="S138" s="499">
        <f t="shared" si="236"/>
        <v>0</v>
      </c>
      <c r="T138" s="486">
        <v>0</v>
      </c>
      <c r="U138" s="486">
        <v>0</v>
      </c>
      <c r="V138" s="486">
        <f t="shared" si="237"/>
        <v>0</v>
      </c>
      <c r="W138" s="486">
        <v>0</v>
      </c>
      <c r="X138" s="486">
        <v>0</v>
      </c>
      <c r="Y138" s="486">
        <f t="shared" si="238"/>
        <v>0</v>
      </c>
      <c r="Z138" s="486">
        <f t="shared" si="239"/>
        <v>0</v>
      </c>
      <c r="AA138" s="319">
        <f t="shared" si="240"/>
        <v>0</v>
      </c>
      <c r="AB138" s="178">
        <f t="shared" si="241"/>
        <v>0</v>
      </c>
      <c r="AC138" s="486">
        <v>0</v>
      </c>
      <c r="AD138" s="486">
        <v>0</v>
      </c>
      <c r="AE138" s="486">
        <f t="shared" si="127"/>
        <v>0</v>
      </c>
      <c r="AF138" s="486">
        <f t="shared" si="128"/>
        <v>0</v>
      </c>
      <c r="AG138" s="501">
        <v>0</v>
      </c>
      <c r="AH138" s="501">
        <v>0</v>
      </c>
      <c r="AI138" s="501">
        <v>0</v>
      </c>
      <c r="AJ138" s="501">
        <v>0</v>
      </c>
      <c r="AK138" s="501">
        <v>0</v>
      </c>
      <c r="AL138" s="501">
        <f t="shared" si="242"/>
        <v>0</v>
      </c>
      <c r="AM138" s="501">
        <f t="shared" si="243"/>
        <v>0</v>
      </c>
      <c r="AN138" s="502">
        <f t="shared" si="129"/>
        <v>0</v>
      </c>
      <c r="AO138" s="499">
        <f t="shared" si="244"/>
        <v>418142</v>
      </c>
      <c r="AP138" s="486">
        <f t="shared" si="245"/>
        <v>306629</v>
      </c>
      <c r="AQ138" s="486">
        <f t="shared" si="246"/>
        <v>0</v>
      </c>
      <c r="AR138" s="480">
        <f t="shared" si="247"/>
        <v>0</v>
      </c>
      <c r="AS138" s="486">
        <f t="shared" si="248"/>
        <v>103641</v>
      </c>
      <c r="AT138" s="486">
        <f t="shared" si="248"/>
        <v>6132</v>
      </c>
      <c r="AU138" s="486">
        <f t="shared" si="249"/>
        <v>1740</v>
      </c>
      <c r="AV138" s="501">
        <f t="shared" si="250"/>
        <v>1.05</v>
      </c>
      <c r="AW138" s="501">
        <f t="shared" si="251"/>
        <v>0</v>
      </c>
      <c r="AX138" s="502">
        <f t="shared" si="251"/>
        <v>1.05</v>
      </c>
    </row>
    <row r="139" spans="1:50" ht="12.95" customHeight="1" x14ac:dyDescent="0.25">
      <c r="A139" s="83">
        <v>25</v>
      </c>
      <c r="B139" s="526">
        <v>5488</v>
      </c>
      <c r="C139" s="527">
        <v>600099326</v>
      </c>
      <c r="D139" s="83">
        <v>70695393</v>
      </c>
      <c r="E139" s="536" t="s">
        <v>486</v>
      </c>
      <c r="F139" s="526">
        <v>3143</v>
      </c>
      <c r="G139" s="493" t="s">
        <v>634</v>
      </c>
      <c r="H139" s="493" t="s">
        <v>283</v>
      </c>
      <c r="I139" s="495">
        <v>518241</v>
      </c>
      <c r="J139" s="496">
        <v>381621</v>
      </c>
      <c r="K139" s="496">
        <v>0</v>
      </c>
      <c r="L139" s="496">
        <v>0</v>
      </c>
      <c r="M139" s="411">
        <v>128988</v>
      </c>
      <c r="N139" s="411">
        <v>7632</v>
      </c>
      <c r="O139" s="496">
        <v>0</v>
      </c>
      <c r="P139" s="497">
        <v>0.875</v>
      </c>
      <c r="Q139" s="412">
        <v>0.875</v>
      </c>
      <c r="R139" s="498">
        <v>0</v>
      </c>
      <c r="S139" s="499">
        <f t="shared" si="236"/>
        <v>0</v>
      </c>
      <c r="T139" s="486">
        <v>0</v>
      </c>
      <c r="U139" s="486">
        <v>0</v>
      </c>
      <c r="V139" s="486">
        <f t="shared" si="237"/>
        <v>0</v>
      </c>
      <c r="W139" s="486">
        <v>0</v>
      </c>
      <c r="X139" s="486">
        <v>0</v>
      </c>
      <c r="Y139" s="486">
        <f t="shared" si="238"/>
        <v>0</v>
      </c>
      <c r="Z139" s="486">
        <f t="shared" si="239"/>
        <v>0</v>
      </c>
      <c r="AA139" s="319">
        <f t="shared" si="240"/>
        <v>0</v>
      </c>
      <c r="AB139" s="178">
        <f t="shared" si="241"/>
        <v>0</v>
      </c>
      <c r="AC139" s="486">
        <v>0</v>
      </c>
      <c r="AD139" s="486">
        <v>0</v>
      </c>
      <c r="AE139" s="486">
        <f t="shared" si="127"/>
        <v>0</v>
      </c>
      <c r="AF139" s="486">
        <f t="shared" si="128"/>
        <v>0</v>
      </c>
      <c r="AG139" s="501">
        <v>0</v>
      </c>
      <c r="AH139" s="501">
        <v>0</v>
      </c>
      <c r="AI139" s="501">
        <v>0</v>
      </c>
      <c r="AJ139" s="501">
        <v>0</v>
      </c>
      <c r="AK139" s="501">
        <v>0</v>
      </c>
      <c r="AL139" s="501">
        <f t="shared" si="242"/>
        <v>0</v>
      </c>
      <c r="AM139" s="501">
        <f t="shared" si="243"/>
        <v>0</v>
      </c>
      <c r="AN139" s="502">
        <f t="shared" si="129"/>
        <v>0</v>
      </c>
      <c r="AO139" s="499">
        <f t="shared" si="244"/>
        <v>518241</v>
      </c>
      <c r="AP139" s="486">
        <f t="shared" si="245"/>
        <v>381621</v>
      </c>
      <c r="AQ139" s="486">
        <f t="shared" si="246"/>
        <v>0</v>
      </c>
      <c r="AR139" s="480">
        <f t="shared" si="247"/>
        <v>0</v>
      </c>
      <c r="AS139" s="486">
        <f t="shared" si="248"/>
        <v>128988</v>
      </c>
      <c r="AT139" s="486">
        <f t="shared" si="248"/>
        <v>7632</v>
      </c>
      <c r="AU139" s="486">
        <f t="shared" si="249"/>
        <v>0</v>
      </c>
      <c r="AV139" s="501">
        <f t="shared" si="250"/>
        <v>0.875</v>
      </c>
      <c r="AW139" s="501">
        <f t="shared" si="251"/>
        <v>0.875</v>
      </c>
      <c r="AX139" s="502">
        <f t="shared" si="251"/>
        <v>0</v>
      </c>
    </row>
    <row r="140" spans="1:50" ht="12.95" customHeight="1" x14ac:dyDescent="0.25">
      <c r="A140" s="83">
        <v>25</v>
      </c>
      <c r="B140" s="526">
        <v>5488</v>
      </c>
      <c r="C140" s="527">
        <v>600099326</v>
      </c>
      <c r="D140" s="83">
        <v>70695393</v>
      </c>
      <c r="E140" s="537" t="s">
        <v>486</v>
      </c>
      <c r="F140" s="538">
        <v>3143</v>
      </c>
      <c r="G140" s="493" t="s">
        <v>635</v>
      </c>
      <c r="H140" s="493" t="s">
        <v>284</v>
      </c>
      <c r="I140" s="495">
        <v>10534</v>
      </c>
      <c r="J140" s="496">
        <v>7425</v>
      </c>
      <c r="K140" s="496">
        <v>0</v>
      </c>
      <c r="L140" s="496">
        <v>0</v>
      </c>
      <c r="M140" s="411">
        <v>2510</v>
      </c>
      <c r="N140" s="411">
        <v>149</v>
      </c>
      <c r="O140" s="496">
        <v>450</v>
      </c>
      <c r="P140" s="497">
        <v>0.03</v>
      </c>
      <c r="Q140" s="412">
        <v>0</v>
      </c>
      <c r="R140" s="498">
        <v>0.03</v>
      </c>
      <c r="S140" s="499">
        <f t="shared" si="236"/>
        <v>0</v>
      </c>
      <c r="T140" s="486">
        <v>0</v>
      </c>
      <c r="U140" s="486">
        <v>0</v>
      </c>
      <c r="V140" s="486">
        <f t="shared" si="237"/>
        <v>0</v>
      </c>
      <c r="W140" s="486">
        <v>0</v>
      </c>
      <c r="X140" s="486">
        <v>0</v>
      </c>
      <c r="Y140" s="486">
        <f t="shared" si="238"/>
        <v>0</v>
      </c>
      <c r="Z140" s="486">
        <f t="shared" si="239"/>
        <v>0</v>
      </c>
      <c r="AA140" s="319">
        <f t="shared" si="240"/>
        <v>0</v>
      </c>
      <c r="AB140" s="178">
        <f t="shared" si="241"/>
        <v>0</v>
      </c>
      <c r="AC140" s="486">
        <v>0</v>
      </c>
      <c r="AD140" s="486">
        <v>0</v>
      </c>
      <c r="AE140" s="486">
        <f t="shared" si="127"/>
        <v>0</v>
      </c>
      <c r="AF140" s="486">
        <f t="shared" si="128"/>
        <v>0</v>
      </c>
      <c r="AG140" s="501">
        <v>0</v>
      </c>
      <c r="AH140" s="501">
        <v>0</v>
      </c>
      <c r="AI140" s="501">
        <v>0</v>
      </c>
      <c r="AJ140" s="501">
        <v>0</v>
      </c>
      <c r="AK140" s="501">
        <v>0</v>
      </c>
      <c r="AL140" s="501">
        <f t="shared" si="242"/>
        <v>0</v>
      </c>
      <c r="AM140" s="501">
        <f t="shared" si="243"/>
        <v>0</v>
      </c>
      <c r="AN140" s="502">
        <f t="shared" si="129"/>
        <v>0</v>
      </c>
      <c r="AO140" s="499">
        <f t="shared" si="244"/>
        <v>10534</v>
      </c>
      <c r="AP140" s="486">
        <f t="shared" si="245"/>
        <v>7425</v>
      </c>
      <c r="AQ140" s="486">
        <f t="shared" si="246"/>
        <v>0</v>
      </c>
      <c r="AR140" s="480">
        <f t="shared" si="247"/>
        <v>0</v>
      </c>
      <c r="AS140" s="486">
        <f t="shared" si="248"/>
        <v>2510</v>
      </c>
      <c r="AT140" s="486">
        <f t="shared" si="248"/>
        <v>149</v>
      </c>
      <c r="AU140" s="486">
        <f t="shared" si="249"/>
        <v>450</v>
      </c>
      <c r="AV140" s="501">
        <f t="shared" si="250"/>
        <v>0.03</v>
      </c>
      <c r="AW140" s="501">
        <f t="shared" si="251"/>
        <v>0</v>
      </c>
      <c r="AX140" s="502">
        <f t="shared" si="251"/>
        <v>0.03</v>
      </c>
    </row>
    <row r="141" spans="1:50" ht="12.95" customHeight="1" thickBot="1" x14ac:dyDescent="0.3">
      <c r="A141" s="96">
        <v>25</v>
      </c>
      <c r="B141" s="109">
        <v>5488</v>
      </c>
      <c r="C141" s="159">
        <v>600099326</v>
      </c>
      <c r="D141" s="109">
        <v>70695393</v>
      </c>
      <c r="E141" s="539" t="s">
        <v>487</v>
      </c>
      <c r="F141" s="109"/>
      <c r="G141" s="540"/>
      <c r="H141" s="541"/>
      <c r="I141" s="385">
        <v>4724531</v>
      </c>
      <c r="J141" s="170">
        <v>3404433</v>
      </c>
      <c r="K141" s="170">
        <v>2220</v>
      </c>
      <c r="L141" s="170">
        <v>2220</v>
      </c>
      <c r="M141" s="170">
        <v>1150699</v>
      </c>
      <c r="N141" s="170">
        <v>68089</v>
      </c>
      <c r="O141" s="170">
        <v>99090</v>
      </c>
      <c r="P141" s="350">
        <v>8.0464000000000002</v>
      </c>
      <c r="Q141" s="350">
        <v>5.0011000000000001</v>
      </c>
      <c r="R141" s="351">
        <v>3.0452999999999997</v>
      </c>
      <c r="S141" s="313">
        <f t="shared" ref="S141:AN141" si="252">SUM(S135:S140)</f>
        <v>0</v>
      </c>
      <c r="T141" s="170">
        <f t="shared" si="252"/>
        <v>0</v>
      </c>
      <c r="U141" s="170">
        <f t="shared" si="252"/>
        <v>0</v>
      </c>
      <c r="V141" s="170">
        <f t="shared" si="252"/>
        <v>0</v>
      </c>
      <c r="W141" s="170">
        <f t="shared" si="252"/>
        <v>0</v>
      </c>
      <c r="X141" s="170">
        <f t="shared" si="252"/>
        <v>0</v>
      </c>
      <c r="Y141" s="170">
        <f t="shared" si="252"/>
        <v>0</v>
      </c>
      <c r="Z141" s="170">
        <f t="shared" si="252"/>
        <v>0</v>
      </c>
      <c r="AA141" s="170">
        <f t="shared" si="252"/>
        <v>0</v>
      </c>
      <c r="AB141" s="170">
        <f t="shared" si="252"/>
        <v>0</v>
      </c>
      <c r="AC141" s="170">
        <f t="shared" si="252"/>
        <v>-700</v>
      </c>
      <c r="AD141" s="170">
        <f t="shared" si="252"/>
        <v>0</v>
      </c>
      <c r="AE141" s="170">
        <f t="shared" si="252"/>
        <v>-700</v>
      </c>
      <c r="AF141" s="170">
        <f t="shared" si="252"/>
        <v>-700</v>
      </c>
      <c r="AG141" s="350">
        <f t="shared" si="252"/>
        <v>0</v>
      </c>
      <c r="AH141" s="350">
        <f t="shared" si="252"/>
        <v>0</v>
      </c>
      <c r="AI141" s="350">
        <f t="shared" si="252"/>
        <v>0</v>
      </c>
      <c r="AJ141" s="350">
        <f t="shared" si="252"/>
        <v>0</v>
      </c>
      <c r="AK141" s="350">
        <f t="shared" si="252"/>
        <v>0</v>
      </c>
      <c r="AL141" s="350">
        <f t="shared" si="252"/>
        <v>0</v>
      </c>
      <c r="AM141" s="350">
        <f t="shared" si="252"/>
        <v>0</v>
      </c>
      <c r="AN141" s="351">
        <f t="shared" si="252"/>
        <v>0</v>
      </c>
      <c r="AO141" s="313">
        <f t="shared" ref="AO141:AX141" si="253">SUM(AO135:AO140)</f>
        <v>4723831</v>
      </c>
      <c r="AP141" s="170">
        <f t="shared" si="253"/>
        <v>3404433</v>
      </c>
      <c r="AQ141" s="170">
        <f t="shared" si="253"/>
        <v>2220</v>
      </c>
      <c r="AR141" s="170">
        <f t="shared" si="253"/>
        <v>2220</v>
      </c>
      <c r="AS141" s="170">
        <f t="shared" si="253"/>
        <v>1150699</v>
      </c>
      <c r="AT141" s="170">
        <f t="shared" si="253"/>
        <v>68089</v>
      </c>
      <c r="AU141" s="170">
        <f t="shared" si="253"/>
        <v>98390</v>
      </c>
      <c r="AV141" s="350">
        <f t="shared" si="253"/>
        <v>8.0464000000000002</v>
      </c>
      <c r="AW141" s="350">
        <f t="shared" si="253"/>
        <v>5.0011000000000001</v>
      </c>
      <c r="AX141" s="351">
        <f t="shared" si="253"/>
        <v>3.0452999999999997</v>
      </c>
    </row>
    <row r="142" spans="1:50" ht="12.95" customHeight="1" thickBot="1" x14ac:dyDescent="0.3">
      <c r="A142" s="160"/>
      <c r="B142" s="124"/>
      <c r="C142" s="161"/>
      <c r="D142" s="124"/>
      <c r="E142" s="189" t="s">
        <v>802</v>
      </c>
      <c r="F142" s="124"/>
      <c r="G142" s="542"/>
      <c r="H142" s="542"/>
      <c r="I142" s="386">
        <f>I141+I134+I129+I125+I117+I110+I103+I100+I97+I95+I89+I85+I81+I74+I67+I63+I60+I52+I45+I38+I32+I29+I27+I21+I16</f>
        <v>269291290</v>
      </c>
      <c r="J142" s="171">
        <f t="shared" ref="J142:AX142" si="254">J141+J134+J129+J125+J117+J110+J103+J100+J97+J95+J89+J85+J81+J74+J67+J63+J60+J52+J45+J38+J32+J29+J27+J21+J16</f>
        <v>193484528</v>
      </c>
      <c r="K142" s="171">
        <f t="shared" si="254"/>
        <v>1069522</v>
      </c>
      <c r="L142" s="171">
        <f t="shared" si="254"/>
        <v>517526</v>
      </c>
      <c r="M142" s="171">
        <f t="shared" si="254"/>
        <v>65584345</v>
      </c>
      <c r="N142" s="171">
        <f t="shared" si="254"/>
        <v>3869685</v>
      </c>
      <c r="O142" s="171">
        <f t="shared" si="254"/>
        <v>5283210</v>
      </c>
      <c r="P142" s="352">
        <f t="shared" si="254"/>
        <v>426.24259999999992</v>
      </c>
      <c r="Q142" s="352">
        <f t="shared" si="254"/>
        <v>295.00150000000002</v>
      </c>
      <c r="R142" s="353">
        <f t="shared" si="254"/>
        <v>131.24110000000002</v>
      </c>
      <c r="S142" s="426">
        <f t="shared" si="254"/>
        <v>0</v>
      </c>
      <c r="T142" s="171">
        <f t="shared" si="254"/>
        <v>14786</v>
      </c>
      <c r="U142" s="171">
        <f t="shared" si="254"/>
        <v>-67010</v>
      </c>
      <c r="V142" s="171">
        <f t="shared" si="254"/>
        <v>-52224</v>
      </c>
      <c r="W142" s="171">
        <f t="shared" si="254"/>
        <v>0</v>
      </c>
      <c r="X142" s="171">
        <f t="shared" si="254"/>
        <v>0</v>
      </c>
      <c r="Y142" s="171">
        <f t="shared" si="254"/>
        <v>0</v>
      </c>
      <c r="Z142" s="171">
        <f t="shared" si="254"/>
        <v>-52224</v>
      </c>
      <c r="AA142" s="171">
        <f t="shared" si="254"/>
        <v>-17651</v>
      </c>
      <c r="AB142" s="171">
        <f t="shared" si="254"/>
        <v>-1045</v>
      </c>
      <c r="AC142" s="171">
        <f t="shared" si="254"/>
        <v>10200</v>
      </c>
      <c r="AD142" s="171">
        <f t="shared" si="254"/>
        <v>91000</v>
      </c>
      <c r="AE142" s="171">
        <f t="shared" si="254"/>
        <v>101200</v>
      </c>
      <c r="AF142" s="171">
        <f t="shared" si="254"/>
        <v>30280</v>
      </c>
      <c r="AG142" s="352">
        <f t="shared" si="254"/>
        <v>0</v>
      </c>
      <c r="AH142" s="352">
        <f t="shared" si="254"/>
        <v>0</v>
      </c>
      <c r="AI142" s="352">
        <f t="shared" si="254"/>
        <v>0.03</v>
      </c>
      <c r="AJ142" s="352">
        <f t="shared" si="254"/>
        <v>0</v>
      </c>
      <c r="AK142" s="352">
        <f t="shared" si="254"/>
        <v>0</v>
      </c>
      <c r="AL142" s="352">
        <f t="shared" si="254"/>
        <v>0.03</v>
      </c>
      <c r="AM142" s="352">
        <f t="shared" si="254"/>
        <v>0</v>
      </c>
      <c r="AN142" s="353">
        <f t="shared" si="254"/>
        <v>0.03</v>
      </c>
      <c r="AO142" s="426">
        <f t="shared" si="254"/>
        <v>269321570</v>
      </c>
      <c r="AP142" s="171">
        <f t="shared" si="254"/>
        <v>193432304</v>
      </c>
      <c r="AQ142" s="171">
        <f t="shared" si="254"/>
        <v>1069522</v>
      </c>
      <c r="AR142" s="171">
        <f t="shared" si="254"/>
        <v>517526</v>
      </c>
      <c r="AS142" s="171">
        <f t="shared" si="254"/>
        <v>65566694</v>
      </c>
      <c r="AT142" s="171">
        <f t="shared" si="254"/>
        <v>3868640</v>
      </c>
      <c r="AU142" s="171">
        <f t="shared" si="254"/>
        <v>5384410</v>
      </c>
      <c r="AV142" s="352">
        <f t="shared" si="254"/>
        <v>426.27260000000001</v>
      </c>
      <c r="AW142" s="352">
        <f t="shared" si="254"/>
        <v>295.03149999999999</v>
      </c>
      <c r="AX142" s="353">
        <f t="shared" si="254"/>
        <v>131.24110000000002</v>
      </c>
    </row>
    <row r="143" spans="1:50" ht="12.95" customHeight="1" x14ac:dyDescent="0.25">
      <c r="B143" s="80"/>
      <c r="C143" s="125"/>
      <c r="D143" s="80"/>
      <c r="E143" s="100"/>
      <c r="F143" s="80"/>
      <c r="I143" s="509">
        <f>J142+K142+M142+N142+O142</f>
        <v>269291290</v>
      </c>
      <c r="J143" s="509"/>
      <c r="K143" s="509"/>
      <c r="L143" s="509"/>
      <c r="M143" s="509"/>
      <c r="N143" s="509"/>
      <c r="O143" s="509"/>
      <c r="P143" s="510">
        <f>SUM(Q142:R142)</f>
        <v>426.24260000000004</v>
      </c>
      <c r="Q143" s="510"/>
      <c r="R143" s="510"/>
      <c r="S143" s="509">
        <f>W142</f>
        <v>0</v>
      </c>
      <c r="T143" s="510"/>
      <c r="U143" s="510"/>
      <c r="V143" s="739">
        <f>SUM(S142:U142)</f>
        <v>-52224</v>
      </c>
      <c r="W143" s="607"/>
      <c r="X143" s="607"/>
      <c r="Y143" s="606">
        <f>SUM(W142:X142)</f>
        <v>0</v>
      </c>
      <c r="Z143" s="739">
        <f>V142+Y142</f>
        <v>-52224</v>
      </c>
      <c r="AA143" s="741"/>
      <c r="AB143" s="741"/>
      <c r="AC143" s="740"/>
      <c r="AD143" s="740"/>
      <c r="AE143" s="739">
        <f>SUM(AC142:AD142)</f>
        <v>101200</v>
      </c>
      <c r="AF143" s="739">
        <f>Z142+AA142+AB142+AE142</f>
        <v>30280</v>
      </c>
      <c r="AG143" s="742"/>
      <c r="AH143" s="742"/>
      <c r="AI143" s="742"/>
      <c r="AJ143" s="742"/>
      <c r="AK143" s="742"/>
      <c r="AL143" s="743">
        <f>AG142+AI142+AJ142</f>
        <v>0.03</v>
      </c>
      <c r="AM143" s="743">
        <f>AH142+AK142</f>
        <v>0</v>
      </c>
      <c r="AN143" s="743">
        <f>SUM(AL142:AM142)</f>
        <v>0.03</v>
      </c>
      <c r="AO143" s="509">
        <f>AP142+AQ142+AS142+AT142+AU142</f>
        <v>269321570</v>
      </c>
      <c r="AP143" s="177"/>
      <c r="AQ143" s="177"/>
      <c r="AR143" s="509"/>
      <c r="AS143" s="177"/>
      <c r="AT143" s="177"/>
      <c r="AU143" s="177"/>
      <c r="AV143" s="510">
        <f>SUM(AW142:AX142)</f>
        <v>426.27260000000001</v>
      </c>
      <c r="AW143" s="177"/>
      <c r="AX143" s="177"/>
    </row>
    <row r="144" spans="1:50" ht="12.95" customHeight="1" thickBot="1" x14ac:dyDescent="0.3">
      <c r="B144" s="80"/>
      <c r="C144" s="125"/>
      <c r="D144" s="80"/>
      <c r="F144" s="80"/>
      <c r="I144" s="192">
        <f ca="1">J145+K145+M145+N145+O145</f>
        <v>269291290</v>
      </c>
      <c r="J144" s="193"/>
      <c r="K144" s="193"/>
      <c r="L144" s="193"/>
      <c r="M144" s="193"/>
      <c r="N144" s="193"/>
      <c r="O144" s="193"/>
      <c r="P144" s="194">
        <f ca="1">SUM(Q145:R145)</f>
        <v>426.24259999999998</v>
      </c>
      <c r="Q144" s="339"/>
      <c r="R144" s="339"/>
      <c r="S144" s="355"/>
      <c r="T144" s="355"/>
      <c r="U144" s="355"/>
      <c r="V144" s="511">
        <f ca="1">SUM(S145:U145)</f>
        <v>-52224</v>
      </c>
      <c r="W144" s="512"/>
      <c r="X144" s="512"/>
      <c r="Y144" s="511">
        <f ca="1">SUM(W145:X145)</f>
        <v>0</v>
      </c>
      <c r="Z144" s="511">
        <f ca="1">V145+Y145</f>
        <v>-52224</v>
      </c>
      <c r="AA144" s="354"/>
      <c r="AB144" s="354"/>
      <c r="AC144" s="512"/>
      <c r="AD144" s="512"/>
      <c r="AE144" s="511">
        <f ca="1">SUM(AC145:AD145)</f>
        <v>101200</v>
      </c>
      <c r="AF144" s="511">
        <f ca="1">Z145+AA145+AB145+AE145</f>
        <v>30280</v>
      </c>
      <c r="AG144" s="513"/>
      <c r="AH144" s="513"/>
      <c r="AI144" s="513"/>
      <c r="AJ144" s="513"/>
      <c r="AK144" s="513"/>
      <c r="AL144" s="514">
        <f ca="1">AG145+AI145+AJ145</f>
        <v>0.03</v>
      </c>
      <c r="AM144" s="514">
        <f ca="1">AH145+AK145</f>
        <v>0</v>
      </c>
      <c r="AN144" s="514">
        <f ca="1">SUM(AL145:AM145)</f>
        <v>0.03</v>
      </c>
      <c r="AO144" s="362">
        <f ca="1">AP145+AQ145+AS145+AT145+AU145</f>
        <v>269321570</v>
      </c>
      <c r="AP144" s="363"/>
      <c r="AQ144" s="363"/>
      <c r="AR144" s="683"/>
      <c r="AS144" s="363"/>
      <c r="AT144" s="363"/>
      <c r="AU144" s="363"/>
      <c r="AV144" s="355">
        <f ca="1">SUM(AW145:AX145)</f>
        <v>426.27259999999995</v>
      </c>
      <c r="AW144" s="363"/>
      <c r="AX144" s="363"/>
    </row>
    <row r="145" spans="4:50" s="738" customFormat="1" ht="13.5" thickBot="1" x14ac:dyDescent="0.25">
      <c r="D145" s="16"/>
      <c r="E145" s="12"/>
      <c r="F145" s="16"/>
      <c r="G145" s="36"/>
      <c r="H145" s="39" t="s">
        <v>0</v>
      </c>
      <c r="I145" s="255">
        <f t="shared" ref="I145:AX145" ca="1" si="255">SUM(I146:I155)</f>
        <v>269291290</v>
      </c>
      <c r="J145" s="46">
        <f t="shared" ca="1" si="255"/>
        <v>193484528</v>
      </c>
      <c r="K145" s="46">
        <f t="shared" ca="1" si="255"/>
        <v>1069522</v>
      </c>
      <c r="L145" s="46">
        <f t="shared" ca="1" si="255"/>
        <v>517526</v>
      </c>
      <c r="M145" s="46">
        <f t="shared" ca="1" si="255"/>
        <v>65584345</v>
      </c>
      <c r="N145" s="46">
        <f t="shared" ca="1" si="255"/>
        <v>3869685</v>
      </c>
      <c r="O145" s="46">
        <f t="shared" ca="1" si="255"/>
        <v>5283210</v>
      </c>
      <c r="P145" s="47">
        <f t="shared" ca="1" si="255"/>
        <v>426.24259999999998</v>
      </c>
      <c r="Q145" s="47">
        <f t="shared" ca="1" si="255"/>
        <v>295.00149999999996</v>
      </c>
      <c r="R145" s="48">
        <f t="shared" ca="1" si="255"/>
        <v>131.24110000000002</v>
      </c>
      <c r="S145" s="264">
        <f t="shared" ca="1" si="255"/>
        <v>0</v>
      </c>
      <c r="T145" s="46">
        <f t="shared" ca="1" si="255"/>
        <v>14786</v>
      </c>
      <c r="U145" s="46">
        <f t="shared" ca="1" si="255"/>
        <v>-67010</v>
      </c>
      <c r="V145" s="46">
        <f t="shared" ca="1" si="255"/>
        <v>-52224</v>
      </c>
      <c r="W145" s="46">
        <f t="shared" ca="1" si="255"/>
        <v>0</v>
      </c>
      <c r="X145" s="46">
        <f t="shared" ca="1" si="255"/>
        <v>0</v>
      </c>
      <c r="Y145" s="46">
        <f t="shared" ca="1" si="255"/>
        <v>0</v>
      </c>
      <c r="Z145" s="46">
        <f t="shared" ca="1" si="255"/>
        <v>-52224</v>
      </c>
      <c r="AA145" s="46">
        <f t="shared" ca="1" si="255"/>
        <v>-17651</v>
      </c>
      <c r="AB145" s="46">
        <f t="shared" ca="1" si="255"/>
        <v>-1045</v>
      </c>
      <c r="AC145" s="46">
        <f t="shared" ca="1" si="255"/>
        <v>10200</v>
      </c>
      <c r="AD145" s="46">
        <f t="shared" ca="1" si="255"/>
        <v>91000</v>
      </c>
      <c r="AE145" s="46">
        <f t="shared" ca="1" si="255"/>
        <v>101200</v>
      </c>
      <c r="AF145" s="46">
        <f t="shared" ca="1" si="255"/>
        <v>30280</v>
      </c>
      <c r="AG145" s="47">
        <f t="shared" ca="1" si="255"/>
        <v>0</v>
      </c>
      <c r="AH145" s="47">
        <f t="shared" ca="1" si="255"/>
        <v>0</v>
      </c>
      <c r="AI145" s="47">
        <f t="shared" ca="1" si="255"/>
        <v>0.03</v>
      </c>
      <c r="AJ145" s="47">
        <f t="shared" ca="1" si="255"/>
        <v>0</v>
      </c>
      <c r="AK145" s="47">
        <f t="shared" ca="1" si="255"/>
        <v>0</v>
      </c>
      <c r="AL145" s="47">
        <f t="shared" ca="1" si="255"/>
        <v>0.03</v>
      </c>
      <c r="AM145" s="47">
        <f t="shared" ca="1" si="255"/>
        <v>0</v>
      </c>
      <c r="AN145" s="263">
        <f t="shared" ca="1" si="255"/>
        <v>0.03</v>
      </c>
      <c r="AO145" s="255">
        <f t="shared" ca="1" si="255"/>
        <v>269321570</v>
      </c>
      <c r="AP145" s="46">
        <f t="shared" ca="1" si="255"/>
        <v>193432304</v>
      </c>
      <c r="AQ145" s="46">
        <f t="shared" ca="1" si="255"/>
        <v>1069522</v>
      </c>
      <c r="AR145" s="46">
        <f t="shared" ca="1" si="255"/>
        <v>517526</v>
      </c>
      <c r="AS145" s="46">
        <f t="shared" ca="1" si="255"/>
        <v>65566694</v>
      </c>
      <c r="AT145" s="46">
        <f t="shared" ca="1" si="255"/>
        <v>3868640</v>
      </c>
      <c r="AU145" s="46">
        <f t="shared" ca="1" si="255"/>
        <v>5384410</v>
      </c>
      <c r="AV145" s="47">
        <f t="shared" ca="1" si="255"/>
        <v>426.27259999999995</v>
      </c>
      <c r="AW145" s="47">
        <f t="shared" ca="1" si="255"/>
        <v>295.03149999999994</v>
      </c>
      <c r="AX145" s="48">
        <f t="shared" ca="1" si="255"/>
        <v>131.24110000000002</v>
      </c>
    </row>
    <row r="146" spans="4:50" s="738" customFormat="1" ht="12.75" x14ac:dyDescent="0.2">
      <c r="D146" s="16"/>
      <c r="E146" s="12"/>
      <c r="F146" s="16"/>
      <c r="G146" s="36"/>
      <c r="H146" s="1">
        <v>3111</v>
      </c>
      <c r="I146" s="321">
        <f t="shared" ref="I146:AX146" ca="1" si="256">SUMIF($F$12:$F$427,"=3111",I$12:I$383)</f>
        <v>60554303</v>
      </c>
      <c r="J146" s="322">
        <f t="shared" ca="1" si="256"/>
        <v>43947521</v>
      </c>
      <c r="K146" s="322">
        <f t="shared" ca="1" si="256"/>
        <v>185180</v>
      </c>
      <c r="L146" s="322">
        <f t="shared" ca="1" si="256"/>
        <v>0</v>
      </c>
      <c r="M146" s="322">
        <f t="shared" ca="1" si="256"/>
        <v>14916852</v>
      </c>
      <c r="N146" s="322">
        <f t="shared" ca="1" si="256"/>
        <v>878950</v>
      </c>
      <c r="O146" s="322">
        <f t="shared" ca="1" si="256"/>
        <v>625800</v>
      </c>
      <c r="P146" s="323">
        <f t="shared" ca="1" si="256"/>
        <v>105.11129999999999</v>
      </c>
      <c r="Q146" s="323">
        <f t="shared" ca="1" si="256"/>
        <v>79.85860000000001</v>
      </c>
      <c r="R146" s="324">
        <f t="shared" ca="1" si="256"/>
        <v>25.252699999999994</v>
      </c>
      <c r="S146" s="325">
        <f t="shared" ca="1" si="256"/>
        <v>0</v>
      </c>
      <c r="T146" s="322">
        <f t="shared" ca="1" si="256"/>
        <v>21225</v>
      </c>
      <c r="U146" s="322">
        <f t="shared" ca="1" si="256"/>
        <v>-15463</v>
      </c>
      <c r="V146" s="322">
        <f t="shared" ca="1" si="256"/>
        <v>5762</v>
      </c>
      <c r="W146" s="322">
        <f t="shared" ca="1" si="256"/>
        <v>0</v>
      </c>
      <c r="X146" s="322">
        <f t="shared" ca="1" si="256"/>
        <v>0</v>
      </c>
      <c r="Y146" s="322">
        <f t="shared" ca="1" si="256"/>
        <v>0</v>
      </c>
      <c r="Z146" s="322">
        <f t="shared" ca="1" si="256"/>
        <v>5762</v>
      </c>
      <c r="AA146" s="322">
        <f t="shared" ca="1" si="256"/>
        <v>1948</v>
      </c>
      <c r="AB146" s="322">
        <f t="shared" ca="1" si="256"/>
        <v>115</v>
      </c>
      <c r="AC146" s="322">
        <f t="shared" ca="1" si="256"/>
        <v>9500</v>
      </c>
      <c r="AD146" s="322">
        <f t="shared" ca="1" si="256"/>
        <v>20999</v>
      </c>
      <c r="AE146" s="322">
        <f t="shared" ca="1" si="256"/>
        <v>30499</v>
      </c>
      <c r="AF146" s="322">
        <f t="shared" ca="1" si="256"/>
        <v>38324</v>
      </c>
      <c r="AG146" s="323">
        <f t="shared" ca="1" si="256"/>
        <v>0</v>
      </c>
      <c r="AH146" s="323">
        <f t="shared" ca="1" si="256"/>
        <v>0</v>
      </c>
      <c r="AI146" s="323">
        <f t="shared" ca="1" si="256"/>
        <v>0.06</v>
      </c>
      <c r="AJ146" s="323">
        <f t="shared" ca="1" si="256"/>
        <v>0</v>
      </c>
      <c r="AK146" s="323">
        <f t="shared" ca="1" si="256"/>
        <v>0</v>
      </c>
      <c r="AL146" s="323">
        <f t="shared" ca="1" si="256"/>
        <v>0.06</v>
      </c>
      <c r="AM146" s="323">
        <f t="shared" ca="1" si="256"/>
        <v>0</v>
      </c>
      <c r="AN146" s="326">
        <f t="shared" ca="1" si="256"/>
        <v>0.06</v>
      </c>
      <c r="AO146" s="321">
        <f t="shared" ca="1" si="256"/>
        <v>60592627</v>
      </c>
      <c r="AP146" s="322">
        <f t="shared" ca="1" si="256"/>
        <v>43953283</v>
      </c>
      <c r="AQ146" s="322">
        <f t="shared" ca="1" si="256"/>
        <v>185180</v>
      </c>
      <c r="AR146" s="322">
        <f t="shared" ca="1" si="256"/>
        <v>0</v>
      </c>
      <c r="AS146" s="322">
        <f t="shared" ca="1" si="256"/>
        <v>14918800</v>
      </c>
      <c r="AT146" s="322">
        <f t="shared" ca="1" si="256"/>
        <v>879065</v>
      </c>
      <c r="AU146" s="322">
        <f t="shared" ca="1" si="256"/>
        <v>656299</v>
      </c>
      <c r="AV146" s="323">
        <f t="shared" ca="1" si="256"/>
        <v>105.17129999999999</v>
      </c>
      <c r="AW146" s="323">
        <f t="shared" ca="1" si="256"/>
        <v>79.918600000000012</v>
      </c>
      <c r="AX146" s="324">
        <f t="shared" ca="1" si="256"/>
        <v>25.252699999999994</v>
      </c>
    </row>
    <row r="147" spans="4:50" s="738" customFormat="1" ht="12.75" x14ac:dyDescent="0.2">
      <c r="D147" s="16"/>
      <c r="E147" s="12"/>
      <c r="F147" s="16"/>
      <c r="G147" s="36"/>
      <c r="H147" s="2">
        <v>3113</v>
      </c>
      <c r="I147" s="327">
        <f t="shared" ref="I147:AX147" si="257">SUMIF($F$12:$F$427,"=3113",I$12:I$427)</f>
        <v>135956348</v>
      </c>
      <c r="J147" s="328">
        <f t="shared" si="257"/>
        <v>96571302</v>
      </c>
      <c r="K147" s="328">
        <f t="shared" si="257"/>
        <v>795698</v>
      </c>
      <c r="L147" s="328">
        <f t="shared" si="257"/>
        <v>494882</v>
      </c>
      <c r="M147" s="328">
        <f t="shared" si="257"/>
        <v>32742772</v>
      </c>
      <c r="N147" s="328">
        <f t="shared" si="257"/>
        <v>1931426</v>
      </c>
      <c r="O147" s="328">
        <f t="shared" si="257"/>
        <v>3915150</v>
      </c>
      <c r="P147" s="329">
        <f t="shared" si="257"/>
        <v>192.86520000000002</v>
      </c>
      <c r="Q147" s="329">
        <f t="shared" si="257"/>
        <v>146.45739999999995</v>
      </c>
      <c r="R147" s="330">
        <f t="shared" si="257"/>
        <v>46.407800000000002</v>
      </c>
      <c r="S147" s="331">
        <f t="shared" si="257"/>
        <v>0</v>
      </c>
      <c r="T147" s="328">
        <f t="shared" si="257"/>
        <v>-8329</v>
      </c>
      <c r="U147" s="328">
        <f t="shared" si="257"/>
        <v>-36819</v>
      </c>
      <c r="V147" s="328">
        <f t="shared" si="257"/>
        <v>-45148</v>
      </c>
      <c r="W147" s="328">
        <f t="shared" si="257"/>
        <v>0</v>
      </c>
      <c r="X147" s="328">
        <f t="shared" si="257"/>
        <v>0</v>
      </c>
      <c r="Y147" s="328">
        <f t="shared" si="257"/>
        <v>0</v>
      </c>
      <c r="Z147" s="328">
        <f t="shared" si="257"/>
        <v>-45148</v>
      </c>
      <c r="AA147" s="328">
        <f t="shared" si="257"/>
        <v>-15260</v>
      </c>
      <c r="AB147" s="328">
        <f t="shared" si="257"/>
        <v>-903</v>
      </c>
      <c r="AC147" s="328">
        <f t="shared" si="257"/>
        <v>700</v>
      </c>
      <c r="AD147" s="328">
        <f t="shared" si="257"/>
        <v>50000</v>
      </c>
      <c r="AE147" s="328">
        <f t="shared" si="257"/>
        <v>50700</v>
      </c>
      <c r="AF147" s="328">
        <f t="shared" si="257"/>
        <v>-10611</v>
      </c>
      <c r="AG147" s="329">
        <f t="shared" si="257"/>
        <v>0</v>
      </c>
      <c r="AH147" s="329">
        <f t="shared" si="257"/>
        <v>0</v>
      </c>
      <c r="AI147" s="329">
        <f t="shared" si="257"/>
        <v>-0.03</v>
      </c>
      <c r="AJ147" s="329">
        <f t="shared" si="257"/>
        <v>0</v>
      </c>
      <c r="AK147" s="329">
        <f t="shared" si="257"/>
        <v>0</v>
      </c>
      <c r="AL147" s="329">
        <f t="shared" si="257"/>
        <v>-0.03</v>
      </c>
      <c r="AM147" s="329">
        <f t="shared" si="257"/>
        <v>0</v>
      </c>
      <c r="AN147" s="332">
        <f t="shared" si="257"/>
        <v>-0.03</v>
      </c>
      <c r="AO147" s="327">
        <f t="shared" si="257"/>
        <v>135945737</v>
      </c>
      <c r="AP147" s="328">
        <f t="shared" si="257"/>
        <v>96526154</v>
      </c>
      <c r="AQ147" s="328">
        <f t="shared" si="257"/>
        <v>795698</v>
      </c>
      <c r="AR147" s="328">
        <f t="shared" si="257"/>
        <v>494882</v>
      </c>
      <c r="AS147" s="328">
        <f t="shared" si="257"/>
        <v>32727512</v>
      </c>
      <c r="AT147" s="328">
        <f t="shared" si="257"/>
        <v>1930523</v>
      </c>
      <c r="AU147" s="328">
        <f t="shared" si="257"/>
        <v>3965850</v>
      </c>
      <c r="AV147" s="329">
        <f t="shared" si="257"/>
        <v>192.83519999999999</v>
      </c>
      <c r="AW147" s="329">
        <f t="shared" si="257"/>
        <v>146.42739999999995</v>
      </c>
      <c r="AX147" s="330">
        <f t="shared" si="257"/>
        <v>46.407800000000002</v>
      </c>
    </row>
    <row r="148" spans="4:50" s="738" customFormat="1" ht="12.75" x14ac:dyDescent="0.2">
      <c r="D148" s="16"/>
      <c r="E148" s="12"/>
      <c r="F148" s="16"/>
      <c r="G148" s="36"/>
      <c r="H148" s="2">
        <v>3114</v>
      </c>
      <c r="I148" s="327">
        <f t="shared" ref="I148:AX148" si="258">SUMIF($F$12:$F$427,"=3114",I$12:I$427)</f>
        <v>0</v>
      </c>
      <c r="J148" s="328">
        <f t="shared" si="258"/>
        <v>0</v>
      </c>
      <c r="K148" s="328">
        <f t="shared" si="258"/>
        <v>0</v>
      </c>
      <c r="L148" s="328">
        <f t="shared" si="258"/>
        <v>0</v>
      </c>
      <c r="M148" s="328">
        <f t="shared" si="258"/>
        <v>0</v>
      </c>
      <c r="N148" s="328">
        <f t="shared" si="258"/>
        <v>0</v>
      </c>
      <c r="O148" s="328">
        <f t="shared" si="258"/>
        <v>0</v>
      </c>
      <c r="P148" s="329">
        <f t="shared" si="258"/>
        <v>0</v>
      </c>
      <c r="Q148" s="329">
        <f t="shared" si="258"/>
        <v>0</v>
      </c>
      <c r="R148" s="330">
        <f t="shared" si="258"/>
        <v>0</v>
      </c>
      <c r="S148" s="331">
        <f t="shared" si="258"/>
        <v>0</v>
      </c>
      <c r="T148" s="328">
        <f t="shared" si="258"/>
        <v>0</v>
      </c>
      <c r="U148" s="328">
        <f t="shared" si="258"/>
        <v>0</v>
      </c>
      <c r="V148" s="328">
        <f t="shared" si="258"/>
        <v>0</v>
      </c>
      <c r="W148" s="328">
        <f t="shared" si="258"/>
        <v>0</v>
      </c>
      <c r="X148" s="328">
        <f t="shared" si="258"/>
        <v>0</v>
      </c>
      <c r="Y148" s="328">
        <f t="shared" si="258"/>
        <v>0</v>
      </c>
      <c r="Z148" s="328">
        <f t="shared" si="258"/>
        <v>0</v>
      </c>
      <c r="AA148" s="328">
        <f t="shared" si="258"/>
        <v>0</v>
      </c>
      <c r="AB148" s="328">
        <f t="shared" si="258"/>
        <v>0</v>
      </c>
      <c r="AC148" s="328">
        <f t="shared" si="258"/>
        <v>0</v>
      </c>
      <c r="AD148" s="328">
        <f t="shared" si="258"/>
        <v>0</v>
      </c>
      <c r="AE148" s="328">
        <f t="shared" si="258"/>
        <v>0</v>
      </c>
      <c r="AF148" s="328">
        <f t="shared" si="258"/>
        <v>0</v>
      </c>
      <c r="AG148" s="329">
        <f t="shared" si="258"/>
        <v>0</v>
      </c>
      <c r="AH148" s="329">
        <f t="shared" si="258"/>
        <v>0</v>
      </c>
      <c r="AI148" s="329">
        <f t="shared" si="258"/>
        <v>0</v>
      </c>
      <c r="AJ148" s="329">
        <f t="shared" si="258"/>
        <v>0</v>
      </c>
      <c r="AK148" s="329">
        <f t="shared" si="258"/>
        <v>0</v>
      </c>
      <c r="AL148" s="329">
        <f t="shared" si="258"/>
        <v>0</v>
      </c>
      <c r="AM148" s="329">
        <f t="shared" si="258"/>
        <v>0</v>
      </c>
      <c r="AN148" s="332">
        <f t="shared" si="258"/>
        <v>0</v>
      </c>
      <c r="AO148" s="327">
        <f t="shared" si="258"/>
        <v>0</v>
      </c>
      <c r="AP148" s="328">
        <f t="shared" si="258"/>
        <v>0</v>
      </c>
      <c r="AQ148" s="328">
        <f t="shared" si="258"/>
        <v>0</v>
      </c>
      <c r="AR148" s="328">
        <f t="shared" si="258"/>
        <v>0</v>
      </c>
      <c r="AS148" s="328">
        <f t="shared" si="258"/>
        <v>0</v>
      </c>
      <c r="AT148" s="328">
        <f t="shared" si="258"/>
        <v>0</v>
      </c>
      <c r="AU148" s="328">
        <f t="shared" si="258"/>
        <v>0</v>
      </c>
      <c r="AV148" s="329">
        <f t="shared" si="258"/>
        <v>0</v>
      </c>
      <c r="AW148" s="329">
        <f t="shared" si="258"/>
        <v>0</v>
      </c>
      <c r="AX148" s="330">
        <f t="shared" si="258"/>
        <v>0</v>
      </c>
    </row>
    <row r="149" spans="4:50" s="738" customFormat="1" ht="12.75" x14ac:dyDescent="0.2">
      <c r="D149" s="16"/>
      <c r="E149" s="12"/>
      <c r="F149" s="16"/>
      <c r="G149" s="36"/>
      <c r="H149" s="2">
        <v>3117</v>
      </c>
      <c r="I149" s="327">
        <f t="shared" ref="I149:AX149" si="259">SUMIF($F$12:$F$427,"=3117",I$12:I$427)</f>
        <v>18341510</v>
      </c>
      <c r="J149" s="328">
        <f t="shared" si="259"/>
        <v>13102913</v>
      </c>
      <c r="K149" s="328">
        <f t="shared" si="259"/>
        <v>38644</v>
      </c>
      <c r="L149" s="328">
        <f t="shared" si="259"/>
        <v>22644</v>
      </c>
      <c r="M149" s="328">
        <f t="shared" si="259"/>
        <v>4434195</v>
      </c>
      <c r="N149" s="328">
        <f t="shared" si="259"/>
        <v>262058</v>
      </c>
      <c r="O149" s="328">
        <f t="shared" si="259"/>
        <v>503700</v>
      </c>
      <c r="P149" s="329">
        <f t="shared" si="259"/>
        <v>27.755600000000001</v>
      </c>
      <c r="Q149" s="329">
        <f t="shared" si="259"/>
        <v>19.501100000000001</v>
      </c>
      <c r="R149" s="330">
        <f t="shared" si="259"/>
        <v>8.2545000000000002</v>
      </c>
      <c r="S149" s="331">
        <f t="shared" si="259"/>
        <v>0</v>
      </c>
      <c r="T149" s="328">
        <f t="shared" si="259"/>
        <v>1890</v>
      </c>
      <c r="U149" s="328">
        <f t="shared" si="259"/>
        <v>0</v>
      </c>
      <c r="V149" s="328">
        <f t="shared" si="259"/>
        <v>1890</v>
      </c>
      <c r="W149" s="328">
        <f t="shared" si="259"/>
        <v>0</v>
      </c>
      <c r="X149" s="328">
        <f t="shared" si="259"/>
        <v>0</v>
      </c>
      <c r="Y149" s="328">
        <f t="shared" si="259"/>
        <v>0</v>
      </c>
      <c r="Z149" s="328">
        <f t="shared" si="259"/>
        <v>1890</v>
      </c>
      <c r="AA149" s="328">
        <f t="shared" si="259"/>
        <v>639</v>
      </c>
      <c r="AB149" s="328">
        <f t="shared" si="259"/>
        <v>38</v>
      </c>
      <c r="AC149" s="328">
        <f t="shared" si="259"/>
        <v>0</v>
      </c>
      <c r="AD149" s="328">
        <f t="shared" si="259"/>
        <v>0</v>
      </c>
      <c r="AE149" s="328">
        <f t="shared" si="259"/>
        <v>0</v>
      </c>
      <c r="AF149" s="328">
        <f t="shared" si="259"/>
        <v>2567</v>
      </c>
      <c r="AG149" s="329">
        <f t="shared" si="259"/>
        <v>0</v>
      </c>
      <c r="AH149" s="329">
        <f t="shared" si="259"/>
        <v>0</v>
      </c>
      <c r="AI149" s="329">
        <f t="shared" si="259"/>
        <v>0</v>
      </c>
      <c r="AJ149" s="329">
        <f t="shared" si="259"/>
        <v>0</v>
      </c>
      <c r="AK149" s="329">
        <f t="shared" si="259"/>
        <v>0</v>
      </c>
      <c r="AL149" s="329">
        <f t="shared" si="259"/>
        <v>0</v>
      </c>
      <c r="AM149" s="329">
        <f t="shared" si="259"/>
        <v>0</v>
      </c>
      <c r="AN149" s="332">
        <f t="shared" si="259"/>
        <v>0</v>
      </c>
      <c r="AO149" s="327">
        <f t="shared" si="259"/>
        <v>18344077</v>
      </c>
      <c r="AP149" s="328">
        <f t="shared" si="259"/>
        <v>13104803</v>
      </c>
      <c r="AQ149" s="328">
        <f t="shared" si="259"/>
        <v>38644</v>
      </c>
      <c r="AR149" s="328">
        <f t="shared" si="259"/>
        <v>22644</v>
      </c>
      <c r="AS149" s="328">
        <f t="shared" si="259"/>
        <v>4434834</v>
      </c>
      <c r="AT149" s="328">
        <f t="shared" si="259"/>
        <v>262096</v>
      </c>
      <c r="AU149" s="328">
        <f t="shared" si="259"/>
        <v>503700</v>
      </c>
      <c r="AV149" s="329">
        <f t="shared" si="259"/>
        <v>27.755600000000001</v>
      </c>
      <c r="AW149" s="329">
        <f t="shared" si="259"/>
        <v>19.501100000000001</v>
      </c>
      <c r="AX149" s="330">
        <f t="shared" si="259"/>
        <v>8.2545000000000002</v>
      </c>
    </row>
    <row r="150" spans="4:50" s="738" customFormat="1" ht="12.75" x14ac:dyDescent="0.2">
      <c r="D150" s="16"/>
      <c r="E150" s="12"/>
      <c r="F150" s="16"/>
      <c r="G150" s="36"/>
      <c r="H150" s="2">
        <v>3122</v>
      </c>
      <c r="I150" s="327">
        <f t="shared" ref="I150:AX150" si="260">SUMIF($F$12:$F$383,"=3122",I$12:I$383)</f>
        <v>0</v>
      </c>
      <c r="J150" s="328">
        <f t="shared" si="260"/>
        <v>0</v>
      </c>
      <c r="K150" s="328">
        <f t="shared" si="260"/>
        <v>0</v>
      </c>
      <c r="L150" s="328">
        <f t="shared" si="260"/>
        <v>0</v>
      </c>
      <c r="M150" s="328">
        <f t="shared" si="260"/>
        <v>0</v>
      </c>
      <c r="N150" s="328">
        <f t="shared" si="260"/>
        <v>0</v>
      </c>
      <c r="O150" s="328">
        <f t="shared" si="260"/>
        <v>0</v>
      </c>
      <c r="P150" s="329">
        <f t="shared" si="260"/>
        <v>0</v>
      </c>
      <c r="Q150" s="329">
        <f t="shared" si="260"/>
        <v>0</v>
      </c>
      <c r="R150" s="330">
        <f t="shared" si="260"/>
        <v>0</v>
      </c>
      <c r="S150" s="331">
        <f t="shared" si="260"/>
        <v>0</v>
      </c>
      <c r="T150" s="328">
        <f t="shared" si="260"/>
        <v>0</v>
      </c>
      <c r="U150" s="328">
        <f t="shared" si="260"/>
        <v>0</v>
      </c>
      <c r="V150" s="328">
        <f t="shared" si="260"/>
        <v>0</v>
      </c>
      <c r="W150" s="328">
        <f t="shared" si="260"/>
        <v>0</v>
      </c>
      <c r="X150" s="328">
        <f t="shared" si="260"/>
        <v>0</v>
      </c>
      <c r="Y150" s="328">
        <f t="shared" si="260"/>
        <v>0</v>
      </c>
      <c r="Z150" s="328">
        <f t="shared" si="260"/>
        <v>0</v>
      </c>
      <c r="AA150" s="328">
        <f t="shared" si="260"/>
        <v>0</v>
      </c>
      <c r="AB150" s="328">
        <f t="shared" si="260"/>
        <v>0</v>
      </c>
      <c r="AC150" s="328">
        <f t="shared" si="260"/>
        <v>0</v>
      </c>
      <c r="AD150" s="328">
        <f t="shared" si="260"/>
        <v>0</v>
      </c>
      <c r="AE150" s="328">
        <f t="shared" si="260"/>
        <v>0</v>
      </c>
      <c r="AF150" s="328">
        <f t="shared" si="260"/>
        <v>0</v>
      </c>
      <c r="AG150" s="329">
        <f t="shared" si="260"/>
        <v>0</v>
      </c>
      <c r="AH150" s="329">
        <f t="shared" si="260"/>
        <v>0</v>
      </c>
      <c r="AI150" s="329">
        <f t="shared" si="260"/>
        <v>0</v>
      </c>
      <c r="AJ150" s="329">
        <f t="shared" si="260"/>
        <v>0</v>
      </c>
      <c r="AK150" s="329">
        <f t="shared" si="260"/>
        <v>0</v>
      </c>
      <c r="AL150" s="329">
        <f t="shared" si="260"/>
        <v>0</v>
      </c>
      <c r="AM150" s="329">
        <f t="shared" si="260"/>
        <v>0</v>
      </c>
      <c r="AN150" s="332">
        <f t="shared" si="260"/>
        <v>0</v>
      </c>
      <c r="AO150" s="327">
        <f t="shared" si="260"/>
        <v>0</v>
      </c>
      <c r="AP150" s="328">
        <f t="shared" si="260"/>
        <v>0</v>
      </c>
      <c r="AQ150" s="328">
        <f t="shared" si="260"/>
        <v>0</v>
      </c>
      <c r="AR150" s="328">
        <f t="shared" si="260"/>
        <v>0</v>
      </c>
      <c r="AS150" s="328">
        <f t="shared" si="260"/>
        <v>0</v>
      </c>
      <c r="AT150" s="328">
        <f t="shared" si="260"/>
        <v>0</v>
      </c>
      <c r="AU150" s="328">
        <f t="shared" si="260"/>
        <v>0</v>
      </c>
      <c r="AV150" s="329">
        <f t="shared" si="260"/>
        <v>0</v>
      </c>
      <c r="AW150" s="329">
        <f t="shared" si="260"/>
        <v>0</v>
      </c>
      <c r="AX150" s="330">
        <f t="shared" si="260"/>
        <v>0</v>
      </c>
    </row>
    <row r="151" spans="4:50" s="738" customFormat="1" ht="12.75" x14ac:dyDescent="0.2">
      <c r="D151" s="16"/>
      <c r="E151" s="12"/>
      <c r="F151" s="16"/>
      <c r="G151" s="36"/>
      <c r="H151" s="2">
        <v>3124</v>
      </c>
      <c r="I151" s="327">
        <f t="shared" ref="I151:AX151" si="261">SUMIF($F$12:$F$383,"=3124",I$12:I$383)</f>
        <v>0</v>
      </c>
      <c r="J151" s="328">
        <f t="shared" si="261"/>
        <v>0</v>
      </c>
      <c r="K151" s="328">
        <f t="shared" si="261"/>
        <v>0</v>
      </c>
      <c r="L151" s="328">
        <f t="shared" si="261"/>
        <v>0</v>
      </c>
      <c r="M151" s="328">
        <f t="shared" si="261"/>
        <v>0</v>
      </c>
      <c r="N151" s="328">
        <f t="shared" si="261"/>
        <v>0</v>
      </c>
      <c r="O151" s="328">
        <f t="shared" si="261"/>
        <v>0</v>
      </c>
      <c r="P151" s="329">
        <f t="shared" si="261"/>
        <v>0</v>
      </c>
      <c r="Q151" s="329">
        <f t="shared" si="261"/>
        <v>0</v>
      </c>
      <c r="R151" s="330">
        <f t="shared" si="261"/>
        <v>0</v>
      </c>
      <c r="S151" s="331">
        <f t="shared" si="261"/>
        <v>0</v>
      </c>
      <c r="T151" s="328">
        <f t="shared" si="261"/>
        <v>0</v>
      </c>
      <c r="U151" s="328">
        <f t="shared" si="261"/>
        <v>0</v>
      </c>
      <c r="V151" s="328">
        <f t="shared" si="261"/>
        <v>0</v>
      </c>
      <c r="W151" s="328">
        <f t="shared" si="261"/>
        <v>0</v>
      </c>
      <c r="X151" s="328">
        <f t="shared" si="261"/>
        <v>0</v>
      </c>
      <c r="Y151" s="328">
        <f t="shared" si="261"/>
        <v>0</v>
      </c>
      <c r="Z151" s="328">
        <f t="shared" si="261"/>
        <v>0</v>
      </c>
      <c r="AA151" s="328">
        <f t="shared" si="261"/>
        <v>0</v>
      </c>
      <c r="AB151" s="328">
        <f t="shared" si="261"/>
        <v>0</v>
      </c>
      <c r="AC151" s="328">
        <f t="shared" si="261"/>
        <v>0</v>
      </c>
      <c r="AD151" s="328">
        <f t="shared" si="261"/>
        <v>0</v>
      </c>
      <c r="AE151" s="328">
        <f t="shared" si="261"/>
        <v>0</v>
      </c>
      <c r="AF151" s="328">
        <f t="shared" si="261"/>
        <v>0</v>
      </c>
      <c r="AG151" s="329">
        <f t="shared" si="261"/>
        <v>0</v>
      </c>
      <c r="AH151" s="329">
        <f t="shared" si="261"/>
        <v>0</v>
      </c>
      <c r="AI151" s="329">
        <f t="shared" si="261"/>
        <v>0</v>
      </c>
      <c r="AJ151" s="329">
        <f t="shared" si="261"/>
        <v>0</v>
      </c>
      <c r="AK151" s="329">
        <f t="shared" si="261"/>
        <v>0</v>
      </c>
      <c r="AL151" s="329">
        <f t="shared" si="261"/>
        <v>0</v>
      </c>
      <c r="AM151" s="329">
        <f t="shared" si="261"/>
        <v>0</v>
      </c>
      <c r="AN151" s="332">
        <f t="shared" si="261"/>
        <v>0</v>
      </c>
      <c r="AO151" s="327">
        <f t="shared" si="261"/>
        <v>0</v>
      </c>
      <c r="AP151" s="328">
        <f t="shared" si="261"/>
        <v>0</v>
      </c>
      <c r="AQ151" s="328">
        <f t="shared" si="261"/>
        <v>0</v>
      </c>
      <c r="AR151" s="328">
        <f t="shared" si="261"/>
        <v>0</v>
      </c>
      <c r="AS151" s="328">
        <f t="shared" si="261"/>
        <v>0</v>
      </c>
      <c r="AT151" s="328">
        <f t="shared" si="261"/>
        <v>0</v>
      </c>
      <c r="AU151" s="328">
        <f t="shared" si="261"/>
        <v>0</v>
      </c>
      <c r="AV151" s="329">
        <f t="shared" si="261"/>
        <v>0</v>
      </c>
      <c r="AW151" s="329">
        <f t="shared" si="261"/>
        <v>0</v>
      </c>
      <c r="AX151" s="330">
        <f t="shared" si="261"/>
        <v>0</v>
      </c>
    </row>
    <row r="152" spans="4:50" s="738" customFormat="1" ht="12.75" x14ac:dyDescent="0.2">
      <c r="D152" s="16"/>
      <c r="E152" s="12"/>
      <c r="F152" s="16"/>
      <c r="G152" s="36"/>
      <c r="H152" s="2">
        <v>3141</v>
      </c>
      <c r="I152" s="327">
        <f t="shared" ref="I152:AX152" si="262">SUMIF($F$12:$F$427,"=3141",I$12:I$427)</f>
        <v>18294865</v>
      </c>
      <c r="J152" s="328">
        <f t="shared" si="262"/>
        <v>13347322</v>
      </c>
      <c r="K152" s="328">
        <f t="shared" si="262"/>
        <v>45000</v>
      </c>
      <c r="L152" s="328">
        <f t="shared" si="262"/>
        <v>0</v>
      </c>
      <c r="M152" s="328">
        <f t="shared" si="262"/>
        <v>4526607</v>
      </c>
      <c r="N152" s="328">
        <f t="shared" si="262"/>
        <v>266942</v>
      </c>
      <c r="O152" s="328">
        <f t="shared" si="262"/>
        <v>108994</v>
      </c>
      <c r="P152" s="329">
        <f t="shared" si="262"/>
        <v>45.43</v>
      </c>
      <c r="Q152" s="329">
        <f t="shared" si="262"/>
        <v>0</v>
      </c>
      <c r="R152" s="330">
        <f t="shared" si="262"/>
        <v>45.43</v>
      </c>
      <c r="S152" s="331">
        <f t="shared" si="262"/>
        <v>0</v>
      </c>
      <c r="T152" s="328">
        <f t="shared" si="262"/>
        <v>0</v>
      </c>
      <c r="U152" s="328">
        <f t="shared" si="262"/>
        <v>0</v>
      </c>
      <c r="V152" s="328">
        <f t="shared" si="262"/>
        <v>0</v>
      </c>
      <c r="W152" s="328">
        <f t="shared" si="262"/>
        <v>0</v>
      </c>
      <c r="X152" s="328">
        <f t="shared" si="262"/>
        <v>0</v>
      </c>
      <c r="Y152" s="328">
        <f t="shared" si="262"/>
        <v>0</v>
      </c>
      <c r="Z152" s="328">
        <f t="shared" si="262"/>
        <v>0</v>
      </c>
      <c r="AA152" s="328">
        <f t="shared" si="262"/>
        <v>0</v>
      </c>
      <c r="AB152" s="328">
        <f t="shared" si="262"/>
        <v>0</v>
      </c>
      <c r="AC152" s="328">
        <f t="shared" si="262"/>
        <v>0</v>
      </c>
      <c r="AD152" s="328">
        <f t="shared" si="262"/>
        <v>0</v>
      </c>
      <c r="AE152" s="328">
        <f t="shared" si="262"/>
        <v>0</v>
      </c>
      <c r="AF152" s="328">
        <f t="shared" si="262"/>
        <v>0</v>
      </c>
      <c r="AG152" s="329">
        <f t="shared" si="262"/>
        <v>0</v>
      </c>
      <c r="AH152" s="329">
        <f t="shared" si="262"/>
        <v>0</v>
      </c>
      <c r="AI152" s="329">
        <f t="shared" si="262"/>
        <v>0</v>
      </c>
      <c r="AJ152" s="329">
        <f t="shared" si="262"/>
        <v>0</v>
      </c>
      <c r="AK152" s="329">
        <f t="shared" si="262"/>
        <v>0</v>
      </c>
      <c r="AL152" s="329">
        <f t="shared" si="262"/>
        <v>0</v>
      </c>
      <c r="AM152" s="329">
        <f t="shared" si="262"/>
        <v>0</v>
      </c>
      <c r="AN152" s="332">
        <f t="shared" si="262"/>
        <v>0</v>
      </c>
      <c r="AO152" s="327">
        <f t="shared" si="262"/>
        <v>18294865</v>
      </c>
      <c r="AP152" s="328">
        <f t="shared" si="262"/>
        <v>13347322</v>
      </c>
      <c r="AQ152" s="328">
        <f t="shared" si="262"/>
        <v>45000</v>
      </c>
      <c r="AR152" s="328">
        <f t="shared" si="262"/>
        <v>0</v>
      </c>
      <c r="AS152" s="328">
        <f t="shared" si="262"/>
        <v>4526607</v>
      </c>
      <c r="AT152" s="328">
        <f t="shared" si="262"/>
        <v>266942</v>
      </c>
      <c r="AU152" s="328">
        <f t="shared" si="262"/>
        <v>108994</v>
      </c>
      <c r="AV152" s="329">
        <f t="shared" si="262"/>
        <v>45.43</v>
      </c>
      <c r="AW152" s="329">
        <f t="shared" si="262"/>
        <v>0</v>
      </c>
      <c r="AX152" s="330">
        <f t="shared" si="262"/>
        <v>45.43</v>
      </c>
    </row>
    <row r="153" spans="4:50" s="738" customFormat="1" ht="12.75" x14ac:dyDescent="0.2">
      <c r="D153" s="16"/>
      <c r="E153" s="12"/>
      <c r="F153" s="16"/>
      <c r="G153" s="36"/>
      <c r="H153" s="2">
        <v>3143</v>
      </c>
      <c r="I153" s="327">
        <f t="shared" ref="I153:AX153" si="263">SUMIF($F$12:$F$427,"=3143",I$12:I$427)</f>
        <v>15254505</v>
      </c>
      <c r="J153" s="328">
        <f t="shared" si="263"/>
        <v>11215459</v>
      </c>
      <c r="K153" s="328">
        <f t="shared" si="263"/>
        <v>0</v>
      </c>
      <c r="L153" s="328">
        <f t="shared" si="263"/>
        <v>0</v>
      </c>
      <c r="M153" s="328">
        <f t="shared" si="263"/>
        <v>3790826</v>
      </c>
      <c r="N153" s="328">
        <f t="shared" si="263"/>
        <v>224310</v>
      </c>
      <c r="O153" s="328">
        <f t="shared" si="263"/>
        <v>23910</v>
      </c>
      <c r="P153" s="329">
        <f t="shared" si="263"/>
        <v>24.383900000000004</v>
      </c>
      <c r="Q153" s="329">
        <f t="shared" si="263"/>
        <v>22.733900000000002</v>
      </c>
      <c r="R153" s="330">
        <f t="shared" si="263"/>
        <v>1.6500000000000001</v>
      </c>
      <c r="S153" s="331">
        <f t="shared" si="263"/>
        <v>0</v>
      </c>
      <c r="T153" s="328">
        <f t="shared" si="263"/>
        <v>0</v>
      </c>
      <c r="U153" s="328">
        <f t="shared" si="263"/>
        <v>0</v>
      </c>
      <c r="V153" s="328">
        <f t="shared" si="263"/>
        <v>0</v>
      </c>
      <c r="W153" s="328">
        <f t="shared" si="263"/>
        <v>0</v>
      </c>
      <c r="X153" s="328">
        <f t="shared" si="263"/>
        <v>0</v>
      </c>
      <c r="Y153" s="328">
        <f t="shared" si="263"/>
        <v>0</v>
      </c>
      <c r="Z153" s="328">
        <f t="shared" si="263"/>
        <v>0</v>
      </c>
      <c r="AA153" s="328">
        <f t="shared" si="263"/>
        <v>0</v>
      </c>
      <c r="AB153" s="328">
        <f t="shared" si="263"/>
        <v>0</v>
      </c>
      <c r="AC153" s="328">
        <f t="shared" si="263"/>
        <v>0</v>
      </c>
      <c r="AD153" s="328">
        <f t="shared" si="263"/>
        <v>0</v>
      </c>
      <c r="AE153" s="328">
        <f t="shared" si="263"/>
        <v>0</v>
      </c>
      <c r="AF153" s="328">
        <f t="shared" si="263"/>
        <v>0</v>
      </c>
      <c r="AG153" s="329">
        <f t="shared" si="263"/>
        <v>0</v>
      </c>
      <c r="AH153" s="329">
        <f t="shared" si="263"/>
        <v>0</v>
      </c>
      <c r="AI153" s="329">
        <f t="shared" si="263"/>
        <v>0</v>
      </c>
      <c r="AJ153" s="329">
        <f t="shared" si="263"/>
        <v>0</v>
      </c>
      <c r="AK153" s="329">
        <f t="shared" si="263"/>
        <v>0</v>
      </c>
      <c r="AL153" s="329">
        <f t="shared" si="263"/>
        <v>0</v>
      </c>
      <c r="AM153" s="329">
        <f t="shared" si="263"/>
        <v>0</v>
      </c>
      <c r="AN153" s="332">
        <f t="shared" si="263"/>
        <v>0</v>
      </c>
      <c r="AO153" s="327">
        <f t="shared" si="263"/>
        <v>15254505</v>
      </c>
      <c r="AP153" s="328">
        <f t="shared" si="263"/>
        <v>11215459</v>
      </c>
      <c r="AQ153" s="328">
        <f t="shared" si="263"/>
        <v>0</v>
      </c>
      <c r="AR153" s="328">
        <f t="shared" si="263"/>
        <v>0</v>
      </c>
      <c r="AS153" s="328">
        <f t="shared" si="263"/>
        <v>3790826</v>
      </c>
      <c r="AT153" s="328">
        <f t="shared" si="263"/>
        <v>224310</v>
      </c>
      <c r="AU153" s="328">
        <f t="shared" si="263"/>
        <v>23910</v>
      </c>
      <c r="AV153" s="329">
        <f t="shared" si="263"/>
        <v>24.383900000000004</v>
      </c>
      <c r="AW153" s="329">
        <f t="shared" si="263"/>
        <v>22.733900000000002</v>
      </c>
      <c r="AX153" s="330">
        <f t="shared" si="263"/>
        <v>1.6500000000000001</v>
      </c>
    </row>
    <row r="154" spans="4:50" s="738" customFormat="1" ht="12.75" x14ac:dyDescent="0.2">
      <c r="D154" s="16"/>
      <c r="E154" s="12"/>
      <c r="F154" s="16"/>
      <c r="G154" s="36"/>
      <c r="H154" s="2">
        <v>3231</v>
      </c>
      <c r="I154" s="327">
        <f t="shared" ref="I154:AX154" si="264">SUMIF($F$12:$F$427,"=3231",I$12:I$427)</f>
        <v>18409190</v>
      </c>
      <c r="J154" s="328">
        <f t="shared" si="264"/>
        <v>13487910</v>
      </c>
      <c r="K154" s="328">
        <f t="shared" si="264"/>
        <v>5000</v>
      </c>
      <c r="L154" s="328">
        <f t="shared" si="264"/>
        <v>0</v>
      </c>
      <c r="M154" s="328">
        <f t="shared" si="264"/>
        <v>4560603</v>
      </c>
      <c r="N154" s="328">
        <f t="shared" si="264"/>
        <v>269757</v>
      </c>
      <c r="O154" s="328">
        <f t="shared" si="264"/>
        <v>85920</v>
      </c>
      <c r="P154" s="329">
        <f t="shared" si="264"/>
        <v>26.576600000000003</v>
      </c>
      <c r="Q154" s="329">
        <f t="shared" si="264"/>
        <v>23.5505</v>
      </c>
      <c r="R154" s="330">
        <f t="shared" si="264"/>
        <v>3.0261</v>
      </c>
      <c r="S154" s="331">
        <f t="shared" si="264"/>
        <v>0</v>
      </c>
      <c r="T154" s="328">
        <f t="shared" si="264"/>
        <v>0</v>
      </c>
      <c r="U154" s="328">
        <f t="shared" si="264"/>
        <v>-14728</v>
      </c>
      <c r="V154" s="328">
        <f t="shared" si="264"/>
        <v>-14728</v>
      </c>
      <c r="W154" s="328">
        <f t="shared" si="264"/>
        <v>0</v>
      </c>
      <c r="X154" s="328">
        <f t="shared" si="264"/>
        <v>0</v>
      </c>
      <c r="Y154" s="328">
        <f t="shared" si="264"/>
        <v>0</v>
      </c>
      <c r="Z154" s="328">
        <f t="shared" si="264"/>
        <v>-14728</v>
      </c>
      <c r="AA154" s="328">
        <f t="shared" si="264"/>
        <v>-4978</v>
      </c>
      <c r="AB154" s="328">
        <f t="shared" si="264"/>
        <v>-295</v>
      </c>
      <c r="AC154" s="328">
        <f t="shared" si="264"/>
        <v>0</v>
      </c>
      <c r="AD154" s="328">
        <f t="shared" si="264"/>
        <v>20001</v>
      </c>
      <c r="AE154" s="328">
        <f t="shared" si="264"/>
        <v>20001</v>
      </c>
      <c r="AF154" s="328">
        <f t="shared" si="264"/>
        <v>0</v>
      </c>
      <c r="AG154" s="329">
        <f t="shared" si="264"/>
        <v>0</v>
      </c>
      <c r="AH154" s="329">
        <f t="shared" si="264"/>
        <v>0</v>
      </c>
      <c r="AI154" s="329">
        <f t="shared" si="264"/>
        <v>0</v>
      </c>
      <c r="AJ154" s="329">
        <f t="shared" si="264"/>
        <v>0</v>
      </c>
      <c r="AK154" s="329">
        <f t="shared" si="264"/>
        <v>0</v>
      </c>
      <c r="AL154" s="329">
        <f t="shared" si="264"/>
        <v>0</v>
      </c>
      <c r="AM154" s="329">
        <f t="shared" si="264"/>
        <v>0</v>
      </c>
      <c r="AN154" s="332">
        <f t="shared" si="264"/>
        <v>0</v>
      </c>
      <c r="AO154" s="327">
        <f t="shared" si="264"/>
        <v>18409190</v>
      </c>
      <c r="AP154" s="328">
        <f t="shared" si="264"/>
        <v>13473182</v>
      </c>
      <c r="AQ154" s="328">
        <f t="shared" si="264"/>
        <v>5000</v>
      </c>
      <c r="AR154" s="328">
        <f t="shared" si="264"/>
        <v>0</v>
      </c>
      <c r="AS154" s="328">
        <f t="shared" si="264"/>
        <v>4555625</v>
      </c>
      <c r="AT154" s="328">
        <f t="shared" si="264"/>
        <v>269462</v>
      </c>
      <c r="AU154" s="328">
        <f t="shared" si="264"/>
        <v>105921</v>
      </c>
      <c r="AV154" s="329">
        <f t="shared" si="264"/>
        <v>26.576600000000003</v>
      </c>
      <c r="AW154" s="329">
        <f t="shared" si="264"/>
        <v>23.5505</v>
      </c>
      <c r="AX154" s="330">
        <f t="shared" si="264"/>
        <v>3.0261</v>
      </c>
    </row>
    <row r="155" spans="4:50" s="738" customFormat="1" ht="13.5" thickBot="1" x14ac:dyDescent="0.25">
      <c r="D155" s="16"/>
      <c r="E155" s="12"/>
      <c r="F155" s="16"/>
      <c r="G155" s="36"/>
      <c r="H155" s="265">
        <v>3233</v>
      </c>
      <c r="I155" s="333">
        <f t="shared" ref="I155:AX155" si="265">SUMIF($F$12:$F$427,"=3233",I$12:I$427)</f>
        <v>2480569</v>
      </c>
      <c r="J155" s="334">
        <f t="shared" si="265"/>
        <v>1812101</v>
      </c>
      <c r="K155" s="334">
        <f t="shared" si="265"/>
        <v>0</v>
      </c>
      <c r="L155" s="334">
        <f t="shared" si="265"/>
        <v>0</v>
      </c>
      <c r="M155" s="334">
        <f t="shared" si="265"/>
        <v>612490</v>
      </c>
      <c r="N155" s="334">
        <f t="shared" si="265"/>
        <v>36242</v>
      </c>
      <c r="O155" s="334">
        <f t="shared" si="265"/>
        <v>19736</v>
      </c>
      <c r="P155" s="335">
        <f t="shared" si="265"/>
        <v>4.12</v>
      </c>
      <c r="Q155" s="335">
        <f t="shared" si="265"/>
        <v>2.9</v>
      </c>
      <c r="R155" s="336">
        <f t="shared" si="265"/>
        <v>1.22</v>
      </c>
      <c r="S155" s="337">
        <f t="shared" si="265"/>
        <v>0</v>
      </c>
      <c r="T155" s="334">
        <f t="shared" si="265"/>
        <v>0</v>
      </c>
      <c r="U155" s="334">
        <f t="shared" si="265"/>
        <v>0</v>
      </c>
      <c r="V155" s="334">
        <f t="shared" si="265"/>
        <v>0</v>
      </c>
      <c r="W155" s="334">
        <f t="shared" si="265"/>
        <v>0</v>
      </c>
      <c r="X155" s="334">
        <f t="shared" si="265"/>
        <v>0</v>
      </c>
      <c r="Y155" s="334">
        <f t="shared" si="265"/>
        <v>0</v>
      </c>
      <c r="Z155" s="334">
        <f t="shared" si="265"/>
        <v>0</v>
      </c>
      <c r="AA155" s="334">
        <f t="shared" si="265"/>
        <v>0</v>
      </c>
      <c r="AB155" s="334">
        <f t="shared" si="265"/>
        <v>0</v>
      </c>
      <c r="AC155" s="334">
        <f t="shared" si="265"/>
        <v>0</v>
      </c>
      <c r="AD155" s="334">
        <f t="shared" si="265"/>
        <v>0</v>
      </c>
      <c r="AE155" s="334">
        <f t="shared" si="265"/>
        <v>0</v>
      </c>
      <c r="AF155" s="334">
        <f t="shared" si="265"/>
        <v>0</v>
      </c>
      <c r="AG155" s="335">
        <f t="shared" si="265"/>
        <v>0</v>
      </c>
      <c r="AH155" s="335">
        <f t="shared" si="265"/>
        <v>0</v>
      </c>
      <c r="AI155" s="335">
        <f t="shared" si="265"/>
        <v>0</v>
      </c>
      <c r="AJ155" s="335">
        <f t="shared" si="265"/>
        <v>0</v>
      </c>
      <c r="AK155" s="335">
        <f t="shared" si="265"/>
        <v>0</v>
      </c>
      <c r="AL155" s="335">
        <f t="shared" si="265"/>
        <v>0</v>
      </c>
      <c r="AM155" s="335">
        <f t="shared" si="265"/>
        <v>0</v>
      </c>
      <c r="AN155" s="338">
        <f t="shared" si="265"/>
        <v>0</v>
      </c>
      <c r="AO155" s="333">
        <f t="shared" si="265"/>
        <v>2480569</v>
      </c>
      <c r="AP155" s="334">
        <f t="shared" si="265"/>
        <v>1812101</v>
      </c>
      <c r="AQ155" s="334">
        <f t="shared" si="265"/>
        <v>0</v>
      </c>
      <c r="AR155" s="334">
        <f t="shared" si="265"/>
        <v>0</v>
      </c>
      <c r="AS155" s="334">
        <f t="shared" si="265"/>
        <v>612490</v>
      </c>
      <c r="AT155" s="334">
        <f t="shared" si="265"/>
        <v>36242</v>
      </c>
      <c r="AU155" s="334">
        <f t="shared" si="265"/>
        <v>19736</v>
      </c>
      <c r="AV155" s="335">
        <f t="shared" si="265"/>
        <v>4.12</v>
      </c>
      <c r="AW155" s="335">
        <f t="shared" si="265"/>
        <v>2.9</v>
      </c>
      <c r="AX155" s="336">
        <f t="shared" si="265"/>
        <v>1.22</v>
      </c>
    </row>
    <row r="157" spans="4:50" ht="12.95" customHeight="1" x14ac:dyDescent="0.25"/>
    <row r="159" spans="4:50" x14ac:dyDescent="0.25">
      <c r="P159" s="82"/>
      <c r="Q159" s="82"/>
      <c r="R159" s="82"/>
    </row>
    <row r="161" spans="16:18" x14ac:dyDescent="0.25">
      <c r="P161" s="82"/>
      <c r="Q161" s="82"/>
      <c r="R161" s="82"/>
    </row>
    <row r="163" spans="16:18" x14ac:dyDescent="0.25">
      <c r="P163" s="82"/>
      <c r="Q163" s="82"/>
      <c r="R163" s="82"/>
    </row>
  </sheetData>
  <mergeCells count="24">
    <mergeCell ref="AO6:AX7"/>
    <mergeCell ref="W7:Y9"/>
    <mergeCell ref="Z7:Z10"/>
    <mergeCell ref="AC7:AE9"/>
    <mergeCell ref="AF7:AF10"/>
    <mergeCell ref="AG7:AN7"/>
    <mergeCell ref="AO8:AO10"/>
    <mergeCell ref="AP8:AU9"/>
    <mergeCell ref="AV8:AV10"/>
    <mergeCell ref="AW8:AX9"/>
    <mergeCell ref="S7:V9"/>
    <mergeCell ref="S6:AN6"/>
    <mergeCell ref="A3:E3"/>
    <mergeCell ref="AB7:AB10"/>
    <mergeCell ref="I8:I10"/>
    <mergeCell ref="AA7:AA10"/>
    <mergeCell ref="I6:R7"/>
    <mergeCell ref="J8:O9"/>
    <mergeCell ref="P8:P10"/>
    <mergeCell ref="Q8:R9"/>
    <mergeCell ref="AG8:AH9"/>
    <mergeCell ref="AI8:AI9"/>
    <mergeCell ref="AJ8:AK9"/>
    <mergeCell ref="AL8:AN9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Maryšková Andrea</cp:lastModifiedBy>
  <cp:lastPrinted>2021-04-23T07:17:22Z</cp:lastPrinted>
  <dcterms:created xsi:type="dcterms:W3CDTF">2009-03-06T07:28:09Z</dcterms:created>
  <dcterms:modified xsi:type="dcterms:W3CDTF">2021-12-15T13:47:43Z</dcterms:modified>
</cp:coreProperties>
</file>